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85" windowHeight="8235" tabRatio="812" activeTab="12"/>
  </bookViews>
  <sheets>
    <sheet name="YTD" sheetId="1" r:id="rId1"/>
    <sheet name="July" sheetId="2" r:id="rId2"/>
    <sheet name="Aug" sheetId="3" r:id="rId3"/>
    <sheet name="Sept" sheetId="4" r:id="rId4"/>
    <sheet name="Oct" sheetId="5" r:id="rId5"/>
    <sheet name="Nov" sheetId="6" r:id="rId6"/>
    <sheet name="Dec" sheetId="7" r:id="rId7"/>
    <sheet name="Jan" sheetId="8" r:id="rId8"/>
    <sheet name="Feb" sheetId="9" r:id="rId9"/>
    <sheet name="March" sheetId="10" r:id="rId10"/>
    <sheet name="April" sheetId="11" r:id="rId11"/>
    <sheet name="May" sheetId="12" r:id="rId12"/>
    <sheet name="June" sheetId="13" r:id="rId13"/>
  </sheets>
  <definedNames/>
  <calcPr fullCalcOnLoad="1"/>
</workbook>
</file>

<file path=xl/sharedStrings.xml><?xml version="1.0" encoding="utf-8"?>
<sst xmlns="http://schemas.openxmlformats.org/spreadsheetml/2006/main" count="492" uniqueCount="40">
  <si>
    <t>Total</t>
  </si>
  <si>
    <t>Beginning Balance</t>
  </si>
  <si>
    <t>Ending Balance</t>
  </si>
  <si>
    <t>Aux Subtotal</t>
  </si>
  <si>
    <t>ILL</t>
  </si>
  <si>
    <t>Notes:</t>
  </si>
  <si>
    <t>Spec Coll</t>
  </si>
  <si>
    <t>SP Borrower</t>
  </si>
  <si>
    <t>Bookstore</t>
  </si>
  <si>
    <t>Room Rental</t>
  </si>
  <si>
    <t>Aux Gen</t>
  </si>
  <si>
    <t>Smathers Auxiliary Revenue and Expense (exclusive of HSCL)</t>
  </si>
  <si>
    <t>YTD Income</t>
  </si>
  <si>
    <t>YTD Interest Income</t>
  </si>
  <si>
    <t>YTD Expenses</t>
  </si>
  <si>
    <t>YTD Overhead Assessment</t>
  </si>
  <si>
    <t>Smathers Auxiliary YTD Revenue and Expense (exclusive of HSCL)</t>
  </si>
  <si>
    <t>Oper Exp</t>
  </si>
  <si>
    <t>Income</t>
  </si>
  <si>
    <t>Interest Income</t>
  </si>
  <si>
    <t>Expenses</t>
  </si>
  <si>
    <t>Overhead Assessment</t>
  </si>
  <si>
    <t>Canon</t>
  </si>
  <si>
    <t>HSC Auxiliary</t>
  </si>
  <si>
    <t>Borland Auxiliary</t>
  </si>
  <si>
    <t>HSCL Auxiliary Revenue and Expense (inclusive of Borland)</t>
  </si>
  <si>
    <t>HSCL Auxiliary YTD Revenue and Expense (inclusive of Borland)</t>
  </si>
  <si>
    <t xml:space="preserve">HSC Auxiliary </t>
  </si>
  <si>
    <t>HSC Subtotal</t>
  </si>
  <si>
    <t>Incidental Trust Fund no longer includes operational expenses.  Funds were transferred to HSCL Auxiliary.</t>
  </si>
  <si>
    <t>Doral Conf. Expenses in Aux Gen.</t>
  </si>
  <si>
    <t>$250 for Aux Gen is DLC Sale.</t>
  </si>
  <si>
    <t>Aux Gen-Sacred Trash Book Sale</t>
  </si>
  <si>
    <t>$930.24 is AOS Gifts Revenue</t>
  </si>
  <si>
    <t>$3754.53 is AOS2 Gifts Revenue</t>
  </si>
  <si>
    <t>1k Oper Exp is for Arthrex.</t>
  </si>
  <si>
    <t>$2459.36 on ILL is OCLC Refund</t>
  </si>
  <si>
    <t>$10,000.00 is COE Database</t>
  </si>
  <si>
    <t>$471.70 is Arthrex2</t>
  </si>
  <si>
    <t>$4384.69 is AOS3 Gifts Revenue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</si>
</sst>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.00"/>
    <numFmt numFmtId="166" formatCode="&quot;$&quot;#,##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2" fillId="0" borderId="0" xfId="0" applyNumberFormat="1" applyFont="1" applyAlignment="1">
      <alignment/>
    </xf>
    <xf numFmtId="44" fontId="2" fillId="0" borderId="10" xfId="44" applyFont="1" applyBorder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1" fillId="0" borderId="0" xfId="0" applyNumberFormat="1" applyFont="1" applyAlignment="1">
      <alignment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44" fontId="2" fillId="0" borderId="11" xfId="44" applyFont="1" applyBorder="1" applyAlignment="1">
      <alignment horizontal="center"/>
    </xf>
    <xf numFmtId="44" fontId="2" fillId="0" borderId="0" xfId="44" applyFont="1" applyAlignment="1">
      <alignment horizontal="center"/>
    </xf>
    <xf numFmtId="44" fontId="2" fillId="0" borderId="0" xfId="44" applyFont="1" applyAlignment="1">
      <alignment horizontal="left" indent="1"/>
    </xf>
    <xf numFmtId="44" fontId="2" fillId="0" borderId="10" xfId="44" applyFont="1" applyBorder="1" applyAlignment="1">
      <alignment horizontal="center"/>
    </xf>
    <xf numFmtId="44" fontId="1" fillId="0" borderId="0" xfId="44" applyFont="1" applyAlignment="1">
      <alignment horizontal="left" indent="1"/>
    </xf>
    <xf numFmtId="44" fontId="3" fillId="0" borderId="0" xfId="44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1" fillId="0" borderId="0" xfId="44" applyNumberFormat="1" applyFont="1" applyAlignment="1">
      <alignment/>
    </xf>
    <xf numFmtId="44" fontId="1" fillId="0" borderId="10" xfId="44" applyNumberFormat="1" applyFont="1" applyBorder="1" applyAlignment="1">
      <alignment/>
    </xf>
    <xf numFmtId="44" fontId="1" fillId="0" borderId="0" xfId="44" applyFont="1" applyAlignment="1">
      <alignment horizontal="left"/>
    </xf>
    <xf numFmtId="44" fontId="2" fillId="0" borderId="0" xfId="44" applyFont="1" applyBorder="1" applyAlignment="1">
      <alignment/>
    </xf>
    <xf numFmtId="44" fontId="1" fillId="0" borderId="12" xfId="44" applyFont="1" applyBorder="1" applyAlignment="1">
      <alignment/>
    </xf>
    <xf numFmtId="44" fontId="1" fillId="0" borderId="0" xfId="44" applyFont="1" applyBorder="1" applyAlignment="1">
      <alignment horizontal="center"/>
    </xf>
    <xf numFmtId="44" fontId="3" fillId="0" borderId="0" xfId="44" applyFont="1" applyBorder="1" applyAlignment="1">
      <alignment/>
    </xf>
    <xf numFmtId="44" fontId="1" fillId="0" borderId="0" xfId="44" applyFont="1" applyBorder="1" applyAlignment="1">
      <alignment/>
    </xf>
    <xf numFmtId="0" fontId="3" fillId="0" borderId="0" xfId="0" applyFont="1" applyAlignment="1">
      <alignment/>
    </xf>
    <xf numFmtId="44" fontId="1" fillId="0" borderId="0" xfId="44" applyFont="1" applyAlignment="1">
      <alignment horizontal="center"/>
    </xf>
    <xf numFmtId="44" fontId="3" fillId="0" borderId="0" xfId="44" applyFont="1" applyAlignment="1">
      <alignment horizontal="center"/>
    </xf>
    <xf numFmtId="44" fontId="1" fillId="0" borderId="12" xfId="44" applyFont="1" applyBorder="1" applyAlignment="1">
      <alignment horizontal="center"/>
    </xf>
    <xf numFmtId="44" fontId="1" fillId="0" borderId="13" xfId="44" applyFont="1" applyBorder="1" applyAlignment="1">
      <alignment horizontal="center"/>
    </xf>
    <xf numFmtId="44" fontId="1" fillId="0" borderId="14" xfId="44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Currency 10 2" xfId="47"/>
    <cellStyle name="Currency 2" xfId="48"/>
    <cellStyle name="Currency 3" xfId="49"/>
    <cellStyle name="Currency 3 2" xfId="50"/>
    <cellStyle name="Currency 3 3" xfId="51"/>
    <cellStyle name="Currency 3 4" xfId="52"/>
    <cellStyle name="Currency 3 5" xfId="53"/>
    <cellStyle name="Currency 3 6" xfId="54"/>
    <cellStyle name="Currency 3 7" xfId="55"/>
    <cellStyle name="Currency 4" xfId="56"/>
    <cellStyle name="Currency 4 2" xfId="57"/>
    <cellStyle name="Currency 5" xfId="58"/>
    <cellStyle name="Currency 5 2" xfId="59"/>
    <cellStyle name="Currency 6" xfId="60"/>
    <cellStyle name="Currency 7" xfId="61"/>
    <cellStyle name="Currency 8" xfId="62"/>
    <cellStyle name="Currency 9" xfId="63"/>
    <cellStyle name="Currency 9 2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2" xfId="74"/>
    <cellStyle name="Normal 2 2" xfId="75"/>
    <cellStyle name="Normal 2 3" xfId="76"/>
    <cellStyle name="Normal 2 4" xfId="77"/>
    <cellStyle name="Normal 2 5" xfId="78"/>
    <cellStyle name="Normal 2 6" xfId="79"/>
    <cellStyle name="Normal 2 7" xfId="80"/>
    <cellStyle name="Normal 2 8" xfId="81"/>
    <cellStyle name="Normal 3" xfId="82"/>
    <cellStyle name="Normal 4" xfId="83"/>
    <cellStyle name="Normal 4 2" xfId="84"/>
    <cellStyle name="Normal 5" xfId="85"/>
    <cellStyle name="Normal 5 2" xfId="86"/>
    <cellStyle name="Normal 6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Layout" workbookViewId="0" topLeftCell="A1">
      <selection activeCell="H10" sqref="H10"/>
    </sheetView>
  </sheetViews>
  <sheetFormatPr defaultColWidth="9.140625" defaultRowHeight="12.75"/>
  <cols>
    <col min="1" max="1" width="20.8515625" style="8" customWidth="1"/>
    <col min="2" max="2" width="11.28125" style="8" bestFit="1" customWidth="1"/>
    <col min="3" max="3" width="12.57421875" style="8" bestFit="1" customWidth="1"/>
    <col min="4" max="4" width="12.140625" style="8" bestFit="1" customWidth="1"/>
    <col min="5" max="5" width="12.57421875" style="8" bestFit="1" customWidth="1"/>
    <col min="6" max="6" width="11.28125" style="8" bestFit="1" customWidth="1"/>
    <col min="7" max="7" width="12.00390625" style="8" bestFit="1" customWidth="1"/>
    <col min="8" max="8" width="10.421875" style="8" bestFit="1" customWidth="1"/>
    <col min="9" max="9" width="10.7109375" style="8" bestFit="1" customWidth="1"/>
    <col min="10" max="10" width="11.8515625" style="8" bestFit="1" customWidth="1"/>
    <col min="11" max="12" width="11.28125" style="8" bestFit="1" customWidth="1"/>
    <col min="13" max="13" width="10.7109375" style="8" bestFit="1" customWidth="1"/>
    <col min="14" max="16384" width="9.140625" style="8" customWidth="1"/>
  </cols>
  <sheetData>
    <row r="1" spans="1:16" ht="12.7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17"/>
      <c r="K1" s="17"/>
      <c r="L1" s="17"/>
      <c r="M1" s="17"/>
      <c r="N1" s="17"/>
      <c r="O1" s="17"/>
      <c r="P1" s="17"/>
    </row>
    <row r="2" spans="2:3" ht="11.25">
      <c r="B2" s="4"/>
      <c r="C2" s="4"/>
    </row>
    <row r="3" spans="2:12" ht="12.75" customHeight="1">
      <c r="B3" s="31" t="s">
        <v>24</v>
      </c>
      <c r="C3" s="31"/>
      <c r="D3" s="32"/>
      <c r="E3" s="33" t="s">
        <v>27</v>
      </c>
      <c r="F3" s="31"/>
      <c r="G3" s="31"/>
      <c r="H3" s="31"/>
      <c r="I3" s="24"/>
      <c r="J3" s="27"/>
      <c r="K3" s="27"/>
      <c r="L3" s="25"/>
    </row>
    <row r="4" spans="2:9" ht="11.25">
      <c r="B4" s="13" t="s">
        <v>4</v>
      </c>
      <c r="C4" s="13" t="s">
        <v>22</v>
      </c>
      <c r="D4" s="15" t="s">
        <v>3</v>
      </c>
      <c r="E4" s="18" t="s">
        <v>22</v>
      </c>
      <c r="F4" s="13" t="s">
        <v>4</v>
      </c>
      <c r="G4" s="13" t="s">
        <v>17</v>
      </c>
      <c r="H4" s="12" t="s">
        <v>28</v>
      </c>
      <c r="I4" s="13" t="s">
        <v>0</v>
      </c>
    </row>
    <row r="5" spans="4:8" ht="11.25">
      <c r="D5" s="11"/>
      <c r="E5" s="7"/>
      <c r="H5" s="11"/>
    </row>
    <row r="6" spans="1:9" s="4" customFormat="1" ht="11.25">
      <c r="A6" s="4" t="s">
        <v>1</v>
      </c>
      <c r="B6" s="4">
        <f>July!B6</f>
        <v>79002.66</v>
      </c>
      <c r="C6" s="4">
        <f>July!C6</f>
        <v>843.67</v>
      </c>
      <c r="D6" s="6">
        <f aca="true" t="shared" si="0" ref="D6:D12">SUM(B6:C6)</f>
        <v>79846.33</v>
      </c>
      <c r="E6" s="4">
        <f>July!E6</f>
        <v>16158.82</v>
      </c>
      <c r="F6" s="8">
        <f>July!F6</f>
        <v>27644.32</v>
      </c>
      <c r="G6" s="4">
        <f>July!G6</f>
        <v>32782.350000000006</v>
      </c>
      <c r="H6" s="6">
        <f aca="true" t="shared" si="1" ref="H6:H12">SUM(E6:G6)</f>
        <v>76585.49</v>
      </c>
      <c r="I6" s="4">
        <f aca="true" t="shared" si="2" ref="I6:I12">D6+H6</f>
        <v>156431.82</v>
      </c>
    </row>
    <row r="7" spans="1:9" ht="11.25">
      <c r="A7" s="22" t="s">
        <v>12</v>
      </c>
      <c r="B7" s="8">
        <f>July!B7+Aug!B7+Sept!B7+Oct!B7+Nov!B7+Dec!B7+Jan!B7+Feb!B7+March!B7+April!B7+May!B7+June!B7</f>
        <v>42882.15</v>
      </c>
      <c r="C7" s="8">
        <f>Oct!C7+Nov!C7+Dec!C7+Jan!C7+Feb!C7+March!C7+April!C7+May!C7+June!C7</f>
        <v>1133.47</v>
      </c>
      <c r="D7" s="11">
        <f t="shared" si="0"/>
        <v>44015.62</v>
      </c>
      <c r="E7" s="8">
        <f>July!E7+Aug!E7+Sept!E7+Oct!E7+Nov!E7+Dec!E7+Jan!E7+Feb!E7+March!E7+April!E7+May!E7+June!E7</f>
        <v>25991.789999999997</v>
      </c>
      <c r="F7" s="8">
        <f>July!F7+Aug!F7+Sept!F7+Oct!F7+Nov!F7+Dec!F7+Jan!F7+Feb!F7+March!F7+April!F7+May!F7+June!F7</f>
        <v>40935</v>
      </c>
      <c r="G7" s="8">
        <f>July!G7+Aug!G7+Sept!G7+Oct!G7+Nov!G7+Dec!G7+Jan!G7+Feb!G7+March!G7+April!G7+May!G7+June!G7</f>
        <v>1717.8700000000001</v>
      </c>
      <c r="H7" s="11">
        <f t="shared" si="1"/>
        <v>68644.65999999999</v>
      </c>
      <c r="I7" s="4">
        <f t="shared" si="2"/>
        <v>112660.28</v>
      </c>
    </row>
    <row r="8" spans="1:9" ht="11.25">
      <c r="A8" s="8" t="s">
        <v>13</v>
      </c>
      <c r="B8" s="8">
        <f>July!B8+Aug!B8+Sept!B8+Oct!B8+Nov!B8+Dec!B8+Jan!B8+Feb!B8+March!B8+April!B8+May!B8+June!B8</f>
        <v>2045.5</v>
      </c>
      <c r="C8" s="8">
        <f>Oct!C8+Nov!C8+Dec!C8+Jan!C8+Feb!C8+March!C8+April!C8+May!C8+June!C8</f>
        <v>165.78</v>
      </c>
      <c r="D8" s="11">
        <f t="shared" si="0"/>
        <v>2211.28</v>
      </c>
      <c r="E8" s="8">
        <f>July!E8+Aug!E8+Sept!E8+Oct!E8+Nov!E8+Dec!E8+Jan!E8+Feb!E8+March!E8+April!E8+May!E8+June!E8</f>
        <v>0</v>
      </c>
      <c r="F8" s="8">
        <f>July!F8+Aug!F8+Sept!F8+Oct!F8+Nov!F8+Dec!F8+Jan!F8+Feb!F8+March!F8+April!F8+May!F8+June!F8</f>
        <v>0</v>
      </c>
      <c r="G8" s="8">
        <f>July!G8+Aug!G8+Sept!G8+Oct!G8+Nov!G8+Dec!G8+Jan!G8+Feb!G8+March!G8+April!G8+May!G8+June!G8</f>
        <v>1625.48</v>
      </c>
      <c r="H8" s="11">
        <f t="shared" si="1"/>
        <v>1625.48</v>
      </c>
      <c r="I8" s="4">
        <f t="shared" si="2"/>
        <v>3836.76</v>
      </c>
    </row>
    <row r="9" spans="1:9" ht="11.25">
      <c r="A9" s="8" t="s">
        <v>0</v>
      </c>
      <c r="B9" s="8">
        <f aca="true" t="shared" si="3" ref="B9:G9">SUM(B6:B8)</f>
        <v>123930.31</v>
      </c>
      <c r="C9" s="8">
        <f>SUM(C6:C8)</f>
        <v>2142.92</v>
      </c>
      <c r="D9" s="11">
        <f t="shared" si="0"/>
        <v>126073.23</v>
      </c>
      <c r="E9" s="8">
        <f t="shared" si="3"/>
        <v>42150.61</v>
      </c>
      <c r="F9" s="8">
        <f t="shared" si="3"/>
        <v>68579.32</v>
      </c>
      <c r="G9" s="8">
        <f t="shared" si="3"/>
        <v>36125.70000000001</v>
      </c>
      <c r="H9" s="11">
        <f t="shared" si="1"/>
        <v>146855.63</v>
      </c>
      <c r="I9" s="4">
        <f t="shared" si="2"/>
        <v>272928.86</v>
      </c>
    </row>
    <row r="10" spans="1:9" ht="11.25">
      <c r="A10" s="8" t="s">
        <v>14</v>
      </c>
      <c r="B10" s="8">
        <f>July!B10+Aug!B10+Sept!B10+Oct!B10+Nov!B10+Dec!B10+Jan!B10+Feb!B10+March!B10+April!B10+May!B10+June!B10</f>
        <v>9933.13</v>
      </c>
      <c r="C10" s="8">
        <f>Sept!C10+Oct!C10+Nov!C10+Dec!C10+Jan!C10+Feb!C10+March!C10+April!C10+May!C10+June!C10</f>
        <v>45.830000000000005</v>
      </c>
      <c r="D10" s="11">
        <f t="shared" si="0"/>
        <v>9978.96</v>
      </c>
      <c r="E10" s="8">
        <f>July!E10+Aug!E10+Sept!E10+Oct!E10+Nov!E10+Dec!E10+Jan!E10+Feb!E10+March!E10+April!E10+May!E10+June!E10</f>
        <v>6247.15</v>
      </c>
      <c r="F10" s="8">
        <f>July!F10+Aug!F10+Sept!F10+Oct!F10+Nov!F10+Dec!F10+Jan!F10+Feb!F10+March!F10+April!F10+May!F10+June!F10</f>
        <v>43756.76</v>
      </c>
      <c r="G10" s="8">
        <f>July!G10+Aug!G10+Sept!G10+Oct!G10+Nov!G10+Dec!G10+Jan!G10+Feb!G10+March!G10+April!G10+May!G10+June!G10</f>
        <v>22647.53</v>
      </c>
      <c r="H10" s="11">
        <f t="shared" si="1"/>
        <v>72651.44</v>
      </c>
      <c r="I10" s="4">
        <f t="shared" si="2"/>
        <v>82630.4</v>
      </c>
    </row>
    <row r="11" spans="1:9" ht="11.25">
      <c r="A11" s="8" t="s">
        <v>15</v>
      </c>
      <c r="B11" s="8">
        <f>July!B11+Aug!B11+Sept!B11+Oct!B11+Nov!B11+Dec!B11+Jan!B11+Feb!B11+March!B11+April!B11+May!B11+June!B11</f>
        <v>0</v>
      </c>
      <c r="C11" s="8">
        <f>Oct!C11+Nov!C11+Dec!C11+Jan!C11+Feb!C11+March!C11+April!C11+May!C11+June!C11</f>
        <v>0</v>
      </c>
      <c r="D11" s="11">
        <f t="shared" si="0"/>
        <v>0</v>
      </c>
      <c r="E11" s="8">
        <f>July!E11+Aug!E11+Sept!E11+Oct!E11+Nov!E11+Dec!E11+Jan!E11+Feb!E11+March!E11+April!E11+May!E11+June!E11</f>
        <v>0</v>
      </c>
      <c r="F11" s="8">
        <f>July!F11+Aug!F11+Sept!F11+Oct!F11+Nov!F11+Dec!F11+Jan!F11+Feb!F11+March!F11+April!F11+May!F11+June!F11</f>
        <v>0</v>
      </c>
      <c r="G11" s="8">
        <f>July!G11+Aug!G11+Sept!G11+Oct!G11+Nov!G11+Dec!G11+Jan!G11+Feb!G11+March!G11+April!G11+May!G11+June!G11</f>
        <v>40202</v>
      </c>
      <c r="H11" s="11">
        <f t="shared" si="1"/>
        <v>40202</v>
      </c>
      <c r="I11" s="4">
        <f t="shared" si="2"/>
        <v>40202</v>
      </c>
    </row>
    <row r="12" spans="1:9" s="4" customFormat="1" ht="11.25">
      <c r="A12" s="4" t="s">
        <v>2</v>
      </c>
      <c r="B12" s="4">
        <f aca="true" t="shared" si="4" ref="B12:G12">B9-B10-B11</f>
        <v>113997.18</v>
      </c>
      <c r="C12" s="4">
        <f>C9-C10-C11</f>
        <v>2097.09</v>
      </c>
      <c r="D12" s="6">
        <f t="shared" si="0"/>
        <v>116094.26999999999</v>
      </c>
      <c r="E12" s="4">
        <f t="shared" si="4"/>
        <v>35903.46</v>
      </c>
      <c r="F12" s="4">
        <f t="shared" si="4"/>
        <v>24822.560000000005</v>
      </c>
      <c r="G12" s="4">
        <f t="shared" si="4"/>
        <v>-26723.829999999987</v>
      </c>
      <c r="H12" s="6">
        <f t="shared" si="1"/>
        <v>34002.19000000002</v>
      </c>
      <c r="I12" s="4">
        <f t="shared" si="2"/>
        <v>150096.46000000002</v>
      </c>
    </row>
    <row r="13" ht="11.25">
      <c r="G13" s="10"/>
    </row>
    <row r="14" spans="1:7" ht="11.25">
      <c r="A14" s="8" t="s">
        <v>5</v>
      </c>
      <c r="B14" s="16"/>
      <c r="C14" s="16"/>
      <c r="G14" s="10"/>
    </row>
    <row r="15" spans="1:7" ht="11.25">
      <c r="A15" s="7" t="s">
        <v>29</v>
      </c>
      <c r="B15" s="16"/>
      <c r="C15" s="16"/>
      <c r="G15" s="10"/>
    </row>
    <row r="17" spans="2:7" ht="11.25">
      <c r="B17" s="14"/>
      <c r="C17" s="14"/>
      <c r="G17" s="10"/>
    </row>
    <row r="18" ht="11.25">
      <c r="G18" s="10"/>
    </row>
    <row r="20" spans="1:12" ht="12.75" customHeight="1">
      <c r="A20" s="34" t="s">
        <v>16</v>
      </c>
      <c r="B20" s="34"/>
      <c r="C20" s="34"/>
      <c r="D20" s="34"/>
      <c r="E20" s="34"/>
      <c r="F20" s="34"/>
      <c r="G20" s="34"/>
      <c r="H20" s="34"/>
      <c r="I20" s="34"/>
      <c r="J20" s="26"/>
      <c r="K20" s="26"/>
      <c r="L20" s="26"/>
    </row>
    <row r="22" spans="2:9" ht="11.25">
      <c r="B22" s="13" t="s">
        <v>4</v>
      </c>
      <c r="C22" s="13" t="s">
        <v>6</v>
      </c>
      <c r="D22" s="13" t="s">
        <v>7</v>
      </c>
      <c r="E22" s="13" t="s">
        <v>8</v>
      </c>
      <c r="F22" s="2" t="s">
        <v>22</v>
      </c>
      <c r="G22" s="13" t="s">
        <v>9</v>
      </c>
      <c r="H22" s="13" t="s">
        <v>10</v>
      </c>
      <c r="I22" s="13" t="s">
        <v>0</v>
      </c>
    </row>
    <row r="23" ht="11.25">
      <c r="F23" s="7"/>
    </row>
    <row r="24" spans="1:9" s="4" customFormat="1" ht="11.25">
      <c r="A24" s="4" t="s">
        <v>1</v>
      </c>
      <c r="B24" s="4">
        <f>July!B24</f>
        <v>-61933.83</v>
      </c>
      <c r="C24" s="4">
        <f>July!C24</f>
        <v>2187.91</v>
      </c>
      <c r="D24" s="4">
        <f>July!D24</f>
        <v>3180</v>
      </c>
      <c r="E24" s="4">
        <f>July!E24</f>
        <v>19285.8</v>
      </c>
      <c r="F24" s="4">
        <f>July!F24</f>
        <v>48204.66</v>
      </c>
      <c r="G24" s="4">
        <f>July!G24</f>
        <v>6595.06</v>
      </c>
      <c r="H24" s="4">
        <f>July!H24</f>
        <v>-7564.449999999999</v>
      </c>
      <c r="I24" s="4">
        <f aca="true" t="shared" si="5" ref="I24:I30">SUM(B24:H24)</f>
        <v>9955.15000000001</v>
      </c>
    </row>
    <row r="25" spans="1:9" ht="11.25">
      <c r="A25" s="8" t="s">
        <v>12</v>
      </c>
      <c r="B25" s="8">
        <f>SUM(July:June!B25)</f>
        <v>3147.1800000000003</v>
      </c>
      <c r="C25" s="8">
        <f>SUM(July:June!C25)</f>
        <v>1029.9</v>
      </c>
      <c r="D25" s="8">
        <f>SUM(July:June!D25)</f>
        <v>2790</v>
      </c>
      <c r="E25" s="8">
        <f>SUM(July:June!E25)</f>
        <v>23157.239999999998</v>
      </c>
      <c r="F25" s="8">
        <f>SUM(July:June!F25)</f>
        <v>51817.69000000001</v>
      </c>
      <c r="G25" s="8">
        <f>SUM(July:June!G25)</f>
        <v>9491</v>
      </c>
      <c r="H25" s="8">
        <f>SUM(July:June!H25)</f>
        <v>36450.58</v>
      </c>
      <c r="I25" s="8">
        <f>SUM(B25:H25)</f>
        <v>127883.59000000001</v>
      </c>
    </row>
    <row r="26" spans="1:9" ht="11.25">
      <c r="A26" s="8" t="s">
        <v>13</v>
      </c>
      <c r="B26" s="8">
        <f>SUM(July:June!B26)</f>
        <v>0</v>
      </c>
      <c r="C26" s="8">
        <f>SUM(July:June!C26)</f>
        <v>0</v>
      </c>
      <c r="D26" s="8">
        <f>SUM(July:June!D26)</f>
        <v>0</v>
      </c>
      <c r="E26" s="8">
        <f>SUM(July:June!E26)</f>
        <v>0</v>
      </c>
      <c r="F26" s="8">
        <f>SUM(July:June!F26)</f>
        <v>0</v>
      </c>
      <c r="G26" s="8">
        <f>SUM(July:June!G26)</f>
        <v>0</v>
      </c>
      <c r="H26" s="8">
        <f>SUM(July:June!H26)</f>
        <v>350.44000000000005</v>
      </c>
      <c r="I26" s="8">
        <f t="shared" si="5"/>
        <v>350.44000000000005</v>
      </c>
    </row>
    <row r="27" spans="1:9" ht="11.25">
      <c r="A27" s="8" t="s">
        <v>0</v>
      </c>
      <c r="B27" s="8">
        <f aca="true" t="shared" si="6" ref="B27:H27">SUM(B24:B26)</f>
        <v>-58786.65</v>
      </c>
      <c r="C27" s="8">
        <f t="shared" si="6"/>
        <v>3217.81</v>
      </c>
      <c r="D27" s="8">
        <f t="shared" si="6"/>
        <v>5970</v>
      </c>
      <c r="E27" s="8">
        <f t="shared" si="6"/>
        <v>42443.03999999999</v>
      </c>
      <c r="F27" s="8">
        <f t="shared" si="6"/>
        <v>100022.35</v>
      </c>
      <c r="G27" s="8">
        <f t="shared" si="6"/>
        <v>16086.060000000001</v>
      </c>
      <c r="H27" s="8">
        <f t="shared" si="6"/>
        <v>29236.570000000003</v>
      </c>
      <c r="I27" s="8">
        <f t="shared" si="5"/>
        <v>138189.18</v>
      </c>
    </row>
    <row r="28" spans="1:9" ht="11.25">
      <c r="A28" s="8" t="s">
        <v>14</v>
      </c>
      <c r="B28" s="8">
        <f>SUM(July:June!B28)</f>
        <v>57327.61000000001</v>
      </c>
      <c r="C28" s="8">
        <f>SUM(July:June!C28)</f>
        <v>329.19</v>
      </c>
      <c r="D28" s="8">
        <f>SUM(July:June!D28)</f>
        <v>0</v>
      </c>
      <c r="E28" s="8">
        <f>SUM(July:June!E28)</f>
        <v>5593.92</v>
      </c>
      <c r="F28" s="8">
        <f>SUM(July:June!F28)</f>
        <v>7878.489999999999</v>
      </c>
      <c r="G28" s="8">
        <f>SUM(July:June!G28)</f>
        <v>1035.74</v>
      </c>
      <c r="H28" s="8">
        <f>SUM(July:June!H28)</f>
        <v>424.14</v>
      </c>
      <c r="I28" s="8">
        <f t="shared" si="5"/>
        <v>72589.09000000001</v>
      </c>
    </row>
    <row r="29" spans="1:9" ht="11.25">
      <c r="A29" s="8" t="s">
        <v>15</v>
      </c>
      <c r="B29" s="8">
        <f>SUM(July:June!B29)</f>
        <v>0</v>
      </c>
      <c r="C29" s="8">
        <f>SUM(July:June!C29)</f>
        <v>0</v>
      </c>
      <c r="D29" s="8">
        <f>SUM(July:June!D29)</f>
        <v>0</v>
      </c>
      <c r="E29" s="8">
        <f>SUM(July:June!E29)</f>
        <v>0</v>
      </c>
      <c r="F29" s="8">
        <f>SUM(July:June!F29)</f>
        <v>0</v>
      </c>
      <c r="G29" s="8">
        <f>SUM(July:June!G29)</f>
        <v>0</v>
      </c>
      <c r="H29" s="8">
        <f>SUM(July:June!H29)</f>
        <v>11995</v>
      </c>
      <c r="I29" s="8">
        <f t="shared" si="5"/>
        <v>11995</v>
      </c>
    </row>
    <row r="30" spans="1:9" s="4" customFormat="1" ht="11.25">
      <c r="A30" s="4" t="s">
        <v>2</v>
      </c>
      <c r="B30" s="4">
        <f aca="true" t="shared" si="7" ref="B30:H30">B27-B28-B29</f>
        <v>-116114.26000000001</v>
      </c>
      <c r="C30" s="4">
        <f t="shared" si="7"/>
        <v>2888.62</v>
      </c>
      <c r="D30" s="4">
        <f t="shared" si="7"/>
        <v>5970</v>
      </c>
      <c r="E30" s="4">
        <f t="shared" si="7"/>
        <v>36849.119999999995</v>
      </c>
      <c r="F30" s="4">
        <f t="shared" si="7"/>
        <v>92143.86</v>
      </c>
      <c r="G30" s="4">
        <f t="shared" si="7"/>
        <v>15050.320000000002</v>
      </c>
      <c r="H30" s="4">
        <f t="shared" si="7"/>
        <v>16817.430000000004</v>
      </c>
      <c r="I30" s="4">
        <f t="shared" si="5"/>
        <v>53605.08999999998</v>
      </c>
    </row>
    <row r="35" spans="5:7" ht="11.25">
      <c r="E35" s="10"/>
      <c r="G35" s="10"/>
    </row>
  </sheetData>
  <sheetProtection/>
  <mergeCells count="4">
    <mergeCell ref="A1:I1"/>
    <mergeCell ref="B3:D3"/>
    <mergeCell ref="E3:H3"/>
    <mergeCell ref="A20:I20"/>
  </mergeCells>
  <printOptions/>
  <pageMargins left="0.5" right="0.5" top="1" bottom="1" header="0.5" footer="0.5"/>
  <pageSetup fitToHeight="1" fitToWidth="1" horizontalDpi="600" verticalDpi="600" orientation="landscape" r:id="rId1"/>
  <headerFooter alignWithMargins="0">
    <oddHeader>&amp;LSmathers Libraries Cash Revenue and Expenses
(inclusive of HSC and Borland)&amp;CFY 2011-2012
</oddHeader>
  </headerFooter>
  <ignoredErrors>
    <ignoredError sqref="D9:D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Layout" workbookViewId="0" topLeftCell="A1">
      <selection activeCell="D7" sqref="D7:D8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8" width="10.8515625" style="7" bestFit="1" customWidth="1"/>
    <col min="9" max="9" width="10.7109375" style="7" bestFit="1" customWidth="1"/>
    <col min="10" max="10" width="12.00390625" style="7" bestFit="1" customWidth="1"/>
    <col min="11" max="11" width="11.42187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28"/>
      <c r="K1" s="28"/>
    </row>
    <row r="2" spans="2:3" ht="11.25">
      <c r="B2" s="1"/>
      <c r="C2" s="1"/>
    </row>
    <row r="3" spans="1:12" ht="12.75" customHeight="1">
      <c r="A3" s="8"/>
      <c r="B3" s="31" t="s">
        <v>24</v>
      </c>
      <c r="C3" s="31"/>
      <c r="D3" s="32"/>
      <c r="E3" s="33" t="s">
        <v>23</v>
      </c>
      <c r="F3" s="31"/>
      <c r="G3" s="31"/>
      <c r="H3" s="31"/>
      <c r="I3" s="24"/>
      <c r="J3" s="27"/>
      <c r="K3" s="27"/>
      <c r="L3" s="25"/>
    </row>
    <row r="4" spans="1:10" ht="11.25">
      <c r="A4" s="8"/>
      <c r="B4" s="13" t="s">
        <v>4</v>
      </c>
      <c r="C4" s="13" t="s">
        <v>22</v>
      </c>
      <c r="D4" s="15" t="s">
        <v>3</v>
      </c>
      <c r="E4" s="18" t="s">
        <v>22</v>
      </c>
      <c r="F4" s="13" t="s">
        <v>4</v>
      </c>
      <c r="G4" s="13" t="s">
        <v>17</v>
      </c>
      <c r="H4" s="12" t="s">
        <v>28</v>
      </c>
      <c r="I4" s="13" t="s">
        <v>0</v>
      </c>
      <c r="J4" s="2"/>
    </row>
    <row r="5" spans="1:9" ht="11.25">
      <c r="A5" s="8"/>
      <c r="B5" s="8"/>
      <c r="C5" s="8"/>
      <c r="D5" s="11"/>
      <c r="F5" s="8"/>
      <c r="G5" s="8"/>
      <c r="H5" s="11"/>
      <c r="I5" s="8"/>
    </row>
    <row r="6" spans="1:10" s="3" customFormat="1" ht="11.25">
      <c r="A6" s="4" t="s">
        <v>1</v>
      </c>
      <c r="B6" s="4">
        <f>Feb!B12</f>
        <v>101907.46999999999</v>
      </c>
      <c r="C6" s="4">
        <f>Feb!C12</f>
        <v>1206.2</v>
      </c>
      <c r="D6" s="6">
        <f aca="true" t="shared" si="0" ref="D6:D12">SUM(B6:C6)</f>
        <v>103113.66999999998</v>
      </c>
      <c r="E6" s="4">
        <f>Feb!E12</f>
        <v>30406.46</v>
      </c>
      <c r="F6" s="4">
        <f>Feb!F12</f>
        <v>53000.64000000001</v>
      </c>
      <c r="G6" s="4">
        <f>Feb!G12</f>
        <v>3677.1500000000024</v>
      </c>
      <c r="H6" s="6">
        <f aca="true" t="shared" si="1" ref="H6:H12">SUM(E6:G6)</f>
        <v>87084.25000000001</v>
      </c>
      <c r="I6" s="4">
        <f aca="true" t="shared" si="2" ref="I6:I12">D6+H6</f>
        <v>190197.91999999998</v>
      </c>
      <c r="J6" s="5"/>
    </row>
    <row r="7" spans="1:10" ht="11.25">
      <c r="A7" s="8" t="s">
        <v>18</v>
      </c>
      <c r="B7" s="8">
        <f>712.5+8+686</f>
        <v>1406.5</v>
      </c>
      <c r="C7" s="8"/>
      <c r="D7" s="11">
        <f t="shared" si="0"/>
        <v>1406.5</v>
      </c>
      <c r="E7" s="8">
        <f>-154.13+2649.46-158.97</f>
        <v>2336.36</v>
      </c>
      <c r="F7" s="8">
        <f>53+3262+5+11+2430+25+96+30</f>
        <v>5912</v>
      </c>
      <c r="G7" s="8">
        <f>1000</f>
        <v>1000</v>
      </c>
      <c r="H7" s="6">
        <f t="shared" si="1"/>
        <v>9248.36</v>
      </c>
      <c r="I7" s="23">
        <f t="shared" si="2"/>
        <v>10654.86</v>
      </c>
      <c r="J7" s="9"/>
    </row>
    <row r="8" spans="1:10" ht="11.25">
      <c r="A8" s="8" t="s">
        <v>19</v>
      </c>
      <c r="B8" s="8">
        <f>230.1</f>
        <v>230.1</v>
      </c>
      <c r="C8" s="8">
        <v>0</v>
      </c>
      <c r="D8" s="11">
        <f t="shared" si="0"/>
        <v>230.1</v>
      </c>
      <c r="E8" s="8">
        <v>0</v>
      </c>
      <c r="F8" s="8">
        <v>0</v>
      </c>
      <c r="G8" s="8">
        <f>194.33</f>
        <v>194.33</v>
      </c>
      <c r="H8" s="6">
        <f t="shared" si="1"/>
        <v>194.33</v>
      </c>
      <c r="I8" s="23">
        <f t="shared" si="2"/>
        <v>424.43</v>
      </c>
      <c r="J8" s="9"/>
    </row>
    <row r="9" spans="1:10" ht="11.25">
      <c r="A9" s="8" t="s">
        <v>0</v>
      </c>
      <c r="B9" s="8">
        <f>SUM(B6:B8)</f>
        <v>103544.06999999999</v>
      </c>
      <c r="C9" s="8">
        <f>SUM(C6:C8)</f>
        <v>1206.2</v>
      </c>
      <c r="D9" s="11">
        <f t="shared" si="0"/>
        <v>104750.26999999999</v>
      </c>
      <c r="E9" s="8">
        <f>SUM(E6:E8)</f>
        <v>32742.82</v>
      </c>
      <c r="F9" s="8">
        <f>SUM(F6:F8)</f>
        <v>58912.64000000001</v>
      </c>
      <c r="G9" s="8">
        <f>SUM(G6:G8)</f>
        <v>4871.480000000002</v>
      </c>
      <c r="H9" s="11">
        <f t="shared" si="1"/>
        <v>96526.94</v>
      </c>
      <c r="I9" s="23">
        <f t="shared" si="2"/>
        <v>201277.21</v>
      </c>
      <c r="J9" s="9"/>
    </row>
    <row r="10" spans="1:10" ht="11.25">
      <c r="A10" s="8" t="s">
        <v>20</v>
      </c>
      <c r="B10" s="8">
        <f>75+17.42</f>
        <v>92.42</v>
      </c>
      <c r="C10" s="8">
        <v>0</v>
      </c>
      <c r="D10" s="11">
        <f t="shared" si="0"/>
        <v>92.42</v>
      </c>
      <c r="E10" s="8">
        <f>64.62</f>
        <v>64.62</v>
      </c>
      <c r="F10" s="8">
        <f>56+211.32+121.95</f>
        <v>389.27</v>
      </c>
      <c r="G10" s="8">
        <v>0</v>
      </c>
      <c r="H10" s="6">
        <f t="shared" si="1"/>
        <v>453.89</v>
      </c>
      <c r="I10" s="23">
        <f t="shared" si="2"/>
        <v>546.31</v>
      </c>
      <c r="J10" s="9"/>
    </row>
    <row r="11" spans="1:10" ht="11.25">
      <c r="A11" s="8" t="s">
        <v>21</v>
      </c>
      <c r="B11" s="8">
        <v>0</v>
      </c>
      <c r="C11" s="8">
        <v>0</v>
      </c>
      <c r="D11" s="11">
        <f t="shared" si="0"/>
        <v>0</v>
      </c>
      <c r="E11" s="8">
        <v>0</v>
      </c>
      <c r="F11" s="8">
        <v>0</v>
      </c>
      <c r="G11" s="8">
        <f>1425+719+1511</f>
        <v>3655</v>
      </c>
      <c r="H11" s="6">
        <f t="shared" si="1"/>
        <v>3655</v>
      </c>
      <c r="I11" s="23">
        <f t="shared" si="2"/>
        <v>3655</v>
      </c>
      <c r="J11" s="9"/>
    </row>
    <row r="12" spans="1:10" s="3" customFormat="1" ht="11.25">
      <c r="A12" s="4" t="s">
        <v>2</v>
      </c>
      <c r="B12" s="4">
        <f>B9-B10-B11</f>
        <v>103451.65</v>
      </c>
      <c r="C12" s="4">
        <f>C9-C10-C11</f>
        <v>1206.2</v>
      </c>
      <c r="D12" s="6">
        <f t="shared" si="0"/>
        <v>104657.84999999999</v>
      </c>
      <c r="E12" s="4">
        <f>E9-E10-E11</f>
        <v>32678.2</v>
      </c>
      <c r="F12" s="4">
        <f>F9-F10-F11</f>
        <v>58523.37000000001</v>
      </c>
      <c r="G12" s="4">
        <f>G9-G10-G11</f>
        <v>1216.4800000000023</v>
      </c>
      <c r="H12" s="6">
        <f t="shared" si="1"/>
        <v>92418.05</v>
      </c>
      <c r="I12" s="4">
        <f t="shared" si="2"/>
        <v>197075.9</v>
      </c>
      <c r="J12" s="5"/>
    </row>
    <row r="13" spans="1:12" ht="11.2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1.2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1:12" ht="11.25">
      <c r="A15" s="7" t="s">
        <v>29</v>
      </c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1:12" ht="11.25">
      <c r="A16" s="7" t="s">
        <v>35</v>
      </c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1.2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1.2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1.25">
      <c r="A20" s="34" t="s">
        <v>11</v>
      </c>
      <c r="B20" s="34"/>
      <c r="C20" s="34"/>
      <c r="D20" s="34"/>
      <c r="E20" s="34"/>
      <c r="F20" s="34"/>
      <c r="G20" s="34"/>
      <c r="H20" s="34"/>
      <c r="I20" s="34"/>
      <c r="J20" s="26"/>
      <c r="K20" s="26"/>
      <c r="L20" s="26"/>
      <c r="M20" s="19"/>
    </row>
    <row r="21" spans="1:12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1.25">
      <c r="A22" s="8"/>
      <c r="B22" s="13" t="s">
        <v>4</v>
      </c>
      <c r="C22" s="13" t="s">
        <v>6</v>
      </c>
      <c r="D22" s="13" t="s">
        <v>7</v>
      </c>
      <c r="E22" s="13" t="s">
        <v>8</v>
      </c>
      <c r="F22" s="2" t="s">
        <v>22</v>
      </c>
      <c r="G22" s="13" t="s">
        <v>9</v>
      </c>
      <c r="H22" s="15" t="s">
        <v>10</v>
      </c>
      <c r="I22" s="13" t="s">
        <v>0</v>
      </c>
      <c r="J22" s="2"/>
    </row>
    <row r="23" spans="1:9" ht="11.25">
      <c r="A23" s="8"/>
      <c r="B23" s="8"/>
      <c r="C23" s="8"/>
      <c r="D23" s="8"/>
      <c r="E23" s="8"/>
      <c r="G23" s="8"/>
      <c r="H23" s="11"/>
      <c r="I23" s="8"/>
    </row>
    <row r="24" spans="1:10" s="3" customFormat="1" ht="11.25">
      <c r="A24" s="4" t="s">
        <v>1</v>
      </c>
      <c r="B24" s="4">
        <f>Feb!B30</f>
        <v>-102033.35</v>
      </c>
      <c r="C24" s="4">
        <f>Feb!C30</f>
        <v>2532.5400000000004</v>
      </c>
      <c r="D24" s="4">
        <f>Feb!D30</f>
        <v>5100</v>
      </c>
      <c r="E24" s="4">
        <f>Feb!E30</f>
        <v>26623.640000000003</v>
      </c>
      <c r="F24" s="4">
        <f>Feb!F30</f>
        <v>76774.71</v>
      </c>
      <c r="G24" s="4">
        <f>Feb!G30</f>
        <v>9289.320000000002</v>
      </c>
      <c r="H24" s="6">
        <f>Feb!H30</f>
        <v>-13743.399999999998</v>
      </c>
      <c r="I24" s="4">
        <f aca="true" t="shared" si="3" ref="I24:I30">SUM(B24:H24)</f>
        <v>4543.4599999999955</v>
      </c>
      <c r="J24" s="5"/>
    </row>
    <row r="25" spans="1:10" ht="11.25">
      <c r="A25" s="8" t="s">
        <v>18</v>
      </c>
      <c r="B25" s="8">
        <f>80+105+20</f>
        <v>205</v>
      </c>
      <c r="C25" s="8">
        <f>187.5+25+17.5</f>
        <v>230</v>
      </c>
      <c r="D25" s="8">
        <f>80+140+40</f>
        <v>260</v>
      </c>
      <c r="E25" s="8">
        <f>416.22+555.01+73.9+930.24+185.94+175.24+3754.53+212.75+139.6+183.61</f>
        <v>6627.04</v>
      </c>
      <c r="F25" s="8">
        <f>-256.97+5415.76-324.95</f>
        <v>4833.84</v>
      </c>
      <c r="G25" s="8">
        <f>150</f>
        <v>150</v>
      </c>
      <c r="H25" s="11">
        <v>0</v>
      </c>
      <c r="I25" s="8">
        <f t="shared" si="3"/>
        <v>12305.880000000001</v>
      </c>
      <c r="J25" s="9"/>
    </row>
    <row r="26" spans="1:10" ht="11.25">
      <c r="A26" s="8" t="s">
        <v>19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1">
        <v>24.04</v>
      </c>
      <c r="I26" s="8">
        <f t="shared" si="3"/>
        <v>24.04</v>
      </c>
      <c r="J26" s="9"/>
    </row>
    <row r="27" spans="1:10" ht="11.25">
      <c r="A27" s="8" t="s">
        <v>0</v>
      </c>
      <c r="B27" s="8">
        <f aca="true" t="shared" si="4" ref="B27:H27">SUM(B24:B26)</f>
        <v>-101828.35</v>
      </c>
      <c r="C27" s="8">
        <f t="shared" si="4"/>
        <v>2762.5400000000004</v>
      </c>
      <c r="D27" s="8">
        <f t="shared" si="4"/>
        <v>5360</v>
      </c>
      <c r="E27" s="8">
        <f t="shared" si="4"/>
        <v>33250.68</v>
      </c>
      <c r="F27" s="8">
        <f t="shared" si="4"/>
        <v>81608.55</v>
      </c>
      <c r="G27" s="8">
        <f t="shared" si="4"/>
        <v>9439.320000000002</v>
      </c>
      <c r="H27" s="11">
        <f t="shared" si="4"/>
        <v>-13719.359999999997</v>
      </c>
      <c r="I27" s="4">
        <f t="shared" si="3"/>
        <v>16873.379999999994</v>
      </c>
      <c r="J27" s="9"/>
    </row>
    <row r="28" spans="1:10" ht="11.25">
      <c r="A28" s="8" t="s">
        <v>20</v>
      </c>
      <c r="B28" s="8">
        <f>3606.12-2459.36+138.45+33.44</f>
        <v>1318.6499999999999</v>
      </c>
      <c r="C28" s="8">
        <v>0</v>
      </c>
      <c r="D28" s="8">
        <v>0</v>
      </c>
      <c r="E28" s="8">
        <f>187.99+89.92+187.04+76.31</f>
        <v>541.26</v>
      </c>
      <c r="F28" s="8">
        <f>161.96+633.11</f>
        <v>795.07</v>
      </c>
      <c r="G28" s="8">
        <v>0</v>
      </c>
      <c r="H28" s="11">
        <v>0</v>
      </c>
      <c r="I28" s="8">
        <f t="shared" si="3"/>
        <v>2654.98</v>
      </c>
      <c r="J28" s="9"/>
    </row>
    <row r="29" spans="1:10" ht="11.25">
      <c r="A29" s="8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1">
        <f>664+335</f>
        <v>999</v>
      </c>
      <c r="I29" s="8">
        <f t="shared" si="3"/>
        <v>999</v>
      </c>
      <c r="J29" s="9"/>
    </row>
    <row r="30" spans="1:10" s="3" customFormat="1" ht="11.25">
      <c r="A30" s="4" t="s">
        <v>2</v>
      </c>
      <c r="B30" s="4">
        <f aca="true" t="shared" si="5" ref="B30:H30">B27-B28-B29</f>
        <v>-103147</v>
      </c>
      <c r="C30" s="4">
        <f t="shared" si="5"/>
        <v>2762.5400000000004</v>
      </c>
      <c r="D30" s="4">
        <f t="shared" si="5"/>
        <v>5360</v>
      </c>
      <c r="E30" s="4">
        <f t="shared" si="5"/>
        <v>32709.420000000002</v>
      </c>
      <c r="F30" s="4">
        <f t="shared" si="5"/>
        <v>80813.48</v>
      </c>
      <c r="G30" s="4">
        <f t="shared" si="5"/>
        <v>9439.320000000002</v>
      </c>
      <c r="H30" s="6">
        <f t="shared" si="5"/>
        <v>-14718.359999999997</v>
      </c>
      <c r="I30" s="4">
        <f t="shared" si="3"/>
        <v>13219.39999999999</v>
      </c>
      <c r="J30" s="5"/>
    </row>
    <row r="32" ht="11.25">
      <c r="A32" s="8" t="s">
        <v>5</v>
      </c>
    </row>
    <row r="33" ht="11.25">
      <c r="A33" s="8" t="s">
        <v>33</v>
      </c>
    </row>
    <row r="34" ht="11.25">
      <c r="A34" s="8" t="s">
        <v>34</v>
      </c>
    </row>
    <row r="35" ht="11.25">
      <c r="A35" s="8" t="s">
        <v>36</v>
      </c>
    </row>
    <row r="36" ht="11.25">
      <c r="A36" s="8"/>
    </row>
  </sheetData>
  <sheetProtection/>
  <mergeCells count="4">
    <mergeCell ref="B3:D3"/>
    <mergeCell ref="E3:H3"/>
    <mergeCell ref="A1:I1"/>
    <mergeCell ref="A20:I20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&amp;LAuxiliary Revenue and Expenses&amp;CMarch 2012</oddHeader>
  </headerFooter>
  <ignoredErrors>
    <ignoredError sqref="D9:D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Layout" workbookViewId="0" topLeftCell="A1">
      <selection activeCell="A33" sqref="A33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8" width="10.8515625" style="7" bestFit="1" customWidth="1"/>
    <col min="9" max="9" width="10.7109375" style="7" bestFit="1" customWidth="1"/>
    <col min="10" max="10" width="12.00390625" style="7" bestFit="1" customWidth="1"/>
    <col min="11" max="11" width="11.42187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28"/>
      <c r="K1" s="28"/>
    </row>
    <row r="2" spans="2:3" ht="11.25">
      <c r="B2" s="1"/>
      <c r="C2" s="1"/>
    </row>
    <row r="3" spans="1:12" ht="12.75" customHeight="1">
      <c r="A3" s="8"/>
      <c r="B3" s="31" t="s">
        <v>24</v>
      </c>
      <c r="C3" s="31"/>
      <c r="D3" s="32"/>
      <c r="E3" s="33" t="s">
        <v>23</v>
      </c>
      <c r="F3" s="31"/>
      <c r="G3" s="31"/>
      <c r="H3" s="31"/>
      <c r="I3" s="24"/>
      <c r="J3" s="27"/>
      <c r="K3" s="27"/>
      <c r="L3" s="25"/>
    </row>
    <row r="4" spans="1:10" ht="11.25">
      <c r="A4" s="8"/>
      <c r="B4" s="13" t="s">
        <v>4</v>
      </c>
      <c r="C4" s="13" t="s">
        <v>22</v>
      </c>
      <c r="D4" s="15" t="s">
        <v>3</v>
      </c>
      <c r="E4" s="18" t="s">
        <v>22</v>
      </c>
      <c r="F4" s="13" t="s">
        <v>4</v>
      </c>
      <c r="G4" s="13" t="s">
        <v>17</v>
      </c>
      <c r="H4" s="12" t="s">
        <v>28</v>
      </c>
      <c r="I4" s="13" t="s">
        <v>0</v>
      </c>
      <c r="J4" s="2"/>
    </row>
    <row r="5" spans="1:9" ht="11.25">
      <c r="A5" s="8"/>
      <c r="B5" s="8"/>
      <c r="C5" s="8"/>
      <c r="D5" s="11"/>
      <c r="F5" s="8"/>
      <c r="G5" s="8"/>
      <c r="H5" s="11"/>
      <c r="I5" s="8"/>
    </row>
    <row r="6" spans="1:10" s="3" customFormat="1" ht="11.25">
      <c r="A6" s="4" t="s">
        <v>1</v>
      </c>
      <c r="B6" s="4">
        <f>March!B12</f>
        <v>103451.65</v>
      </c>
      <c r="C6" s="4">
        <f>March!C12</f>
        <v>1206.2</v>
      </c>
      <c r="D6" s="6">
        <f aca="true" t="shared" si="0" ref="D6:D12">SUM(B6:C6)</f>
        <v>104657.84999999999</v>
      </c>
      <c r="E6" s="4">
        <f>March!E12</f>
        <v>32678.2</v>
      </c>
      <c r="F6" s="4">
        <f>March!F12</f>
        <v>58523.37000000001</v>
      </c>
      <c r="G6" s="4">
        <f>March!G12</f>
        <v>1216.4800000000023</v>
      </c>
      <c r="H6" s="6">
        <f aca="true" t="shared" si="1" ref="H6:H12">SUM(E6:G6)</f>
        <v>92418.05</v>
      </c>
      <c r="I6" s="4">
        <f aca="true" t="shared" si="2" ref="I6:I12">D6+H6</f>
        <v>197075.9</v>
      </c>
      <c r="J6" s="5"/>
    </row>
    <row r="7" spans="1:10" ht="11.25">
      <c r="A7" s="8" t="s">
        <v>18</v>
      </c>
      <c r="B7" s="8">
        <f>2500+4500+500</f>
        <v>7500</v>
      </c>
      <c r="C7" s="8">
        <v>0</v>
      </c>
      <c r="D7" s="11">
        <f t="shared" si="0"/>
        <v>7500</v>
      </c>
      <c r="E7" s="8">
        <f>2465.44</f>
        <v>2465.44</v>
      </c>
      <c r="F7" s="8">
        <f>147+110+37+47+372+80</f>
        <v>793</v>
      </c>
      <c r="G7" s="8">
        <f>471.7</f>
        <v>471.7</v>
      </c>
      <c r="H7" s="6">
        <f t="shared" si="1"/>
        <v>3730.14</v>
      </c>
      <c r="I7" s="23">
        <f t="shared" si="2"/>
        <v>11230.14</v>
      </c>
      <c r="J7" s="9"/>
    </row>
    <row r="8" spans="1:10" ht="11.25">
      <c r="A8" s="8" t="s">
        <v>19</v>
      </c>
      <c r="B8" s="8">
        <f>84.44+170.59-84.44</f>
        <v>170.59</v>
      </c>
      <c r="C8" s="8">
        <v>0</v>
      </c>
      <c r="D8" s="11">
        <f t="shared" si="0"/>
        <v>170.59</v>
      </c>
      <c r="E8" s="8">
        <v>0</v>
      </c>
      <c r="F8" s="8">
        <v>0</v>
      </c>
      <c r="G8" s="8">
        <f>148.66</f>
        <v>148.66</v>
      </c>
      <c r="H8" s="6">
        <f t="shared" si="1"/>
        <v>148.66</v>
      </c>
      <c r="I8" s="23">
        <f t="shared" si="2"/>
        <v>319.25</v>
      </c>
      <c r="J8" s="9"/>
    </row>
    <row r="9" spans="1:10" ht="11.25">
      <c r="A9" s="8" t="s">
        <v>0</v>
      </c>
      <c r="B9" s="8">
        <f>SUM(B6:B8)</f>
        <v>111122.23999999999</v>
      </c>
      <c r="C9" s="8">
        <f>SUM(C6:C8)</f>
        <v>1206.2</v>
      </c>
      <c r="D9" s="11">
        <f t="shared" si="0"/>
        <v>112328.43999999999</v>
      </c>
      <c r="E9" s="8">
        <f>SUM(E6:E8)</f>
        <v>35143.64</v>
      </c>
      <c r="F9" s="8">
        <f>SUM(F6:F8)</f>
        <v>59316.37000000001</v>
      </c>
      <c r="G9" s="8">
        <f>SUM(G6:G8)</f>
        <v>1836.8400000000024</v>
      </c>
      <c r="H9" s="11">
        <f t="shared" si="1"/>
        <v>96296.85</v>
      </c>
      <c r="I9" s="23">
        <f t="shared" si="2"/>
        <v>208625.28999999998</v>
      </c>
      <c r="J9" s="9"/>
    </row>
    <row r="10" spans="1:10" ht="11.25">
      <c r="A10" s="8" t="s">
        <v>20</v>
      </c>
      <c r="B10" s="8">
        <f>200.1+49.5</f>
        <v>249.6</v>
      </c>
      <c r="C10" s="8">
        <f>6.38</f>
        <v>6.38</v>
      </c>
      <c r="D10" s="11">
        <f t="shared" si="0"/>
        <v>255.98</v>
      </c>
      <c r="E10" s="8">
        <f>710.65</f>
        <v>710.65</v>
      </c>
      <c r="F10" s="8">
        <f>10+137.98</f>
        <v>147.98</v>
      </c>
      <c r="G10" s="8">
        <f>1339.32+762+304.71+6352.35</f>
        <v>8758.380000000001</v>
      </c>
      <c r="H10" s="6">
        <f>SUM(E10:G10)</f>
        <v>9617.01</v>
      </c>
      <c r="I10" s="23">
        <f t="shared" si="2"/>
        <v>9872.99</v>
      </c>
      <c r="J10" s="9"/>
    </row>
    <row r="11" spans="1:10" ht="11.25">
      <c r="A11" s="8" t="s">
        <v>21</v>
      </c>
      <c r="B11" s="8">
        <v>0</v>
      </c>
      <c r="C11" s="8">
        <v>0</v>
      </c>
      <c r="D11" s="11">
        <f t="shared" si="0"/>
        <v>0</v>
      </c>
      <c r="E11" s="8">
        <v>0</v>
      </c>
      <c r="F11" s="8">
        <v>0</v>
      </c>
      <c r="G11" s="8">
        <f>1425+719+1511</f>
        <v>3655</v>
      </c>
      <c r="H11" s="6">
        <f>SUM(E11:G11)</f>
        <v>3655</v>
      </c>
      <c r="I11" s="23">
        <f t="shared" si="2"/>
        <v>3655</v>
      </c>
      <c r="J11" s="9"/>
    </row>
    <row r="12" spans="1:10" s="3" customFormat="1" ht="11.25">
      <c r="A12" s="4" t="s">
        <v>2</v>
      </c>
      <c r="B12" s="4">
        <f>B9-B10-B11</f>
        <v>110872.63999999998</v>
      </c>
      <c r="C12" s="4">
        <f>C9-C10-C11</f>
        <v>1199.82</v>
      </c>
      <c r="D12" s="6">
        <f t="shared" si="0"/>
        <v>112072.45999999999</v>
      </c>
      <c r="E12" s="4">
        <f>E9-E10-E11</f>
        <v>34432.99</v>
      </c>
      <c r="F12" s="4">
        <f>F9-F10-F11</f>
        <v>59168.39000000001</v>
      </c>
      <c r="G12" s="4">
        <f>G9-G10-G11</f>
        <v>-10576.539999999999</v>
      </c>
      <c r="H12" s="6">
        <f t="shared" si="1"/>
        <v>83024.84000000001</v>
      </c>
      <c r="I12" s="4">
        <f t="shared" si="2"/>
        <v>195097.3</v>
      </c>
      <c r="J12" s="5"/>
    </row>
    <row r="13" spans="1:12" ht="11.2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1.2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1:12" ht="11.25">
      <c r="A15" s="7" t="s">
        <v>29</v>
      </c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1:12" ht="11.25">
      <c r="A16" s="7" t="s">
        <v>38</v>
      </c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1.2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1.2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1.25">
      <c r="A20" s="34" t="s">
        <v>11</v>
      </c>
      <c r="B20" s="34"/>
      <c r="C20" s="34"/>
      <c r="D20" s="34"/>
      <c r="E20" s="34"/>
      <c r="F20" s="34"/>
      <c r="G20" s="34"/>
      <c r="H20" s="34"/>
      <c r="I20" s="34"/>
      <c r="J20" s="26"/>
      <c r="K20" s="26"/>
      <c r="L20" s="26"/>
      <c r="M20" s="19"/>
    </row>
    <row r="21" spans="1:12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1.25">
      <c r="A22" s="8"/>
      <c r="B22" s="13" t="s">
        <v>4</v>
      </c>
      <c r="C22" s="13" t="s">
        <v>6</v>
      </c>
      <c r="D22" s="13" t="s">
        <v>7</v>
      </c>
      <c r="E22" s="13" t="s">
        <v>8</v>
      </c>
      <c r="F22" s="2" t="s">
        <v>22</v>
      </c>
      <c r="G22" s="13" t="s">
        <v>9</v>
      </c>
      <c r="H22" s="15" t="s">
        <v>10</v>
      </c>
      <c r="I22" s="13" t="s">
        <v>0</v>
      </c>
      <c r="J22" s="2"/>
    </row>
    <row r="23" spans="1:9" ht="11.25">
      <c r="A23" s="8"/>
      <c r="B23" s="8"/>
      <c r="C23" s="8"/>
      <c r="D23" s="8"/>
      <c r="E23" s="8"/>
      <c r="G23" s="8"/>
      <c r="H23" s="11"/>
      <c r="I23" s="8"/>
    </row>
    <row r="24" spans="1:10" s="3" customFormat="1" ht="11.25">
      <c r="A24" s="4" t="s">
        <v>1</v>
      </c>
      <c r="B24" s="4">
        <f>March!B30</f>
        <v>-103147</v>
      </c>
      <c r="C24" s="4">
        <f>March!C30</f>
        <v>2762.5400000000004</v>
      </c>
      <c r="D24" s="4">
        <f>March!D30</f>
        <v>5360</v>
      </c>
      <c r="E24" s="4">
        <f>March!E30</f>
        <v>32709.420000000002</v>
      </c>
      <c r="F24" s="4">
        <f>March!F30</f>
        <v>80813.48</v>
      </c>
      <c r="G24" s="4">
        <f>March!G30</f>
        <v>9439.320000000002</v>
      </c>
      <c r="H24" s="6">
        <f>March!H30</f>
        <v>-14718.359999999997</v>
      </c>
      <c r="I24" s="4">
        <f aca="true" t="shared" si="3" ref="I24:I30">SUM(B24:H24)</f>
        <v>13219.39999999999</v>
      </c>
      <c r="J24" s="5"/>
    </row>
    <row r="25" spans="1:10" ht="11.25">
      <c r="A25" s="8" t="s">
        <v>18</v>
      </c>
      <c r="B25" s="8">
        <f>275+30+45+60</f>
        <v>410</v>
      </c>
      <c r="C25" s="8">
        <v>0</v>
      </c>
      <c r="D25" s="8">
        <f>100</f>
        <v>100</v>
      </c>
      <c r="E25" s="8">
        <f>147.25+154.02+17+388.56</f>
        <v>706.8299999999999</v>
      </c>
      <c r="F25" s="8">
        <f>5554.08</f>
        <v>5554.08</v>
      </c>
      <c r="G25" s="8">
        <f>300+185</f>
        <v>485</v>
      </c>
      <c r="H25" s="11">
        <f>10000</f>
        <v>10000</v>
      </c>
      <c r="I25" s="8">
        <f>SUM(B25:H25)</f>
        <v>17255.91</v>
      </c>
      <c r="J25" s="9"/>
    </row>
    <row r="26" spans="1:10" ht="11.25">
      <c r="A26" s="8" t="s">
        <v>19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1">
        <v>19.12</v>
      </c>
      <c r="I26" s="8">
        <f t="shared" si="3"/>
        <v>19.12</v>
      </c>
      <c r="J26" s="9"/>
    </row>
    <row r="27" spans="1:10" ht="11.25">
      <c r="A27" s="8" t="s">
        <v>0</v>
      </c>
      <c r="B27" s="8">
        <f aca="true" t="shared" si="4" ref="B27:H27">SUM(B24:B26)</f>
        <v>-102737</v>
      </c>
      <c r="C27" s="8">
        <f t="shared" si="4"/>
        <v>2762.5400000000004</v>
      </c>
      <c r="D27" s="8">
        <f t="shared" si="4"/>
        <v>5460</v>
      </c>
      <c r="E27" s="8">
        <f t="shared" si="4"/>
        <v>33416.25</v>
      </c>
      <c r="F27" s="8">
        <f t="shared" si="4"/>
        <v>86367.56</v>
      </c>
      <c r="G27" s="8">
        <f t="shared" si="4"/>
        <v>9924.320000000002</v>
      </c>
      <c r="H27" s="11">
        <f t="shared" si="4"/>
        <v>-4699.239999999997</v>
      </c>
      <c r="I27" s="4">
        <f>SUM(B27:H27)</f>
        <v>30494.429999999993</v>
      </c>
      <c r="J27" s="9"/>
    </row>
    <row r="28" spans="1:10" ht="11.25">
      <c r="A28" s="8" t="s">
        <v>20</v>
      </c>
      <c r="B28" s="8">
        <f>3364.87+486+158.1+29.62</f>
        <v>4038.5899999999997</v>
      </c>
      <c r="C28" s="8">
        <v>0</v>
      </c>
      <c r="D28" s="8">
        <v>0</v>
      </c>
      <c r="E28" s="8">
        <v>0</v>
      </c>
      <c r="F28" s="8">
        <f>182.65+379.74</f>
        <v>562.39</v>
      </c>
      <c r="G28" s="8">
        <f>360</f>
        <v>360</v>
      </c>
      <c r="H28" s="11">
        <v>0</v>
      </c>
      <c r="I28" s="8">
        <f>SUM(B28:H28)</f>
        <v>4960.98</v>
      </c>
      <c r="J28" s="9"/>
    </row>
    <row r="29" spans="1:10" ht="11.25">
      <c r="A29" s="8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1">
        <f>664+335</f>
        <v>999</v>
      </c>
      <c r="I29" s="8">
        <f>SUM(B29:H29)</f>
        <v>999</v>
      </c>
      <c r="J29" s="9"/>
    </row>
    <row r="30" spans="1:10" s="3" customFormat="1" ht="11.25">
      <c r="A30" s="4" t="s">
        <v>2</v>
      </c>
      <c r="B30" s="4">
        <f aca="true" t="shared" si="5" ref="B30:H30">B27-B28-B29</f>
        <v>-106775.59</v>
      </c>
      <c r="C30" s="4">
        <f t="shared" si="5"/>
        <v>2762.5400000000004</v>
      </c>
      <c r="D30" s="4">
        <f t="shared" si="5"/>
        <v>5460</v>
      </c>
      <c r="E30" s="4">
        <f t="shared" si="5"/>
        <v>33416.25</v>
      </c>
      <c r="F30" s="4">
        <f t="shared" si="5"/>
        <v>85805.17</v>
      </c>
      <c r="G30" s="4">
        <f t="shared" si="5"/>
        <v>9564.320000000002</v>
      </c>
      <c r="H30" s="6">
        <f t="shared" si="5"/>
        <v>-5698.239999999997</v>
      </c>
      <c r="I30" s="4">
        <f t="shared" si="3"/>
        <v>24534.449999999997</v>
      </c>
      <c r="J30" s="5"/>
    </row>
    <row r="32" ht="11.25">
      <c r="A32" s="8" t="s">
        <v>5</v>
      </c>
    </row>
    <row r="33" ht="11.25">
      <c r="A33" s="8" t="s">
        <v>37</v>
      </c>
    </row>
    <row r="34" ht="11.25">
      <c r="A34" s="8"/>
    </row>
    <row r="35" ht="11.25">
      <c r="A35" s="8"/>
    </row>
    <row r="36" ht="11.25">
      <c r="A36" s="8"/>
    </row>
  </sheetData>
  <sheetProtection/>
  <mergeCells count="4">
    <mergeCell ref="B3:D3"/>
    <mergeCell ref="E3:H3"/>
    <mergeCell ref="A1:I1"/>
    <mergeCell ref="A20:I20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&amp;LAuxiliary Revenue and Expenses&amp;CApril 2012
</oddHeader>
  </headerFooter>
  <ignoredErrors>
    <ignoredError sqref="D13 D9:D1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Layout" workbookViewId="0" topLeftCell="A1">
      <selection activeCell="A33" sqref="A33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8" width="10.8515625" style="7" bestFit="1" customWidth="1"/>
    <col min="9" max="9" width="10.7109375" style="7" bestFit="1" customWidth="1"/>
    <col min="10" max="10" width="12.00390625" style="7" bestFit="1" customWidth="1"/>
    <col min="11" max="11" width="11.42187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28"/>
      <c r="K1" s="28"/>
    </row>
    <row r="2" spans="2:3" ht="11.25">
      <c r="B2" s="1"/>
      <c r="C2" s="1"/>
    </row>
    <row r="3" spans="1:12" ht="12.75" customHeight="1">
      <c r="A3" s="8"/>
      <c r="B3" s="31" t="s">
        <v>24</v>
      </c>
      <c r="C3" s="31"/>
      <c r="D3" s="32"/>
      <c r="E3" s="33" t="s">
        <v>23</v>
      </c>
      <c r="F3" s="31"/>
      <c r="G3" s="31"/>
      <c r="H3" s="31"/>
      <c r="I3" s="24"/>
      <c r="J3" s="27"/>
      <c r="K3" s="27"/>
      <c r="L3" s="25"/>
    </row>
    <row r="4" spans="1:10" ht="11.25">
      <c r="A4" s="8"/>
      <c r="B4" s="13" t="s">
        <v>4</v>
      </c>
      <c r="C4" s="13" t="s">
        <v>22</v>
      </c>
      <c r="D4" s="15" t="s">
        <v>3</v>
      </c>
      <c r="E4" s="18" t="s">
        <v>22</v>
      </c>
      <c r="F4" s="13" t="s">
        <v>4</v>
      </c>
      <c r="G4" s="13" t="s">
        <v>17</v>
      </c>
      <c r="H4" s="12" t="s">
        <v>28</v>
      </c>
      <c r="I4" s="13" t="s">
        <v>0</v>
      </c>
      <c r="J4" s="2"/>
    </row>
    <row r="5" spans="1:9" ht="11.25">
      <c r="A5" s="8"/>
      <c r="B5" s="8"/>
      <c r="C5" s="8"/>
      <c r="D5" s="11"/>
      <c r="F5" s="8"/>
      <c r="G5" s="8"/>
      <c r="H5" s="11"/>
      <c r="I5" s="8"/>
    </row>
    <row r="6" spans="1:10" s="3" customFormat="1" ht="11.25">
      <c r="A6" s="4" t="s">
        <v>1</v>
      </c>
      <c r="B6" s="4">
        <f>April!B12</f>
        <v>110872.63999999998</v>
      </c>
      <c r="C6" s="4">
        <f>April!C12</f>
        <v>1199.82</v>
      </c>
      <c r="D6" s="6">
        <f aca="true" t="shared" si="0" ref="D6:D12">SUM(B6:C6)</f>
        <v>112072.45999999999</v>
      </c>
      <c r="E6" s="4">
        <f>April!E12</f>
        <v>34432.99</v>
      </c>
      <c r="F6" s="4">
        <f>April!F12</f>
        <v>59168.39000000001</v>
      </c>
      <c r="G6" s="4">
        <f>April!G12</f>
        <v>-10576.539999999999</v>
      </c>
      <c r="H6" s="6">
        <f aca="true" t="shared" si="1" ref="H6:H12">SUM(E6:G6)</f>
        <v>83024.84000000001</v>
      </c>
      <c r="I6" s="4">
        <f aca="true" t="shared" si="2" ref="I6:I12">D6+H6</f>
        <v>195097.3</v>
      </c>
      <c r="J6" s="5"/>
    </row>
    <row r="7" spans="1:10" ht="11.25">
      <c r="A7" s="8" t="s">
        <v>18</v>
      </c>
      <c r="B7" s="8">
        <f>30+1590.1+89</f>
        <v>1709.1</v>
      </c>
      <c r="C7" s="8"/>
      <c r="D7" s="11">
        <f t="shared" si="0"/>
        <v>1709.1</v>
      </c>
      <c r="E7" s="8">
        <f>2645.27-207.93+60-158.72</f>
        <v>2338.6200000000003</v>
      </c>
      <c r="F7" s="8">
        <f>152+91+10+488+75+1905</f>
        <v>2721</v>
      </c>
      <c r="G7" s="8">
        <v>0</v>
      </c>
      <c r="H7" s="6">
        <f t="shared" si="1"/>
        <v>5059.620000000001</v>
      </c>
      <c r="I7" s="23">
        <f t="shared" si="2"/>
        <v>6768.720000000001</v>
      </c>
      <c r="J7" s="9"/>
    </row>
    <row r="8" spans="1:10" ht="11.25">
      <c r="A8" s="8" t="s">
        <v>19</v>
      </c>
      <c r="B8" s="8">
        <f>173.57</f>
        <v>173.57</v>
      </c>
      <c r="C8" s="8">
        <v>0</v>
      </c>
      <c r="D8" s="11">
        <f t="shared" si="0"/>
        <v>173.57</v>
      </c>
      <c r="E8" s="8">
        <v>0</v>
      </c>
      <c r="F8" s="8">
        <v>0</v>
      </c>
      <c r="G8" s="8">
        <f>146.32</f>
        <v>146.32</v>
      </c>
      <c r="H8" s="6">
        <f t="shared" si="1"/>
        <v>146.32</v>
      </c>
      <c r="I8" s="23">
        <f t="shared" si="2"/>
        <v>319.89</v>
      </c>
      <c r="J8" s="9"/>
    </row>
    <row r="9" spans="1:10" ht="11.25">
      <c r="A9" s="8" t="s">
        <v>0</v>
      </c>
      <c r="B9" s="8">
        <f>SUM(B6:B8)</f>
        <v>112755.31</v>
      </c>
      <c r="C9" s="8">
        <f>SUM(C6:C8)</f>
        <v>1199.82</v>
      </c>
      <c r="D9" s="11">
        <f t="shared" si="0"/>
        <v>113955.13</v>
      </c>
      <c r="E9" s="8">
        <f>SUM(E6:E8)</f>
        <v>36771.61</v>
      </c>
      <c r="F9" s="8">
        <f>SUM(F6:F8)</f>
        <v>61889.39000000001</v>
      </c>
      <c r="G9" s="8">
        <f>SUM(G6:G8)</f>
        <v>-10430.22</v>
      </c>
      <c r="H9" s="11">
        <f t="shared" si="1"/>
        <v>88230.78</v>
      </c>
      <c r="I9" s="23">
        <f t="shared" si="2"/>
        <v>202185.91</v>
      </c>
      <c r="J9" s="9"/>
    </row>
    <row r="10" spans="1:10" ht="11.25">
      <c r="A10" s="8" t="s">
        <v>20</v>
      </c>
      <c r="B10" s="8">
        <f>17.3+23.72</f>
        <v>41.019999999999996</v>
      </c>
      <c r="C10" s="8">
        <f>4.1</f>
        <v>4.1</v>
      </c>
      <c r="D10" s="11">
        <f t="shared" si="0"/>
        <v>45.12</v>
      </c>
      <c r="E10" s="8">
        <f>153.38</f>
        <v>153.38</v>
      </c>
      <c r="F10" s="8">
        <f>48+200+402.8+138.38</f>
        <v>789.18</v>
      </c>
      <c r="G10" s="8">
        <f>1497.94+2788.81</f>
        <v>4286.75</v>
      </c>
      <c r="H10" s="6">
        <f t="shared" si="1"/>
        <v>5229.3099999999995</v>
      </c>
      <c r="I10" s="23">
        <f t="shared" si="2"/>
        <v>5274.429999999999</v>
      </c>
      <c r="J10" s="9"/>
    </row>
    <row r="11" spans="1:10" ht="11.25">
      <c r="A11" s="8" t="s">
        <v>21</v>
      </c>
      <c r="B11" s="8">
        <v>0</v>
      </c>
      <c r="C11" s="8">
        <v>0</v>
      </c>
      <c r="D11" s="11">
        <f t="shared" si="0"/>
        <v>0</v>
      </c>
      <c r="E11" s="8">
        <v>0</v>
      </c>
      <c r="F11" s="8">
        <v>0</v>
      </c>
      <c r="G11" s="8">
        <f>1425+719+1511</f>
        <v>3655</v>
      </c>
      <c r="H11" s="6">
        <f t="shared" si="1"/>
        <v>3655</v>
      </c>
      <c r="I11" s="23">
        <f t="shared" si="2"/>
        <v>3655</v>
      </c>
      <c r="J11" s="9"/>
    </row>
    <row r="12" spans="1:10" s="3" customFormat="1" ht="11.25">
      <c r="A12" s="4" t="s">
        <v>2</v>
      </c>
      <c r="B12" s="4">
        <f>B9-B10-B11</f>
        <v>112714.29</v>
      </c>
      <c r="C12" s="4">
        <f>C9-C10-C11</f>
        <v>1195.72</v>
      </c>
      <c r="D12" s="6">
        <f t="shared" si="0"/>
        <v>113910.01</v>
      </c>
      <c r="E12" s="4">
        <f>E9-E10-E11</f>
        <v>36618.23</v>
      </c>
      <c r="F12" s="4">
        <f>F9-F10-F11</f>
        <v>61100.21000000001</v>
      </c>
      <c r="G12" s="4">
        <f>G9-G10-G11</f>
        <v>-18371.97</v>
      </c>
      <c r="H12" s="6">
        <f t="shared" si="1"/>
        <v>79346.47</v>
      </c>
      <c r="I12" s="4">
        <f t="shared" si="2"/>
        <v>193256.47999999998</v>
      </c>
      <c r="J12" s="5"/>
    </row>
    <row r="13" spans="1:12" ht="11.2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1.2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1:12" ht="11.25">
      <c r="A15" s="7" t="s">
        <v>29</v>
      </c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1.2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1.2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1.2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1.25">
      <c r="A20" s="34" t="s">
        <v>11</v>
      </c>
      <c r="B20" s="34"/>
      <c r="C20" s="34"/>
      <c r="D20" s="34"/>
      <c r="E20" s="34"/>
      <c r="F20" s="34"/>
      <c r="G20" s="34"/>
      <c r="H20" s="34"/>
      <c r="I20" s="34"/>
      <c r="J20" s="26"/>
      <c r="K20" s="26"/>
      <c r="L20" s="26"/>
      <c r="M20" s="19"/>
    </row>
    <row r="21" spans="1:12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1.25">
      <c r="A22" s="8"/>
      <c r="B22" s="13" t="s">
        <v>4</v>
      </c>
      <c r="C22" s="13" t="s">
        <v>6</v>
      </c>
      <c r="D22" s="13" t="s">
        <v>7</v>
      </c>
      <c r="E22" s="13" t="s">
        <v>8</v>
      </c>
      <c r="F22" s="2" t="s">
        <v>22</v>
      </c>
      <c r="G22" s="13" t="s">
        <v>9</v>
      </c>
      <c r="H22" s="15" t="s">
        <v>10</v>
      </c>
      <c r="I22" s="13" t="s">
        <v>0</v>
      </c>
      <c r="J22" s="2"/>
    </row>
    <row r="23" spans="1:9" ht="11.25">
      <c r="A23" s="8"/>
      <c r="B23" s="8"/>
      <c r="C23" s="8"/>
      <c r="D23" s="8"/>
      <c r="E23" s="8"/>
      <c r="G23" s="8"/>
      <c r="H23" s="11"/>
      <c r="I23" s="8"/>
    </row>
    <row r="24" spans="1:10" s="3" customFormat="1" ht="11.25">
      <c r="A24" s="4" t="s">
        <v>1</v>
      </c>
      <c r="B24" s="4">
        <f>April!B30</f>
        <v>-106775.59</v>
      </c>
      <c r="C24" s="4">
        <f>April!C30</f>
        <v>2762.5400000000004</v>
      </c>
      <c r="D24" s="4">
        <f>April!D30</f>
        <v>5460</v>
      </c>
      <c r="E24" s="4">
        <f>April!E30</f>
        <v>33416.25</v>
      </c>
      <c r="F24" s="4">
        <f>April!F30</f>
        <v>85805.17</v>
      </c>
      <c r="G24" s="4">
        <f>April!G30</f>
        <v>9564.320000000002</v>
      </c>
      <c r="H24" s="6">
        <f>April!H30</f>
        <v>-5698.239999999997</v>
      </c>
      <c r="I24" s="4">
        <f aca="true" t="shared" si="3" ref="I24:I30">SUM(B24:H24)</f>
        <v>24534.449999999997</v>
      </c>
      <c r="J24" s="5"/>
    </row>
    <row r="25" spans="1:10" ht="11.25">
      <c r="A25" s="8" t="s">
        <v>18</v>
      </c>
      <c r="B25" s="20">
        <f>109.04+15+190.95+15+30</f>
        <v>359.99</v>
      </c>
      <c r="C25" s="20">
        <f>34.43+77.5</f>
        <v>111.93</v>
      </c>
      <c r="D25" s="20">
        <f>115+40</f>
        <v>155</v>
      </c>
      <c r="E25" s="20">
        <f>884.97+88.19+219.33+656.06+128.9</f>
        <v>1977.45</v>
      </c>
      <c r="F25" s="20">
        <f>7309.11-333.24-438.55</f>
        <v>6537.32</v>
      </c>
      <c r="G25" s="20">
        <f>1254+2960</f>
        <v>4214</v>
      </c>
      <c r="H25" s="21">
        <f>10000+4384.69</f>
        <v>14384.689999999999</v>
      </c>
      <c r="I25" s="8">
        <f t="shared" si="3"/>
        <v>27740.379999999997</v>
      </c>
      <c r="J25" s="9"/>
    </row>
    <row r="26" spans="1:10" ht="11.25">
      <c r="A26" s="8" t="s">
        <v>19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1">
        <f>43.01</f>
        <v>43.01</v>
      </c>
      <c r="I26" s="8">
        <f t="shared" si="3"/>
        <v>43.01</v>
      </c>
      <c r="J26" s="9"/>
    </row>
    <row r="27" spans="1:10" ht="11.25">
      <c r="A27" s="8" t="s">
        <v>0</v>
      </c>
      <c r="B27" s="8">
        <f aca="true" t="shared" si="4" ref="B27:H27">SUM(B24:B26)</f>
        <v>-106415.59999999999</v>
      </c>
      <c r="C27" s="8">
        <f t="shared" si="4"/>
        <v>2874.4700000000003</v>
      </c>
      <c r="D27" s="8">
        <f t="shared" si="4"/>
        <v>5615</v>
      </c>
      <c r="E27" s="8">
        <f t="shared" si="4"/>
        <v>35393.7</v>
      </c>
      <c r="F27" s="8">
        <f t="shared" si="4"/>
        <v>92342.48999999999</v>
      </c>
      <c r="G27" s="8">
        <f t="shared" si="4"/>
        <v>13778.320000000002</v>
      </c>
      <c r="H27" s="11">
        <f t="shared" si="4"/>
        <v>8729.460000000001</v>
      </c>
      <c r="I27" s="4">
        <f t="shared" si="3"/>
        <v>52317.84</v>
      </c>
      <c r="J27" s="9"/>
    </row>
    <row r="28" spans="1:10" ht="11.25">
      <c r="A28" s="8" t="s">
        <v>20</v>
      </c>
      <c r="B28" s="20">
        <f>115+33.53+897.1+2651.56</f>
        <v>3697.19</v>
      </c>
      <c r="C28" s="20">
        <v>0</v>
      </c>
      <c r="D28" s="20">
        <v>0</v>
      </c>
      <c r="E28" s="20">
        <v>0</v>
      </c>
      <c r="F28" s="20">
        <f>547.95+628.15</f>
        <v>1176.1</v>
      </c>
      <c r="G28" s="20">
        <f>399</f>
        <v>399</v>
      </c>
      <c r="H28" s="21">
        <v>0</v>
      </c>
      <c r="I28" s="8">
        <f t="shared" si="3"/>
        <v>5272.29</v>
      </c>
      <c r="J28" s="9"/>
    </row>
    <row r="29" spans="1:10" ht="11.25">
      <c r="A29" s="8" t="s">
        <v>21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1">
        <f>664+335</f>
        <v>999</v>
      </c>
      <c r="I29" s="8">
        <f t="shared" si="3"/>
        <v>999</v>
      </c>
      <c r="J29" s="9"/>
    </row>
    <row r="30" spans="1:10" s="3" customFormat="1" ht="11.25">
      <c r="A30" s="4" t="s">
        <v>2</v>
      </c>
      <c r="B30" s="4">
        <f aca="true" t="shared" si="5" ref="B30:H30">B27-B28-B29</f>
        <v>-110112.79</v>
      </c>
      <c r="C30" s="4">
        <f t="shared" si="5"/>
        <v>2874.4700000000003</v>
      </c>
      <c r="D30" s="4">
        <f t="shared" si="5"/>
        <v>5615</v>
      </c>
      <c r="E30" s="4">
        <f t="shared" si="5"/>
        <v>35393.7</v>
      </c>
      <c r="F30" s="4">
        <f t="shared" si="5"/>
        <v>91166.38999999998</v>
      </c>
      <c r="G30" s="4">
        <f t="shared" si="5"/>
        <v>13379.320000000002</v>
      </c>
      <c r="H30" s="6">
        <f t="shared" si="5"/>
        <v>7730.460000000001</v>
      </c>
      <c r="I30" s="4">
        <f t="shared" si="3"/>
        <v>46046.54999999999</v>
      </c>
      <c r="J30" s="5"/>
    </row>
    <row r="32" ht="11.25">
      <c r="A32" s="8" t="s">
        <v>5</v>
      </c>
    </row>
    <row r="33" ht="11.25">
      <c r="A33" s="8" t="s">
        <v>37</v>
      </c>
    </row>
    <row r="34" ht="11.25">
      <c r="A34" s="8" t="s">
        <v>39</v>
      </c>
    </row>
    <row r="35" ht="11.25">
      <c r="A35" s="8"/>
    </row>
    <row r="36" ht="11.25">
      <c r="A36" s="8"/>
    </row>
  </sheetData>
  <sheetProtection/>
  <mergeCells count="4">
    <mergeCell ref="B3:D3"/>
    <mergeCell ref="E3:H3"/>
    <mergeCell ref="A1:I1"/>
    <mergeCell ref="A20:I20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&amp;LAuxiliary Revenue and Expenses&amp;CMay 2012</oddHeader>
  </headerFooter>
  <ignoredErrors>
    <ignoredError sqref="D9:D1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Layout" workbookViewId="0" topLeftCell="A1">
      <selection activeCell="A2" sqref="A2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8" width="10.8515625" style="7" bestFit="1" customWidth="1"/>
    <col min="9" max="9" width="10.7109375" style="7" bestFit="1" customWidth="1"/>
    <col min="10" max="10" width="12.00390625" style="7" bestFit="1" customWidth="1"/>
    <col min="11" max="11" width="11.42187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28"/>
      <c r="K1" s="28"/>
    </row>
    <row r="2" spans="2:3" ht="11.25">
      <c r="B2" s="1"/>
      <c r="C2" s="1"/>
    </row>
    <row r="3" spans="1:12" ht="12.75" customHeight="1">
      <c r="A3" s="8"/>
      <c r="B3" s="31" t="s">
        <v>24</v>
      </c>
      <c r="C3" s="31"/>
      <c r="D3" s="32"/>
      <c r="E3" s="33" t="s">
        <v>23</v>
      </c>
      <c r="F3" s="31"/>
      <c r="G3" s="31"/>
      <c r="H3" s="31"/>
      <c r="I3" s="24"/>
      <c r="J3" s="27"/>
      <c r="K3" s="27"/>
      <c r="L3" s="25"/>
    </row>
    <row r="4" spans="1:10" ht="11.25">
      <c r="A4" s="8"/>
      <c r="B4" s="13" t="s">
        <v>4</v>
      </c>
      <c r="C4" s="13" t="s">
        <v>22</v>
      </c>
      <c r="D4" s="15" t="s">
        <v>3</v>
      </c>
      <c r="E4" s="18" t="s">
        <v>22</v>
      </c>
      <c r="F4" s="13" t="s">
        <v>4</v>
      </c>
      <c r="G4" s="13" t="s">
        <v>17</v>
      </c>
      <c r="H4" s="12" t="s">
        <v>28</v>
      </c>
      <c r="I4" s="13" t="s">
        <v>0</v>
      </c>
      <c r="J4" s="2"/>
    </row>
    <row r="5" spans="1:9" ht="11.25">
      <c r="A5" s="8"/>
      <c r="B5" s="8"/>
      <c r="C5" s="8"/>
      <c r="D5" s="11"/>
      <c r="F5" s="8"/>
      <c r="G5" s="8"/>
      <c r="H5" s="11"/>
      <c r="I5" s="8"/>
    </row>
    <row r="6" spans="1:10" s="3" customFormat="1" ht="11.25">
      <c r="A6" s="4" t="s">
        <v>1</v>
      </c>
      <c r="B6" s="4">
        <f>May!B12</f>
        <v>112714.29</v>
      </c>
      <c r="C6" s="4">
        <f>May!C12</f>
        <v>1195.72</v>
      </c>
      <c r="D6" s="6">
        <f aca="true" t="shared" si="0" ref="D6:D12">SUM(B6:C6)</f>
        <v>113910.01</v>
      </c>
      <c r="E6" s="4">
        <f>May!E12</f>
        <v>36618.23</v>
      </c>
      <c r="F6" s="4">
        <f>May!F12</f>
        <v>61100.21000000001</v>
      </c>
      <c r="G6" s="4">
        <f>May!G12</f>
        <v>-18371.97</v>
      </c>
      <c r="H6" s="6">
        <f aca="true" t="shared" si="1" ref="H6:H12">SUM(E6:G6)</f>
        <v>79346.47</v>
      </c>
      <c r="I6" s="4">
        <f aca="true" t="shared" si="2" ref="I6:I12">D6+H6</f>
        <v>193256.47999999998</v>
      </c>
      <c r="J6" s="5"/>
    </row>
    <row r="7" spans="1:10" ht="11.25">
      <c r="A7" s="8" t="s">
        <v>18</v>
      </c>
      <c r="B7" s="8">
        <f>18+1135.05</f>
        <v>1153.05</v>
      </c>
      <c r="C7" s="8">
        <f>-905.47+905.47+905.47</f>
        <v>905.47</v>
      </c>
      <c r="D7" s="11">
        <f t="shared" si="0"/>
        <v>2058.52</v>
      </c>
      <c r="E7" s="8">
        <f>1491.4-89.48+905.47-905.47-905.47</f>
        <v>496.4500000000003</v>
      </c>
      <c r="F7" s="8">
        <f>105+1225+56+322+1114+1512+11</f>
        <v>4345</v>
      </c>
      <c r="G7" s="8">
        <v>0</v>
      </c>
      <c r="H7" s="6">
        <f t="shared" si="1"/>
        <v>4841.450000000001</v>
      </c>
      <c r="I7" s="23">
        <f t="shared" si="2"/>
        <v>6899.970000000001</v>
      </c>
      <c r="J7" s="9"/>
    </row>
    <row r="8" spans="1:10" ht="11.25">
      <c r="A8" s="8" t="s">
        <v>19</v>
      </c>
      <c r="B8" s="8">
        <f>239.42</f>
        <v>239.42</v>
      </c>
      <c r="C8" s="8">
        <v>0</v>
      </c>
      <c r="D8" s="11">
        <f t="shared" si="0"/>
        <v>239.42</v>
      </c>
      <c r="E8" s="8">
        <v>0</v>
      </c>
      <c r="F8" s="8">
        <v>0</v>
      </c>
      <c r="G8" s="8">
        <f>177.06</f>
        <v>177.06</v>
      </c>
      <c r="H8" s="6">
        <f t="shared" si="1"/>
        <v>177.06</v>
      </c>
      <c r="I8" s="23">
        <f t="shared" si="2"/>
        <v>416.48</v>
      </c>
      <c r="J8" s="9"/>
    </row>
    <row r="9" spans="1:10" ht="11.25">
      <c r="A9" s="8" t="s">
        <v>0</v>
      </c>
      <c r="B9" s="8">
        <f>SUM(B6:B8)</f>
        <v>114106.76</v>
      </c>
      <c r="C9" s="8">
        <f>SUM(C6:C8)</f>
        <v>2101.19</v>
      </c>
      <c r="D9" s="11">
        <f t="shared" si="0"/>
        <v>116207.95</v>
      </c>
      <c r="E9" s="8">
        <f>SUM(E6:E8)</f>
        <v>37114.68</v>
      </c>
      <c r="F9" s="8">
        <f>SUM(F6:F10)</f>
        <v>106067.86000000002</v>
      </c>
      <c r="G9" s="8">
        <f>SUM(G6:G10)</f>
        <v>-13495.050000000001</v>
      </c>
      <c r="H9" s="11">
        <f t="shared" si="1"/>
        <v>130898.8</v>
      </c>
      <c r="I9" s="23">
        <f t="shared" si="2"/>
        <v>244808.81</v>
      </c>
      <c r="J9" s="9"/>
    </row>
    <row r="10" spans="1:10" ht="11.25">
      <c r="A10" s="8" t="s">
        <v>20</v>
      </c>
      <c r="B10" s="8">
        <f>74+23.72+11.86</f>
        <v>109.58</v>
      </c>
      <c r="C10" s="29">
        <f>4.1</f>
        <v>4.1</v>
      </c>
      <c r="D10" s="11">
        <f t="shared" si="0"/>
        <v>113.67999999999999</v>
      </c>
      <c r="E10" s="8">
        <f>515.12+696.1</f>
        <v>1211.22</v>
      </c>
      <c r="F10" s="8">
        <f>21+3647.65+36808.39+145.61</f>
        <v>40622.65</v>
      </c>
      <c r="G10" s="8">
        <f>4008.28+116.1+290+447.54+15</f>
        <v>4876.92</v>
      </c>
      <c r="H10" s="6">
        <f>SUM(E10:G10)</f>
        <v>46710.79</v>
      </c>
      <c r="I10" s="23">
        <f t="shared" si="2"/>
        <v>46824.47</v>
      </c>
      <c r="J10" s="9"/>
    </row>
    <row r="11" spans="1:10" ht="11.25">
      <c r="A11" s="8" t="s">
        <v>21</v>
      </c>
      <c r="B11" s="8">
        <v>0</v>
      </c>
      <c r="C11" s="8">
        <v>0</v>
      </c>
      <c r="D11" s="11">
        <f t="shared" si="0"/>
        <v>0</v>
      </c>
      <c r="E11" s="8">
        <v>0</v>
      </c>
      <c r="F11" s="8">
        <v>0</v>
      </c>
      <c r="G11" s="8">
        <f>1424+717+1511</f>
        <v>3652</v>
      </c>
      <c r="H11" s="6">
        <f t="shared" si="1"/>
        <v>3652</v>
      </c>
      <c r="I11" s="23">
        <f t="shared" si="2"/>
        <v>3652</v>
      </c>
      <c r="J11" s="9"/>
    </row>
    <row r="12" spans="1:10" s="3" customFormat="1" ht="11.25">
      <c r="A12" s="4" t="s">
        <v>2</v>
      </c>
      <c r="B12" s="4">
        <f>B9-B10-B11</f>
        <v>113997.18</v>
      </c>
      <c r="C12" s="4">
        <f>C9-C10-C11</f>
        <v>2097.09</v>
      </c>
      <c r="D12" s="6">
        <f t="shared" si="0"/>
        <v>116094.26999999999</v>
      </c>
      <c r="E12" s="4">
        <f>E9-E10-E11</f>
        <v>35903.46</v>
      </c>
      <c r="F12" s="4">
        <f>F9-#REF!-F11</f>
        <v>106067.86000000002</v>
      </c>
      <c r="G12" s="4">
        <f>G9-#REF!-G11</f>
        <v>-13495.050000000001</v>
      </c>
      <c r="H12" s="6">
        <f t="shared" si="1"/>
        <v>130898.8</v>
      </c>
      <c r="I12" s="4">
        <f t="shared" si="2"/>
        <v>244808.81</v>
      </c>
      <c r="J12" s="5"/>
    </row>
    <row r="13" spans="1:12" ht="11.2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1.25">
      <c r="A14" s="8" t="s">
        <v>5</v>
      </c>
      <c r="B14" s="16"/>
      <c r="C14" s="16"/>
      <c r="D14" s="4"/>
      <c r="E14" s="8"/>
      <c r="F14" s="8"/>
      <c r="G14" s="10"/>
      <c r="H14" s="8"/>
      <c r="I14" s="8"/>
      <c r="J14" s="8"/>
      <c r="K14" s="8"/>
      <c r="L14" s="8"/>
    </row>
    <row r="15" spans="1:12" ht="11.25">
      <c r="A15" s="7" t="s">
        <v>29</v>
      </c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1.2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1.2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1.2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1.25">
      <c r="A20" s="34" t="s">
        <v>11</v>
      </c>
      <c r="B20" s="34"/>
      <c r="C20" s="34"/>
      <c r="D20" s="34"/>
      <c r="E20" s="34"/>
      <c r="F20" s="34"/>
      <c r="G20" s="34"/>
      <c r="H20" s="34"/>
      <c r="I20" s="34"/>
      <c r="J20" s="26"/>
      <c r="K20" s="26"/>
      <c r="L20" s="26"/>
      <c r="M20" s="19"/>
    </row>
    <row r="21" spans="1:12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1.25">
      <c r="A22" s="8"/>
      <c r="B22" s="13" t="s">
        <v>4</v>
      </c>
      <c r="C22" s="13" t="s">
        <v>6</v>
      </c>
      <c r="D22" s="13" t="s">
        <v>7</v>
      </c>
      <c r="E22" s="13" t="s">
        <v>8</v>
      </c>
      <c r="F22" s="2" t="s">
        <v>22</v>
      </c>
      <c r="G22" s="13" t="s">
        <v>9</v>
      </c>
      <c r="H22" s="15" t="s">
        <v>10</v>
      </c>
      <c r="I22" s="13" t="s">
        <v>0</v>
      </c>
      <c r="J22" s="2"/>
    </row>
    <row r="23" spans="1:9" ht="11.25">
      <c r="A23" s="8"/>
      <c r="B23" s="8"/>
      <c r="C23" s="8"/>
      <c r="D23" s="8"/>
      <c r="E23" s="8"/>
      <c r="G23" s="8"/>
      <c r="H23" s="11"/>
      <c r="I23" s="8"/>
    </row>
    <row r="24" spans="1:10" s="3" customFormat="1" ht="11.25">
      <c r="A24" s="4" t="s">
        <v>1</v>
      </c>
      <c r="B24" s="4">
        <f>May!B30</f>
        <v>-110112.79</v>
      </c>
      <c r="C24" s="4">
        <f>May!C30</f>
        <v>2874.4700000000003</v>
      </c>
      <c r="D24" s="4">
        <f>May!D30</f>
        <v>5615</v>
      </c>
      <c r="E24" s="4">
        <f>May!E30</f>
        <v>35393.7</v>
      </c>
      <c r="F24" s="4">
        <f>May!F30</f>
        <v>91166.38999999998</v>
      </c>
      <c r="G24" s="4">
        <f>May!G30</f>
        <v>13379.320000000002</v>
      </c>
      <c r="H24" s="11">
        <f>May!H30</f>
        <v>7730.460000000001</v>
      </c>
      <c r="I24" s="4">
        <f aca="true" t="shared" si="3" ref="I24:I30">SUM(B24:H24)</f>
        <v>46046.54999999999</v>
      </c>
      <c r="J24" s="5"/>
    </row>
    <row r="25" spans="1:10" ht="11.25">
      <c r="A25" s="8" t="s">
        <v>18</v>
      </c>
      <c r="B25" s="20">
        <f>15+15+45+15</f>
        <v>90</v>
      </c>
      <c r="C25" s="20">
        <f>14.15</f>
        <v>14.15</v>
      </c>
      <c r="D25" s="20">
        <f>280+75</f>
        <v>355</v>
      </c>
      <c r="E25" s="20">
        <f>227.78+80.9+126.16+444.66+326.78+249.14</f>
        <v>1455.42</v>
      </c>
      <c r="F25" s="20">
        <f>1714.18-102.85</f>
        <v>1611.3300000000002</v>
      </c>
      <c r="G25" s="20">
        <f>180+1617</f>
        <v>1797</v>
      </c>
      <c r="H25" s="21">
        <f>10000</f>
        <v>10000</v>
      </c>
      <c r="I25" s="8">
        <f t="shared" si="3"/>
        <v>15322.900000000001</v>
      </c>
      <c r="J25" s="9"/>
    </row>
    <row r="26" spans="1:10" ht="11.25">
      <c r="A26" s="8" t="s">
        <v>19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1">
        <f>92.97</f>
        <v>92.97</v>
      </c>
      <c r="I26" s="8">
        <f t="shared" si="3"/>
        <v>92.97</v>
      </c>
      <c r="J26" s="9"/>
    </row>
    <row r="27" spans="1:10" ht="11.25">
      <c r="A27" s="8" t="s">
        <v>0</v>
      </c>
      <c r="B27" s="8">
        <f aca="true" t="shared" si="4" ref="B27:H27">SUM(B24:B26)</f>
        <v>-110022.79</v>
      </c>
      <c r="C27" s="8">
        <f t="shared" si="4"/>
        <v>2888.6200000000003</v>
      </c>
      <c r="D27" s="8">
        <f t="shared" si="4"/>
        <v>5970</v>
      </c>
      <c r="E27" s="8">
        <f t="shared" si="4"/>
        <v>36849.119999999995</v>
      </c>
      <c r="F27" s="8">
        <f t="shared" si="4"/>
        <v>92777.71999999999</v>
      </c>
      <c r="G27" s="8">
        <f t="shared" si="4"/>
        <v>15176.320000000002</v>
      </c>
      <c r="H27" s="11">
        <f t="shared" si="4"/>
        <v>17823.43</v>
      </c>
      <c r="I27" s="4">
        <f t="shared" si="3"/>
        <v>61462.419999999984</v>
      </c>
      <c r="J27" s="9"/>
    </row>
    <row r="28" spans="1:10" ht="11.25">
      <c r="A28" s="8" t="s">
        <v>20</v>
      </c>
      <c r="B28" s="20">
        <f>993.72+5.55+4469.83+590.75+31.62</f>
        <v>6091.47</v>
      </c>
      <c r="C28" s="20">
        <v>0</v>
      </c>
      <c r="D28" s="20">
        <v>0</v>
      </c>
      <c r="E28" s="20">
        <v>0</v>
      </c>
      <c r="F28" s="20">
        <f>486.39+147.47</f>
        <v>633.86</v>
      </c>
      <c r="G28" s="20">
        <f>126</f>
        <v>126</v>
      </c>
      <c r="H28" s="21">
        <v>0</v>
      </c>
      <c r="I28" s="8">
        <f t="shared" si="3"/>
        <v>6851.33</v>
      </c>
      <c r="J28" s="9"/>
    </row>
    <row r="29" spans="1:10" ht="11.25">
      <c r="A29" s="8" t="s">
        <v>21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1">
        <f>669+337</f>
        <v>1006</v>
      </c>
      <c r="I29" s="8">
        <f t="shared" si="3"/>
        <v>1006</v>
      </c>
      <c r="J29" s="9"/>
    </row>
    <row r="30" spans="1:10" s="3" customFormat="1" ht="11.25">
      <c r="A30" s="4" t="s">
        <v>2</v>
      </c>
      <c r="B30" s="4">
        <f aca="true" t="shared" si="5" ref="B30:H30">B27-B28-B29</f>
        <v>-116114.26</v>
      </c>
      <c r="C30" s="4">
        <f t="shared" si="5"/>
        <v>2888.6200000000003</v>
      </c>
      <c r="D30" s="4">
        <f t="shared" si="5"/>
        <v>5970</v>
      </c>
      <c r="E30" s="4">
        <f t="shared" si="5"/>
        <v>36849.119999999995</v>
      </c>
      <c r="F30" s="4">
        <f t="shared" si="5"/>
        <v>92143.85999999999</v>
      </c>
      <c r="G30" s="4">
        <f t="shared" si="5"/>
        <v>15050.320000000002</v>
      </c>
      <c r="H30" s="6">
        <f t="shared" si="5"/>
        <v>16817.43</v>
      </c>
      <c r="I30" s="4">
        <f t="shared" si="3"/>
        <v>53605.08999999998</v>
      </c>
      <c r="J30" s="5"/>
    </row>
    <row r="32" ht="11.25">
      <c r="A32" s="8" t="s">
        <v>5</v>
      </c>
    </row>
    <row r="33" ht="11.25">
      <c r="A33" s="8"/>
    </row>
    <row r="34" ht="11.25">
      <c r="A34" s="8" t="s">
        <v>37</v>
      </c>
    </row>
    <row r="35" ht="11.25">
      <c r="A35" s="8"/>
    </row>
    <row r="36" ht="11.25">
      <c r="A36" s="8"/>
    </row>
  </sheetData>
  <sheetProtection/>
  <mergeCells count="4">
    <mergeCell ref="B3:D3"/>
    <mergeCell ref="E3:H3"/>
    <mergeCell ref="A20:I20"/>
    <mergeCell ref="A1:I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&amp;LAuxiliary Revenue and Expenses
&amp;CJune 2012
</oddHeader>
  </headerFooter>
  <ignoredErrors>
    <ignoredError sqref="D9:D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B7" sqref="B7"/>
    </sheetView>
  </sheetViews>
  <sheetFormatPr defaultColWidth="9.140625" defaultRowHeight="12.75"/>
  <cols>
    <col min="1" max="1" width="20.8515625" style="8" customWidth="1"/>
    <col min="2" max="2" width="10.421875" style="8" bestFit="1" customWidth="1"/>
    <col min="3" max="3" width="12.57421875" style="8" bestFit="1" customWidth="1"/>
    <col min="4" max="4" width="12.140625" style="8" bestFit="1" customWidth="1"/>
    <col min="5" max="5" width="12.00390625" style="8" bestFit="1" customWidth="1"/>
    <col min="6" max="6" width="11.28125" style="8" bestFit="1" customWidth="1"/>
    <col min="7" max="7" width="9.8515625" style="8" bestFit="1" customWidth="1"/>
    <col min="8" max="8" width="12.00390625" style="8" bestFit="1" customWidth="1"/>
    <col min="9" max="9" width="11.28125" style="8" bestFit="1" customWidth="1"/>
    <col min="10" max="10" width="12.00390625" style="8" bestFit="1" customWidth="1"/>
    <col min="11" max="11" width="11.28125" style="8" customWidth="1"/>
    <col min="12" max="12" width="10.7109375" style="8" bestFit="1" customWidth="1"/>
    <col min="13" max="16384" width="9.140625" style="8" customWidth="1"/>
  </cols>
  <sheetData>
    <row r="1" spans="1:16" ht="12.75" customHeight="1">
      <c r="A1" s="30" t="s">
        <v>25</v>
      </c>
      <c r="B1" s="30"/>
      <c r="C1" s="30"/>
      <c r="D1" s="30"/>
      <c r="E1" s="30"/>
      <c r="F1" s="30"/>
      <c r="G1" s="30"/>
      <c r="H1" s="30"/>
      <c r="I1" s="17"/>
      <c r="J1" s="17"/>
      <c r="K1" s="17"/>
      <c r="L1" s="17"/>
      <c r="M1" s="17"/>
      <c r="N1" s="17"/>
      <c r="O1" s="17"/>
      <c r="P1" s="17"/>
    </row>
    <row r="2" spans="2:3" ht="11.25">
      <c r="B2" s="4"/>
      <c r="C2" s="4"/>
    </row>
    <row r="3" spans="2:12" ht="12.75" customHeight="1">
      <c r="B3" s="31" t="s">
        <v>24</v>
      </c>
      <c r="C3" s="31"/>
      <c r="D3" s="32"/>
      <c r="E3" s="33" t="s">
        <v>23</v>
      </c>
      <c r="F3" s="31"/>
      <c r="G3" s="31"/>
      <c r="H3" s="31"/>
      <c r="I3" s="24"/>
      <c r="J3" s="27"/>
      <c r="K3" s="27"/>
      <c r="L3" s="25"/>
    </row>
    <row r="4" spans="2:9" ht="11.25">
      <c r="B4" s="13" t="s">
        <v>4</v>
      </c>
      <c r="C4" s="13" t="s">
        <v>22</v>
      </c>
      <c r="D4" s="15" t="s">
        <v>3</v>
      </c>
      <c r="E4" s="18" t="s">
        <v>22</v>
      </c>
      <c r="F4" s="13" t="s">
        <v>4</v>
      </c>
      <c r="G4" s="13" t="s">
        <v>17</v>
      </c>
      <c r="H4" s="12" t="s">
        <v>28</v>
      </c>
      <c r="I4" s="13" t="s">
        <v>0</v>
      </c>
    </row>
    <row r="5" spans="4:8" ht="11.25">
      <c r="D5" s="11"/>
      <c r="E5" s="7"/>
      <c r="H5" s="11"/>
    </row>
    <row r="6" spans="1:9" s="4" customFormat="1" ht="11.25">
      <c r="A6" s="4" t="s">
        <v>1</v>
      </c>
      <c r="B6" s="4">
        <v>79002.66</v>
      </c>
      <c r="C6" s="4">
        <v>843.67</v>
      </c>
      <c r="D6" s="6">
        <f>SUM(B6:C6)</f>
        <v>79846.33</v>
      </c>
      <c r="E6" s="4">
        <v>16158.82</v>
      </c>
      <c r="F6" s="4">
        <v>27644.32</v>
      </c>
      <c r="G6" s="4">
        <f>76585.49-16158.82-27644.32</f>
        <v>32782.350000000006</v>
      </c>
      <c r="H6" s="6">
        <f aca="true" t="shared" si="0" ref="H6:H12">SUM(E6:G6)</f>
        <v>76585.49</v>
      </c>
      <c r="I6" s="4">
        <f aca="true" t="shared" si="1" ref="I6:I12">D6+H6</f>
        <v>156431.82</v>
      </c>
    </row>
    <row r="7" spans="1:9" ht="11.25">
      <c r="A7" s="8" t="s">
        <v>18</v>
      </c>
      <c r="B7" s="8">
        <f>397.5+138+251.5</f>
        <v>787</v>
      </c>
      <c r="C7" s="8">
        <v>0</v>
      </c>
      <c r="D7" s="6">
        <f aca="true" t="shared" si="2" ref="D7:D12">SUM(B7:C7)</f>
        <v>787</v>
      </c>
      <c r="E7" s="8">
        <f>1007.38-62.96</f>
        <v>944.42</v>
      </c>
      <c r="F7" s="8">
        <f>22+286+33+60+10+1236+5+586+312+3262</f>
        <v>5812</v>
      </c>
      <c r="G7" s="8">
        <v>0</v>
      </c>
      <c r="H7" s="11">
        <f t="shared" si="0"/>
        <v>6756.42</v>
      </c>
      <c r="I7" s="4">
        <f t="shared" si="1"/>
        <v>7543.42</v>
      </c>
    </row>
    <row r="8" spans="1:9" ht="11.25">
      <c r="A8" s="8" t="s">
        <v>19</v>
      </c>
      <c r="B8" s="8">
        <v>178.45</v>
      </c>
      <c r="C8" s="8">
        <v>0</v>
      </c>
      <c r="D8" s="6">
        <f t="shared" si="2"/>
        <v>178.45</v>
      </c>
      <c r="E8" s="8">
        <v>0</v>
      </c>
      <c r="F8" s="8">
        <v>0</v>
      </c>
      <c r="G8" s="8">
        <v>17.09</v>
      </c>
      <c r="H8" s="11">
        <f t="shared" si="0"/>
        <v>17.09</v>
      </c>
      <c r="I8" s="4">
        <f t="shared" si="1"/>
        <v>195.54</v>
      </c>
    </row>
    <row r="9" spans="1:9" ht="11.25">
      <c r="A9" s="8" t="s">
        <v>0</v>
      </c>
      <c r="B9" s="8">
        <f>SUM(B6:B8)</f>
        <v>79968.11</v>
      </c>
      <c r="C9" s="8">
        <f>SUM(C6:C8)</f>
        <v>843.67</v>
      </c>
      <c r="D9" s="6">
        <f t="shared" si="2"/>
        <v>80811.78</v>
      </c>
      <c r="E9" s="8">
        <f>SUM(E6:E8)</f>
        <v>17103.239999999998</v>
      </c>
      <c r="F9" s="8">
        <f>SUM(F6:F8)</f>
        <v>33456.32</v>
      </c>
      <c r="G9" s="8">
        <f>SUM(G6:G8)</f>
        <v>32799.44</v>
      </c>
      <c r="H9" s="11">
        <f t="shared" si="0"/>
        <v>83359</v>
      </c>
      <c r="I9" s="4">
        <f t="shared" si="1"/>
        <v>164170.78</v>
      </c>
    </row>
    <row r="10" spans="1:9" ht="11.25">
      <c r="A10" s="8" t="s">
        <v>20</v>
      </c>
      <c r="B10" s="8">
        <f>254.3+4+100</f>
        <v>358.3</v>
      </c>
      <c r="C10" s="8">
        <v>0</v>
      </c>
      <c r="D10" s="6">
        <f t="shared" si="2"/>
        <v>358.3</v>
      </c>
      <c r="E10" s="8">
        <v>0</v>
      </c>
      <c r="F10" s="8">
        <v>0</v>
      </c>
      <c r="G10" s="8">
        <v>0</v>
      </c>
      <c r="H10" s="11">
        <f t="shared" si="0"/>
        <v>0</v>
      </c>
      <c r="I10" s="4">
        <f t="shared" si="1"/>
        <v>358.3</v>
      </c>
    </row>
    <row r="11" spans="1:9" ht="11.25">
      <c r="A11" s="8" t="s">
        <v>21</v>
      </c>
      <c r="B11" s="8">
        <v>0</v>
      </c>
      <c r="C11" s="8">
        <v>0</v>
      </c>
      <c r="D11" s="6">
        <f t="shared" si="2"/>
        <v>0</v>
      </c>
      <c r="E11" s="8">
        <v>0</v>
      </c>
      <c r="F11" s="8">
        <v>0</v>
      </c>
      <c r="G11" s="8">
        <f>1425+719+1511</f>
        <v>3655</v>
      </c>
      <c r="H11" s="11">
        <f t="shared" si="0"/>
        <v>3655</v>
      </c>
      <c r="I11" s="4">
        <f t="shared" si="1"/>
        <v>3655</v>
      </c>
    </row>
    <row r="12" spans="1:9" s="4" customFormat="1" ht="11.25">
      <c r="A12" s="4" t="s">
        <v>2</v>
      </c>
      <c r="B12" s="4">
        <f>B9-B10-B11</f>
        <v>79609.81</v>
      </c>
      <c r="C12" s="4">
        <f>C9-C10-C11</f>
        <v>843.67</v>
      </c>
      <c r="D12" s="6">
        <f t="shared" si="2"/>
        <v>80453.48</v>
      </c>
      <c r="E12" s="4">
        <f>E9-E10-E11</f>
        <v>17103.239999999998</v>
      </c>
      <c r="F12" s="4">
        <f>F9-F10-F11</f>
        <v>33456.32</v>
      </c>
      <c r="G12" s="4">
        <f>G9-G10-G11</f>
        <v>29144.440000000002</v>
      </c>
      <c r="H12" s="6">
        <f t="shared" si="0"/>
        <v>79704</v>
      </c>
      <c r="I12" s="4">
        <f t="shared" si="1"/>
        <v>160157.47999999998</v>
      </c>
    </row>
    <row r="13" ht="11.25">
      <c r="G13" s="10"/>
    </row>
    <row r="14" spans="1:7" ht="11.25">
      <c r="A14" s="8" t="s">
        <v>5</v>
      </c>
      <c r="B14" s="16"/>
      <c r="C14" s="16"/>
      <c r="G14" s="10"/>
    </row>
    <row r="15" spans="1:7" ht="11.25">
      <c r="A15" s="7" t="s">
        <v>29</v>
      </c>
      <c r="B15" s="16"/>
      <c r="C15" s="16"/>
      <c r="G15" s="10"/>
    </row>
    <row r="16" spans="1:7" ht="11.25">
      <c r="A16" s="7"/>
      <c r="E16" s="10"/>
      <c r="G16" s="10"/>
    </row>
    <row r="17" spans="2:7" ht="11.25">
      <c r="B17" s="14"/>
      <c r="C17" s="14"/>
      <c r="G17" s="10"/>
    </row>
    <row r="18" ht="11.25">
      <c r="G18" s="10"/>
    </row>
    <row r="20" spans="1:12" ht="12.75" customHeight="1">
      <c r="A20" s="34" t="s">
        <v>11</v>
      </c>
      <c r="B20" s="34"/>
      <c r="C20" s="34"/>
      <c r="D20" s="34"/>
      <c r="E20" s="34"/>
      <c r="F20" s="34"/>
      <c r="G20" s="34"/>
      <c r="H20" s="34"/>
      <c r="I20" s="34"/>
      <c r="J20" s="26"/>
      <c r="K20" s="26"/>
      <c r="L20" s="26"/>
    </row>
    <row r="22" spans="2:9" ht="11.25">
      <c r="B22" s="13" t="s">
        <v>4</v>
      </c>
      <c r="C22" s="13" t="s">
        <v>6</v>
      </c>
      <c r="D22" s="13" t="s">
        <v>7</v>
      </c>
      <c r="E22" s="13" t="s">
        <v>8</v>
      </c>
      <c r="F22" s="2" t="s">
        <v>22</v>
      </c>
      <c r="G22" s="13" t="s">
        <v>9</v>
      </c>
      <c r="H22" s="15" t="s">
        <v>10</v>
      </c>
      <c r="I22" s="13" t="s">
        <v>0</v>
      </c>
    </row>
    <row r="23" spans="6:8" ht="11.25">
      <c r="F23" s="7"/>
      <c r="H23" s="11"/>
    </row>
    <row r="24" spans="1:9" s="4" customFormat="1" ht="11.25">
      <c r="A24" s="4" t="s">
        <v>1</v>
      </c>
      <c r="B24" s="4">
        <v>-61933.83</v>
      </c>
      <c r="C24" s="4">
        <v>2187.91</v>
      </c>
      <c r="D24" s="4">
        <v>3180</v>
      </c>
      <c r="E24" s="4">
        <v>19285.8</v>
      </c>
      <c r="F24" s="4">
        <v>48204.66</v>
      </c>
      <c r="G24" s="4">
        <v>6595.06</v>
      </c>
      <c r="H24" s="6">
        <f>-18251.26+11421.81-735</f>
        <v>-7564.449999999999</v>
      </c>
      <c r="I24" s="4">
        <f aca="true" t="shared" si="3" ref="I24:I29">SUM(B24:H24)</f>
        <v>9955.15000000001</v>
      </c>
    </row>
    <row r="25" spans="1:9" ht="11.25">
      <c r="A25" s="8" t="s">
        <v>18</v>
      </c>
      <c r="B25" s="8">
        <f>75+135+15+98.99+57.65</f>
        <v>381.64</v>
      </c>
      <c r="C25" s="8">
        <f>135+20.5+120</f>
        <v>275.5</v>
      </c>
      <c r="D25" s="8">
        <f>100+40+40+100</f>
        <v>280</v>
      </c>
      <c r="E25" s="8">
        <f>513.75</f>
        <v>513.75</v>
      </c>
      <c r="F25" s="8">
        <f>1966.03-122.88</f>
        <v>1843.15</v>
      </c>
      <c r="G25" s="8">
        <v>0</v>
      </c>
      <c r="H25" s="11">
        <f>264+500</f>
        <v>764</v>
      </c>
      <c r="I25" s="8">
        <f t="shared" si="3"/>
        <v>4058.04</v>
      </c>
    </row>
    <row r="26" spans="1:9" ht="11.25">
      <c r="A26" s="8" t="s">
        <v>19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1">
        <v>26.35</v>
      </c>
      <c r="I26" s="8">
        <f t="shared" si="3"/>
        <v>26.35</v>
      </c>
    </row>
    <row r="27" spans="1:9" ht="11.25">
      <c r="A27" s="8" t="s">
        <v>0</v>
      </c>
      <c r="B27" s="8">
        <f aca="true" t="shared" si="4" ref="B27:G27">SUM(B24:B26)</f>
        <v>-61552.19</v>
      </c>
      <c r="C27" s="8">
        <f t="shared" si="4"/>
        <v>2463.41</v>
      </c>
      <c r="D27" s="8">
        <f t="shared" si="4"/>
        <v>3460</v>
      </c>
      <c r="E27" s="8">
        <f t="shared" si="4"/>
        <v>19799.55</v>
      </c>
      <c r="F27" s="8">
        <f t="shared" si="4"/>
        <v>50047.810000000005</v>
      </c>
      <c r="G27" s="8">
        <f t="shared" si="4"/>
        <v>6595.06</v>
      </c>
      <c r="H27" s="11">
        <f>SUM(H24:H26)</f>
        <v>-6774.0999999999985</v>
      </c>
      <c r="I27" s="4">
        <f>SUM(B27:H27)</f>
        <v>14039.540000000012</v>
      </c>
    </row>
    <row r="28" spans="1:9" ht="11.25">
      <c r="A28" s="8" t="s">
        <v>20</v>
      </c>
      <c r="B28" s="8">
        <f>143.25+66.29+25.54</f>
        <v>235.08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11">
        <v>0</v>
      </c>
      <c r="I28" s="8">
        <f t="shared" si="3"/>
        <v>235.08</v>
      </c>
    </row>
    <row r="29" spans="1:9" ht="11.25">
      <c r="A29" s="8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1">
        <f>664+335</f>
        <v>999</v>
      </c>
      <c r="I29" s="8">
        <f t="shared" si="3"/>
        <v>999</v>
      </c>
    </row>
    <row r="30" spans="1:9" s="4" customFormat="1" ht="11.25">
      <c r="A30" s="4" t="s">
        <v>2</v>
      </c>
      <c r="B30" s="4">
        <f aca="true" t="shared" si="5" ref="B30:H30">B27-B28-B29</f>
        <v>-61787.270000000004</v>
      </c>
      <c r="C30" s="4">
        <f t="shared" si="5"/>
        <v>2463.41</v>
      </c>
      <c r="D30" s="4">
        <f t="shared" si="5"/>
        <v>3460</v>
      </c>
      <c r="E30" s="4">
        <f t="shared" si="5"/>
        <v>19799.55</v>
      </c>
      <c r="F30" s="4">
        <f t="shared" si="5"/>
        <v>50047.810000000005</v>
      </c>
      <c r="G30" s="4">
        <f t="shared" si="5"/>
        <v>6595.06</v>
      </c>
      <c r="H30" s="6">
        <f t="shared" si="5"/>
        <v>-7773.0999999999985</v>
      </c>
      <c r="I30" s="4">
        <f>SUM(B30:H30)</f>
        <v>12805.46000000001</v>
      </c>
    </row>
    <row r="32" ht="11.25">
      <c r="A32" s="8" t="s">
        <v>5</v>
      </c>
    </row>
  </sheetData>
  <sheetProtection/>
  <mergeCells count="4">
    <mergeCell ref="B3:D3"/>
    <mergeCell ref="A1:H1"/>
    <mergeCell ref="A20:I20"/>
    <mergeCell ref="E3:H3"/>
  </mergeCells>
  <printOptions/>
  <pageMargins left="0" right="0" top="1" bottom="1" header="0.5" footer="0.5"/>
  <pageSetup fitToHeight="1" fitToWidth="1" horizontalDpi="600" verticalDpi="600" orientation="landscape" r:id="rId1"/>
  <headerFooter alignWithMargins="0">
    <oddHeader>&amp;LAuxiliary Revenue and Expenses
&amp;CJuly 2011
&amp;R
</oddHeader>
  </headerFooter>
  <ignoredErrors>
    <ignoredError sqref="D9 D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Layout" workbookViewId="0" topLeftCell="A1">
      <selection activeCell="H29" sqref="H29"/>
    </sheetView>
  </sheetViews>
  <sheetFormatPr defaultColWidth="9.140625" defaultRowHeight="12.75"/>
  <cols>
    <col min="1" max="1" width="20.8515625" style="8" customWidth="1"/>
    <col min="2" max="2" width="10.421875" style="8" bestFit="1" customWidth="1"/>
    <col min="3" max="3" width="12.57421875" style="8" bestFit="1" customWidth="1"/>
    <col min="4" max="4" width="12.140625" style="8" bestFit="1" customWidth="1"/>
    <col min="5" max="5" width="12.57421875" style="8" bestFit="1" customWidth="1"/>
    <col min="6" max="6" width="11.421875" style="8" bestFit="1" customWidth="1"/>
    <col min="7" max="7" width="10.8515625" style="8" bestFit="1" customWidth="1"/>
    <col min="8" max="8" width="10.7109375" style="8" bestFit="1" customWidth="1"/>
    <col min="9" max="9" width="11.28125" style="8" bestFit="1" customWidth="1"/>
    <col min="10" max="10" width="12.00390625" style="8" bestFit="1" customWidth="1"/>
    <col min="11" max="12" width="10.7109375" style="8" bestFit="1" customWidth="1"/>
    <col min="13" max="16384" width="9.140625" style="8" customWidth="1"/>
  </cols>
  <sheetData>
    <row r="1" spans="1:12" ht="11.2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17"/>
      <c r="K1" s="17"/>
      <c r="L1" s="17"/>
    </row>
    <row r="2" spans="2:3" ht="11.25">
      <c r="B2" s="4"/>
      <c r="C2" s="4"/>
    </row>
    <row r="3" spans="2:10" ht="12.75" customHeight="1">
      <c r="B3" s="31" t="s">
        <v>24</v>
      </c>
      <c r="C3" s="31"/>
      <c r="D3" s="32"/>
      <c r="E3" s="33" t="s">
        <v>23</v>
      </c>
      <c r="F3" s="31"/>
      <c r="G3" s="31"/>
      <c r="H3" s="31"/>
      <c r="I3" s="24"/>
      <c r="J3" s="25"/>
    </row>
    <row r="4" spans="2:9" ht="11.25">
      <c r="B4" s="13" t="s">
        <v>4</v>
      </c>
      <c r="C4" s="13" t="s">
        <v>22</v>
      </c>
      <c r="D4" s="15" t="s">
        <v>3</v>
      </c>
      <c r="E4" s="18" t="s">
        <v>22</v>
      </c>
      <c r="F4" s="13" t="s">
        <v>4</v>
      </c>
      <c r="G4" s="13" t="s">
        <v>17</v>
      </c>
      <c r="H4" s="12" t="s">
        <v>28</v>
      </c>
      <c r="I4" s="13" t="s">
        <v>0</v>
      </c>
    </row>
    <row r="5" spans="4:8" ht="11.25">
      <c r="D5" s="11"/>
      <c r="E5" s="7"/>
      <c r="H5" s="11"/>
    </row>
    <row r="6" spans="1:9" s="4" customFormat="1" ht="11.25">
      <c r="A6" s="4" t="s">
        <v>1</v>
      </c>
      <c r="B6" s="4">
        <f>July!B12</f>
        <v>79609.81</v>
      </c>
      <c r="C6" s="4">
        <f>July!C12</f>
        <v>843.67</v>
      </c>
      <c r="D6" s="6">
        <f>SUM(B6:C6)</f>
        <v>80453.48</v>
      </c>
      <c r="E6" s="4">
        <f>July!E12</f>
        <v>17103.239999999998</v>
      </c>
      <c r="F6" s="4">
        <f>July!F12</f>
        <v>33456.32</v>
      </c>
      <c r="G6" s="4">
        <f>July!G12</f>
        <v>29144.440000000002</v>
      </c>
      <c r="H6" s="6">
        <f aca="true" t="shared" si="0" ref="H6:H12">SUM(E6:G6)</f>
        <v>79704</v>
      </c>
      <c r="I6" s="4">
        <f aca="true" t="shared" si="1" ref="I6:I12">D6+H6</f>
        <v>160157.47999999998</v>
      </c>
    </row>
    <row r="7" spans="1:9" ht="11.25">
      <c r="A7" s="8" t="s">
        <v>18</v>
      </c>
      <c r="B7" s="8">
        <f>1452+11.5+617</f>
        <v>2080.5</v>
      </c>
      <c r="C7" s="8">
        <v>0</v>
      </c>
      <c r="D7" s="11">
        <f>SUM(B7:B7)</f>
        <v>2080.5</v>
      </c>
      <c r="E7" s="8">
        <f>1047.95-65.5</f>
        <v>982.45</v>
      </c>
      <c r="F7" s="8">
        <f>66+55+2130+11+11+75</f>
        <v>2348</v>
      </c>
      <c r="G7" s="8">
        <v>0</v>
      </c>
      <c r="H7" s="11">
        <f t="shared" si="0"/>
        <v>3330.45</v>
      </c>
      <c r="I7" s="4">
        <f t="shared" si="1"/>
        <v>5410.95</v>
      </c>
    </row>
    <row r="8" spans="1:9" ht="11.25">
      <c r="A8" s="8" t="s">
        <v>19</v>
      </c>
      <c r="B8" s="8">
        <v>139.65</v>
      </c>
      <c r="C8" s="8">
        <v>0</v>
      </c>
      <c r="D8" s="11">
        <f>SUM(B8:B8)</f>
        <v>139.65</v>
      </c>
      <c r="E8" s="8">
        <v>0</v>
      </c>
      <c r="F8" s="8">
        <v>0</v>
      </c>
      <c r="G8" s="8">
        <v>138.12</v>
      </c>
      <c r="H8" s="11">
        <f t="shared" si="0"/>
        <v>138.12</v>
      </c>
      <c r="I8" s="4">
        <f t="shared" si="1"/>
        <v>277.77</v>
      </c>
    </row>
    <row r="9" spans="1:9" ht="11.25">
      <c r="A9" s="8" t="s">
        <v>0</v>
      </c>
      <c r="B9" s="8">
        <f>SUM(B6:B8)</f>
        <v>81829.95999999999</v>
      </c>
      <c r="C9" s="8">
        <f>SUM(C6:C8)</f>
        <v>843.67</v>
      </c>
      <c r="D9" s="11">
        <f>SUM(B9:B9)</f>
        <v>81829.95999999999</v>
      </c>
      <c r="E9" s="8">
        <f>SUM(E6:E8)</f>
        <v>18085.69</v>
      </c>
      <c r="F9" s="8">
        <f>SUM(F6:F8)</f>
        <v>35804.32</v>
      </c>
      <c r="G9" s="8">
        <f>SUM(G6:G8)</f>
        <v>29282.56</v>
      </c>
      <c r="H9" s="11">
        <f t="shared" si="0"/>
        <v>83172.56999999999</v>
      </c>
      <c r="I9" s="4">
        <f t="shared" si="1"/>
        <v>165002.52999999997</v>
      </c>
    </row>
    <row r="10" spans="1:9" ht="11.25">
      <c r="A10" s="8" t="s">
        <v>20</v>
      </c>
      <c r="B10" s="8">
        <f>11+11+81+11+11+7500-4</f>
        <v>7621</v>
      </c>
      <c r="C10" s="8">
        <v>0</v>
      </c>
      <c r="D10" s="11">
        <f>SUM(B10:B10)</f>
        <v>7621</v>
      </c>
      <c r="E10" s="8">
        <v>0</v>
      </c>
      <c r="F10" s="8">
        <f>11</f>
        <v>11</v>
      </c>
      <c r="G10" s="8">
        <f>275</f>
        <v>275</v>
      </c>
      <c r="H10" s="11">
        <f t="shared" si="0"/>
        <v>286</v>
      </c>
      <c r="I10" s="4">
        <f t="shared" si="1"/>
        <v>7907</v>
      </c>
    </row>
    <row r="11" spans="1:9" ht="11.25">
      <c r="A11" s="8" t="s">
        <v>21</v>
      </c>
      <c r="B11" s="8">
        <v>0</v>
      </c>
      <c r="C11" s="8">
        <v>0</v>
      </c>
      <c r="D11" s="11">
        <f>SUM(B11:B11)</f>
        <v>0</v>
      </c>
      <c r="E11" s="8">
        <v>0</v>
      </c>
      <c r="F11" s="8">
        <v>0</v>
      </c>
      <c r="G11" s="8">
        <f>1425+719+1511</f>
        <v>3655</v>
      </c>
      <c r="H11" s="11">
        <f t="shared" si="0"/>
        <v>3655</v>
      </c>
      <c r="I11" s="4">
        <f t="shared" si="1"/>
        <v>3655</v>
      </c>
    </row>
    <row r="12" spans="1:9" s="4" customFormat="1" ht="11.25">
      <c r="A12" s="4" t="s">
        <v>2</v>
      </c>
      <c r="B12" s="4">
        <f>B9-B10-B11</f>
        <v>74208.95999999999</v>
      </c>
      <c r="C12" s="4">
        <f>C9-C10-C11</f>
        <v>843.67</v>
      </c>
      <c r="D12" s="6">
        <f>SUM(B12:C12)</f>
        <v>75052.62999999999</v>
      </c>
      <c r="E12" s="4">
        <f>E9-E10-E11</f>
        <v>18085.69</v>
      </c>
      <c r="F12" s="4">
        <f>F9-F10-F11</f>
        <v>35793.32</v>
      </c>
      <c r="G12" s="4">
        <f>G9-G10-G11</f>
        <v>25352.56</v>
      </c>
      <c r="H12" s="6">
        <f t="shared" si="0"/>
        <v>79231.56999999999</v>
      </c>
      <c r="I12" s="4">
        <f t="shared" si="1"/>
        <v>154284.19999999998</v>
      </c>
    </row>
    <row r="13" ht="11.25">
      <c r="G13" s="10"/>
    </row>
    <row r="14" spans="1:7" ht="11.25">
      <c r="A14" s="8" t="s">
        <v>5</v>
      </c>
      <c r="B14" s="16"/>
      <c r="C14" s="16"/>
      <c r="G14" s="10"/>
    </row>
    <row r="15" spans="1:7" ht="11.25">
      <c r="A15" s="7" t="s">
        <v>29</v>
      </c>
      <c r="B15" s="16"/>
      <c r="C15" s="16"/>
      <c r="G15" s="10"/>
    </row>
    <row r="16" spans="1:7" ht="11.25">
      <c r="A16" s="7"/>
      <c r="E16" s="10"/>
      <c r="G16" s="10"/>
    </row>
    <row r="17" spans="2:7" ht="11.25">
      <c r="B17" s="14"/>
      <c r="C17" s="14"/>
      <c r="G17" s="10"/>
    </row>
    <row r="18" ht="11.25">
      <c r="G18" s="10"/>
    </row>
    <row r="20" spans="1:12" ht="11.25">
      <c r="A20" s="34" t="s">
        <v>11</v>
      </c>
      <c r="B20" s="34"/>
      <c r="C20" s="34"/>
      <c r="D20" s="34"/>
      <c r="E20" s="34"/>
      <c r="F20" s="34"/>
      <c r="G20" s="34"/>
      <c r="H20" s="34"/>
      <c r="I20" s="34"/>
      <c r="J20" s="26"/>
      <c r="K20" s="26"/>
      <c r="L20" s="26"/>
    </row>
    <row r="22" spans="2:9" ht="11.25">
      <c r="B22" s="13" t="s">
        <v>4</v>
      </c>
      <c r="C22" s="13" t="s">
        <v>6</v>
      </c>
      <c r="D22" s="13" t="s">
        <v>7</v>
      </c>
      <c r="E22" s="13" t="s">
        <v>8</v>
      </c>
      <c r="F22" s="2" t="s">
        <v>22</v>
      </c>
      <c r="G22" s="13" t="s">
        <v>9</v>
      </c>
      <c r="H22" s="15" t="s">
        <v>10</v>
      </c>
      <c r="I22" s="13" t="s">
        <v>0</v>
      </c>
    </row>
    <row r="23" spans="6:8" ht="11.25">
      <c r="F23" s="7"/>
      <c r="H23" s="11"/>
    </row>
    <row r="24" spans="1:9" s="4" customFormat="1" ht="11.25">
      <c r="A24" s="4" t="s">
        <v>1</v>
      </c>
      <c r="B24" s="4">
        <f>July!B30</f>
        <v>-61787.270000000004</v>
      </c>
      <c r="C24" s="4">
        <f>July!C30</f>
        <v>2463.41</v>
      </c>
      <c r="D24" s="4">
        <f>July!D30</f>
        <v>3460</v>
      </c>
      <c r="E24" s="4">
        <f>July!E30</f>
        <v>19799.55</v>
      </c>
      <c r="F24" s="4">
        <f>July!F30</f>
        <v>50047.810000000005</v>
      </c>
      <c r="G24" s="4">
        <f>July!G30</f>
        <v>6595.06</v>
      </c>
      <c r="H24" s="6">
        <f>July!H30</f>
        <v>-7773.0999999999985</v>
      </c>
      <c r="I24" s="4">
        <f aca="true" t="shared" si="2" ref="I24:I30">SUM(B24:H24)</f>
        <v>12805.46000000001</v>
      </c>
    </row>
    <row r="25" spans="1:9" ht="11.25">
      <c r="A25" s="8" t="s">
        <v>18</v>
      </c>
      <c r="B25" s="8">
        <f>45+105+30+45+80+30</f>
        <v>335</v>
      </c>
      <c r="C25" s="8">
        <f>15</f>
        <v>15</v>
      </c>
      <c r="D25" s="8">
        <f>240+140+100</f>
        <v>480</v>
      </c>
      <c r="E25" s="8">
        <f>914.01</f>
        <v>914.01</v>
      </c>
      <c r="F25" s="8">
        <f>2329.88-145.62</f>
        <v>2184.26</v>
      </c>
      <c r="G25" s="8">
        <f>600</f>
        <v>600</v>
      </c>
      <c r="H25" s="11">
        <v>0</v>
      </c>
      <c r="I25" s="8">
        <f t="shared" si="2"/>
        <v>4528.27</v>
      </c>
    </row>
    <row r="26" spans="1:9" ht="11.25">
      <c r="A26" s="8" t="s">
        <v>19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1">
        <v>21.29</v>
      </c>
      <c r="I26" s="8">
        <f t="shared" si="2"/>
        <v>21.29</v>
      </c>
    </row>
    <row r="27" spans="1:9" ht="11.25">
      <c r="A27" s="8" t="s">
        <v>0</v>
      </c>
      <c r="B27" s="8">
        <f aca="true" t="shared" si="3" ref="B27:H27">SUM(B24:B26)</f>
        <v>-61452.270000000004</v>
      </c>
      <c r="C27" s="8">
        <f t="shared" si="3"/>
        <v>2478.41</v>
      </c>
      <c r="D27" s="8">
        <f t="shared" si="3"/>
        <v>3940</v>
      </c>
      <c r="E27" s="8">
        <f t="shared" si="3"/>
        <v>20713.559999999998</v>
      </c>
      <c r="F27" s="8">
        <f t="shared" si="3"/>
        <v>52232.07000000001</v>
      </c>
      <c r="G27" s="8">
        <f t="shared" si="3"/>
        <v>7195.06</v>
      </c>
      <c r="H27" s="11">
        <f t="shared" si="3"/>
        <v>-7751.809999999999</v>
      </c>
      <c r="I27" s="4">
        <f t="shared" si="2"/>
        <v>17355.020000000008</v>
      </c>
    </row>
    <row r="28" spans="1:9" ht="11.25">
      <c r="A28" s="8" t="s">
        <v>20</v>
      </c>
      <c r="B28" s="8">
        <f>10269.92+339.65+75.04</f>
        <v>10684.61</v>
      </c>
      <c r="C28" s="8">
        <v>0</v>
      </c>
      <c r="D28" s="8">
        <v>0</v>
      </c>
      <c r="E28" s="8">
        <v>0</v>
      </c>
      <c r="F28" s="8">
        <f>182.7</f>
        <v>182.7</v>
      </c>
      <c r="G28" s="8">
        <v>0</v>
      </c>
      <c r="H28" s="11">
        <v>26.34</v>
      </c>
      <c r="I28" s="8">
        <f t="shared" si="2"/>
        <v>10893.650000000001</v>
      </c>
    </row>
    <row r="29" spans="1:9" ht="11.25">
      <c r="A29" s="8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1">
        <f>664+335</f>
        <v>999</v>
      </c>
      <c r="I29" s="8">
        <f t="shared" si="2"/>
        <v>999</v>
      </c>
    </row>
    <row r="30" spans="1:9" s="4" customFormat="1" ht="11.25">
      <c r="A30" s="4" t="s">
        <v>2</v>
      </c>
      <c r="B30" s="4">
        <f aca="true" t="shared" si="4" ref="B30:H30">B27-B28-B29</f>
        <v>-72136.88</v>
      </c>
      <c r="C30" s="4">
        <f t="shared" si="4"/>
        <v>2478.41</v>
      </c>
      <c r="D30" s="4">
        <f t="shared" si="4"/>
        <v>3940</v>
      </c>
      <c r="E30" s="4">
        <f t="shared" si="4"/>
        <v>20713.559999999998</v>
      </c>
      <c r="F30" s="4">
        <f t="shared" si="4"/>
        <v>52049.37000000001</v>
      </c>
      <c r="G30" s="4">
        <f t="shared" si="4"/>
        <v>7195.06</v>
      </c>
      <c r="H30" s="6">
        <f t="shared" si="4"/>
        <v>-8777.149999999998</v>
      </c>
      <c r="I30" s="4">
        <f t="shared" si="2"/>
        <v>5462.37000000001</v>
      </c>
    </row>
    <row r="32" ht="11.25">
      <c r="A32" s="8" t="s">
        <v>5</v>
      </c>
    </row>
    <row r="36" ht="11.25">
      <c r="H36" s="22"/>
    </row>
  </sheetData>
  <sheetProtection/>
  <mergeCells count="4">
    <mergeCell ref="B3:D3"/>
    <mergeCell ref="A20:I20"/>
    <mergeCell ref="A1:I1"/>
    <mergeCell ref="E3:H3"/>
  </mergeCells>
  <printOptions/>
  <pageMargins left="0" right="0" top="1" bottom="1" header="0.5" footer="0.5"/>
  <pageSetup fitToHeight="1" fitToWidth="1" horizontalDpi="600" verticalDpi="600" orientation="landscape" r:id="rId1"/>
  <headerFooter alignWithMargins="0">
    <oddHeader>&amp;LAuxiliary Revenue and Expenses
&amp;CAugust 2011</oddHeader>
  </headerFooter>
  <ignoredErrors>
    <ignoredError sqref="D9:D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Layout" zoomScale="101" zoomScalePageLayoutView="101" workbookViewId="0" topLeftCell="A1">
      <selection activeCell="E25" sqref="E25"/>
    </sheetView>
  </sheetViews>
  <sheetFormatPr defaultColWidth="12.7109375" defaultRowHeight="12.75"/>
  <cols>
    <col min="1" max="1" width="20.8515625" style="7" customWidth="1"/>
    <col min="2" max="2" width="10.421875" style="7" bestFit="1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28125" style="7" bestFit="1" customWidth="1"/>
    <col min="7" max="7" width="9.8515625" style="7" bestFit="1" customWidth="1"/>
    <col min="8" max="8" width="10.8515625" style="7" bestFit="1" customWidth="1"/>
    <col min="9" max="9" width="10.7109375" style="7" bestFit="1" customWidth="1"/>
    <col min="10" max="10" width="12.00390625" style="7" bestFit="1" customWidth="1"/>
    <col min="11" max="13" width="10.7109375" style="7" bestFit="1" customWidth="1"/>
    <col min="14" max="16384" width="12.7109375" style="7" customWidth="1"/>
  </cols>
  <sheetData>
    <row r="1" spans="1:11" ht="12.7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28"/>
      <c r="K1" s="28"/>
    </row>
    <row r="2" spans="2:3" ht="11.25">
      <c r="B2" s="1"/>
      <c r="C2" s="1"/>
    </row>
    <row r="3" spans="1:12" ht="12.75" customHeight="1">
      <c r="A3" s="8"/>
      <c r="B3" s="31" t="s">
        <v>24</v>
      </c>
      <c r="C3" s="31"/>
      <c r="D3" s="32"/>
      <c r="E3" s="33" t="s">
        <v>23</v>
      </c>
      <c r="F3" s="31"/>
      <c r="G3" s="31"/>
      <c r="H3" s="31"/>
      <c r="I3" s="24"/>
      <c r="J3" s="27"/>
      <c r="K3" s="27"/>
      <c r="L3" s="25"/>
    </row>
    <row r="4" spans="1:10" ht="11.25">
      <c r="A4" s="8"/>
      <c r="B4" s="13" t="s">
        <v>4</v>
      </c>
      <c r="C4" s="13" t="s">
        <v>22</v>
      </c>
      <c r="D4" s="15" t="s">
        <v>3</v>
      </c>
      <c r="E4" s="18" t="s">
        <v>22</v>
      </c>
      <c r="F4" s="13" t="s">
        <v>4</v>
      </c>
      <c r="G4" s="13" t="s">
        <v>17</v>
      </c>
      <c r="H4" s="12" t="s">
        <v>28</v>
      </c>
      <c r="I4" s="13" t="s">
        <v>0</v>
      </c>
      <c r="J4" s="2"/>
    </row>
    <row r="5" spans="1:9" ht="11.25">
      <c r="A5" s="8"/>
      <c r="B5" s="8"/>
      <c r="C5" s="8"/>
      <c r="D5" s="11"/>
      <c r="F5" s="8"/>
      <c r="G5" s="8"/>
      <c r="H5" s="11"/>
      <c r="I5" s="8"/>
    </row>
    <row r="6" spans="1:10" s="3" customFormat="1" ht="11.25">
      <c r="A6" s="4" t="s">
        <v>1</v>
      </c>
      <c r="B6" s="4">
        <f>Aug!B12</f>
        <v>74208.95999999999</v>
      </c>
      <c r="C6" s="4">
        <f>Aug!C12</f>
        <v>843.67</v>
      </c>
      <c r="D6" s="6">
        <f aca="true" t="shared" si="0" ref="D6:D12">SUM(B6:C6)</f>
        <v>75052.62999999999</v>
      </c>
      <c r="E6" s="4">
        <f>Aug!E12</f>
        <v>18085.69</v>
      </c>
      <c r="F6" s="4">
        <f>Aug!F12</f>
        <v>35793.32</v>
      </c>
      <c r="G6" s="4">
        <f>Aug!G12</f>
        <v>25352.56</v>
      </c>
      <c r="H6" s="6">
        <f aca="true" t="shared" si="1" ref="H6:H12">SUM(E6:G6)</f>
        <v>79231.56999999999</v>
      </c>
      <c r="I6" s="4">
        <f aca="true" t="shared" si="2" ref="I6:I12">D6+H6</f>
        <v>154284.19999999998</v>
      </c>
      <c r="J6" s="5"/>
    </row>
    <row r="7" spans="1:10" ht="11.25">
      <c r="A7" s="8" t="s">
        <v>18</v>
      </c>
      <c r="B7" s="8">
        <f>194+22+2605+349+22.25</f>
        <v>3192.25</v>
      </c>
      <c r="C7" s="8">
        <v>0</v>
      </c>
      <c r="D7" s="11">
        <f t="shared" si="0"/>
        <v>3192.25</v>
      </c>
      <c r="E7" s="8">
        <f>1806.43-112.9</f>
        <v>1693.53</v>
      </c>
      <c r="F7" s="8">
        <f>1932+5+462+22+1346+22+32+45</f>
        <v>3866</v>
      </c>
      <c r="G7" s="8">
        <v>246.17</v>
      </c>
      <c r="H7" s="11">
        <f t="shared" si="1"/>
        <v>5805.7</v>
      </c>
      <c r="I7" s="23">
        <f t="shared" si="2"/>
        <v>8997.95</v>
      </c>
      <c r="J7" s="10"/>
    </row>
    <row r="8" spans="1:10" ht="11.25">
      <c r="A8" s="8" t="s">
        <v>19</v>
      </c>
      <c r="B8" s="8">
        <v>242.34</v>
      </c>
      <c r="C8" s="8">
        <v>0</v>
      </c>
      <c r="D8" s="11">
        <f t="shared" si="0"/>
        <v>242.34</v>
      </c>
      <c r="E8" s="8"/>
      <c r="F8" s="8"/>
      <c r="G8" s="8"/>
      <c r="H8" s="6">
        <f t="shared" si="1"/>
        <v>0</v>
      </c>
      <c r="I8" s="23">
        <f t="shared" si="2"/>
        <v>242.34</v>
      </c>
      <c r="J8" s="10"/>
    </row>
    <row r="9" spans="1:10" ht="11.25">
      <c r="A9" s="8" t="s">
        <v>0</v>
      </c>
      <c r="B9" s="8">
        <f>SUM(B6:B8)</f>
        <v>77643.54999999999</v>
      </c>
      <c r="C9" s="8">
        <f>SUM(C6:C8)</f>
        <v>843.67</v>
      </c>
      <c r="D9" s="11">
        <f t="shared" si="0"/>
        <v>78487.21999999999</v>
      </c>
      <c r="E9" s="8">
        <f>SUM(E6:E8)</f>
        <v>19779.219999999998</v>
      </c>
      <c r="F9" s="8">
        <f>SUM(F6:F8)</f>
        <v>39659.32</v>
      </c>
      <c r="G9" s="8">
        <f>SUM(G6:G8)</f>
        <v>25598.73</v>
      </c>
      <c r="H9" s="11">
        <f t="shared" si="1"/>
        <v>85037.26999999999</v>
      </c>
      <c r="I9" s="23">
        <f t="shared" si="2"/>
        <v>163524.49</v>
      </c>
      <c r="J9" s="10"/>
    </row>
    <row r="10" spans="1:10" ht="11.25">
      <c r="A10" s="8" t="s">
        <v>20</v>
      </c>
      <c r="B10" s="8">
        <f>50.3+182+23.14</f>
        <v>255.44</v>
      </c>
      <c r="C10" s="8">
        <v>6.89</v>
      </c>
      <c r="D10" s="11">
        <f t="shared" si="0"/>
        <v>262.33</v>
      </c>
      <c r="E10" s="8">
        <f>478.39</f>
        <v>478.39</v>
      </c>
      <c r="F10" s="8">
        <f>737.65+172.04+12+229.56</f>
        <v>1151.25</v>
      </c>
      <c r="G10" s="8"/>
      <c r="H10" s="11">
        <f t="shared" si="1"/>
        <v>1629.6399999999999</v>
      </c>
      <c r="I10" s="23">
        <f t="shared" si="2"/>
        <v>1891.9699999999998</v>
      </c>
      <c r="J10" s="10"/>
    </row>
    <row r="11" spans="1:10" ht="11.25">
      <c r="A11" s="8" t="s">
        <v>21</v>
      </c>
      <c r="B11" s="8">
        <v>0</v>
      </c>
      <c r="C11" s="8">
        <v>0</v>
      </c>
      <c r="D11" s="11">
        <f t="shared" si="0"/>
        <v>0</v>
      </c>
      <c r="E11" s="8"/>
      <c r="F11" s="8"/>
      <c r="G11" s="8">
        <f>1425+719+1511</f>
        <v>3655</v>
      </c>
      <c r="H11" s="11">
        <f t="shared" si="1"/>
        <v>3655</v>
      </c>
      <c r="I11" s="23">
        <f t="shared" si="2"/>
        <v>3655</v>
      </c>
      <c r="J11" s="10"/>
    </row>
    <row r="12" spans="1:10" s="3" customFormat="1" ht="11.25">
      <c r="A12" s="4" t="s">
        <v>2</v>
      </c>
      <c r="B12" s="4">
        <f>B9-B10-B11</f>
        <v>77388.10999999999</v>
      </c>
      <c r="C12" s="4">
        <f>C9-C10-C11</f>
        <v>836.78</v>
      </c>
      <c r="D12" s="6">
        <f t="shared" si="0"/>
        <v>78224.88999999998</v>
      </c>
      <c r="E12" s="4">
        <f>E9-E10-E11</f>
        <v>19300.829999999998</v>
      </c>
      <c r="F12" s="4">
        <f>F9-F10-F11</f>
        <v>38508.07</v>
      </c>
      <c r="G12" s="4">
        <f>G9-G10-G11</f>
        <v>21943.73</v>
      </c>
      <c r="H12" s="6">
        <f t="shared" si="1"/>
        <v>79752.62999999999</v>
      </c>
      <c r="I12" s="4">
        <f t="shared" si="2"/>
        <v>157977.51999999996</v>
      </c>
      <c r="J12" s="5"/>
    </row>
    <row r="13" spans="1:12" ht="11.2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1.2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1:12" ht="11.25">
      <c r="A15" s="7" t="s">
        <v>29</v>
      </c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1.2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1.2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1.2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1.25">
      <c r="A20" s="34" t="s">
        <v>11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9"/>
    </row>
    <row r="21" spans="1:12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1.25">
      <c r="A22" s="8"/>
      <c r="B22" s="13" t="s">
        <v>4</v>
      </c>
      <c r="C22" s="13" t="s">
        <v>6</v>
      </c>
      <c r="D22" s="13" t="s">
        <v>7</v>
      </c>
      <c r="E22" s="13" t="s">
        <v>8</v>
      </c>
      <c r="F22" s="2" t="s">
        <v>22</v>
      </c>
      <c r="G22" s="13" t="s">
        <v>9</v>
      </c>
      <c r="H22" s="15" t="s">
        <v>10</v>
      </c>
      <c r="I22" s="13" t="s">
        <v>0</v>
      </c>
      <c r="J22" s="2"/>
    </row>
    <row r="23" spans="1:9" ht="11.25">
      <c r="A23" s="8"/>
      <c r="B23" s="8"/>
      <c r="C23" s="8"/>
      <c r="D23" s="8"/>
      <c r="E23" s="8"/>
      <c r="G23" s="8"/>
      <c r="H23" s="11"/>
      <c r="I23" s="8"/>
    </row>
    <row r="24" spans="1:10" s="3" customFormat="1" ht="11.25">
      <c r="A24" s="4" t="s">
        <v>1</v>
      </c>
      <c r="B24" s="4">
        <f>Aug!B30</f>
        <v>-72136.88</v>
      </c>
      <c r="C24" s="4">
        <f>Aug!C30</f>
        <v>2478.41</v>
      </c>
      <c r="D24" s="4">
        <f>Aug!D30</f>
        <v>3940</v>
      </c>
      <c r="E24" s="4">
        <f>Aug!E30</f>
        <v>20713.559999999998</v>
      </c>
      <c r="F24" s="4">
        <f>Aug!F30</f>
        <v>52049.37000000001</v>
      </c>
      <c r="G24" s="4">
        <f>Aug!G30</f>
        <v>7195.06</v>
      </c>
      <c r="H24" s="6">
        <f>Aug!H30</f>
        <v>-8777.149999999998</v>
      </c>
      <c r="I24" s="4">
        <f aca="true" t="shared" si="3" ref="I24:I30">SUM(B24:H24)</f>
        <v>5462.37000000001</v>
      </c>
      <c r="J24" s="5"/>
    </row>
    <row r="25" spans="1:10" ht="11.25">
      <c r="A25" s="8" t="s">
        <v>18</v>
      </c>
      <c r="B25" s="8">
        <f>150.55+45</f>
        <v>195.55</v>
      </c>
      <c r="C25" s="8">
        <f>15</f>
        <v>15</v>
      </c>
      <c r="D25" s="8">
        <f>200+100+80</f>
        <v>380</v>
      </c>
      <c r="E25" s="8">
        <f>717.02+345.12+416.54+106.49+137.84+95.37+9.56+386.13+44.63+246.87</f>
        <v>2505.5699999999997</v>
      </c>
      <c r="F25" s="8">
        <f>3579.98-223.75+37.5</f>
        <v>3393.73</v>
      </c>
      <c r="G25" s="8">
        <v>300</v>
      </c>
      <c r="H25" s="11">
        <v>600</v>
      </c>
      <c r="I25" s="8">
        <f t="shared" si="3"/>
        <v>7389.85</v>
      </c>
      <c r="J25" s="8"/>
    </row>
    <row r="26" spans="1:10" ht="11.25">
      <c r="A26" s="8" t="s">
        <v>19</v>
      </c>
      <c r="B26" s="8"/>
      <c r="C26" s="8"/>
      <c r="D26" s="8"/>
      <c r="E26" s="8"/>
      <c r="F26" s="8"/>
      <c r="G26" s="8"/>
      <c r="H26" s="11">
        <v>29.86</v>
      </c>
      <c r="I26" s="8">
        <f t="shared" si="3"/>
        <v>29.86</v>
      </c>
      <c r="J26" s="8"/>
    </row>
    <row r="27" spans="1:10" ht="11.25">
      <c r="A27" s="8" t="s">
        <v>0</v>
      </c>
      <c r="B27" s="8">
        <f aca="true" t="shared" si="4" ref="B27:H27">SUM(B24:B26)</f>
        <v>-71941.33</v>
      </c>
      <c r="C27" s="8">
        <f t="shared" si="4"/>
        <v>2493.41</v>
      </c>
      <c r="D27" s="8">
        <f t="shared" si="4"/>
        <v>4320</v>
      </c>
      <c r="E27" s="8">
        <f t="shared" si="4"/>
        <v>23219.129999999997</v>
      </c>
      <c r="F27" s="8">
        <f t="shared" si="4"/>
        <v>55443.10000000001</v>
      </c>
      <c r="G27" s="8">
        <f t="shared" si="4"/>
        <v>7495.06</v>
      </c>
      <c r="H27" s="11">
        <f t="shared" si="4"/>
        <v>-8147.289999999998</v>
      </c>
      <c r="I27" s="4">
        <f t="shared" si="3"/>
        <v>12882.080000000016</v>
      </c>
      <c r="J27" s="8"/>
    </row>
    <row r="28" spans="1:10" ht="11.25">
      <c r="A28" s="8" t="s">
        <v>20</v>
      </c>
      <c r="B28" s="8">
        <f>4350.34+82.5+48.5+23.58</f>
        <v>4504.92</v>
      </c>
      <c r="C28" s="8"/>
      <c r="D28" s="8"/>
      <c r="E28" s="8"/>
      <c r="F28" s="8">
        <f>161.96+401.5</f>
        <v>563.46</v>
      </c>
      <c r="G28" s="8"/>
      <c r="H28" s="11">
        <f>142.33+33.72</f>
        <v>176.05</v>
      </c>
      <c r="I28" s="8">
        <f>SUM(B28:H28)</f>
        <v>5244.43</v>
      </c>
      <c r="J28" s="8"/>
    </row>
    <row r="29" spans="1:10" ht="11.25">
      <c r="A29" s="8" t="s">
        <v>21</v>
      </c>
      <c r="B29" s="8"/>
      <c r="C29" s="8"/>
      <c r="D29" s="8"/>
      <c r="E29" s="8"/>
      <c r="F29" s="8"/>
      <c r="G29" s="8"/>
      <c r="H29" s="11">
        <f>664+335</f>
        <v>999</v>
      </c>
      <c r="I29" s="8">
        <f t="shared" si="3"/>
        <v>999</v>
      </c>
      <c r="J29" s="8"/>
    </row>
    <row r="30" spans="1:10" s="3" customFormat="1" ht="11.25">
      <c r="A30" s="4" t="s">
        <v>2</v>
      </c>
      <c r="B30" s="4">
        <f aca="true" t="shared" si="5" ref="B30:H30">B27-B28-B29</f>
        <v>-76446.25</v>
      </c>
      <c r="C30" s="4">
        <f t="shared" si="5"/>
        <v>2493.41</v>
      </c>
      <c r="D30" s="4">
        <f t="shared" si="5"/>
        <v>4320</v>
      </c>
      <c r="E30" s="4">
        <f t="shared" si="5"/>
        <v>23219.129999999997</v>
      </c>
      <c r="F30" s="4">
        <f t="shared" si="5"/>
        <v>54879.640000000014</v>
      </c>
      <c r="G30" s="4">
        <f t="shared" si="5"/>
        <v>7495.06</v>
      </c>
      <c r="H30" s="6">
        <f t="shared" si="5"/>
        <v>-9322.339999999998</v>
      </c>
      <c r="I30" s="4">
        <f t="shared" si="3"/>
        <v>6638.650000000018</v>
      </c>
      <c r="J30" s="4"/>
    </row>
    <row r="32" ht="11.25">
      <c r="A32" s="8" t="s">
        <v>5</v>
      </c>
    </row>
    <row r="33" ht="11.25">
      <c r="A33" s="8"/>
    </row>
    <row r="34" ht="11.25">
      <c r="A34" s="8"/>
    </row>
    <row r="35" ht="11.25">
      <c r="A35" s="8"/>
    </row>
    <row r="36" ht="11.25">
      <c r="A36" s="8"/>
    </row>
  </sheetData>
  <sheetProtection/>
  <mergeCells count="4">
    <mergeCell ref="A20:L20"/>
    <mergeCell ref="B3:D3"/>
    <mergeCell ref="E3:H3"/>
    <mergeCell ref="A1:I1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&amp;LAuxiliary Revenue and Expenses&amp;CSeptember 2011</oddHeader>
  </headerFooter>
  <ignoredErrors>
    <ignoredError sqref="D9 D11:D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Layout" workbookViewId="0" topLeftCell="A1">
      <selection activeCell="H28" sqref="H28"/>
    </sheetView>
  </sheetViews>
  <sheetFormatPr defaultColWidth="12.7109375" defaultRowHeight="12.75"/>
  <cols>
    <col min="1" max="1" width="20.8515625" style="7" customWidth="1"/>
    <col min="2" max="2" width="10.421875" style="7" bestFit="1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7" width="9.8515625" style="7" bestFit="1" customWidth="1"/>
    <col min="8" max="8" width="10.8515625" style="7" bestFit="1" customWidth="1"/>
    <col min="9" max="9" width="10.7109375" style="7" bestFit="1" customWidth="1"/>
    <col min="10" max="10" width="12.00390625" style="7" bestFit="1" customWidth="1"/>
    <col min="11" max="11" width="11.28125" style="7" bestFit="1" customWidth="1"/>
    <col min="12" max="12" width="10.7109375" style="7" bestFit="1" customWidth="1"/>
    <col min="13" max="16384" width="12.7109375" style="7" customWidth="1"/>
  </cols>
  <sheetData>
    <row r="1" spans="1:11" ht="12.7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28"/>
      <c r="K1" s="28"/>
    </row>
    <row r="2" spans="2:3" ht="11.25">
      <c r="B2" s="1"/>
      <c r="C2" s="1"/>
    </row>
    <row r="3" spans="1:12" ht="12.75" customHeight="1">
      <c r="A3" s="8"/>
      <c r="B3" s="31" t="s">
        <v>24</v>
      </c>
      <c r="C3" s="31"/>
      <c r="D3" s="32"/>
      <c r="E3" s="33" t="s">
        <v>23</v>
      </c>
      <c r="F3" s="31"/>
      <c r="G3" s="31"/>
      <c r="H3" s="31"/>
      <c r="I3" s="24"/>
      <c r="J3" s="27"/>
      <c r="K3" s="27"/>
      <c r="L3" s="25"/>
    </row>
    <row r="4" spans="1:10" ht="11.25">
      <c r="A4" s="8"/>
      <c r="B4" s="13" t="s">
        <v>4</v>
      </c>
      <c r="C4" s="13" t="s">
        <v>22</v>
      </c>
      <c r="D4" s="15" t="s">
        <v>3</v>
      </c>
      <c r="E4" s="18" t="s">
        <v>22</v>
      </c>
      <c r="F4" s="13" t="s">
        <v>4</v>
      </c>
      <c r="G4" s="13" t="s">
        <v>17</v>
      </c>
      <c r="H4" s="12" t="s">
        <v>28</v>
      </c>
      <c r="I4" s="13" t="s">
        <v>0</v>
      </c>
      <c r="J4" s="2"/>
    </row>
    <row r="5" spans="1:9" ht="11.25">
      <c r="A5" s="8"/>
      <c r="B5" s="8"/>
      <c r="C5" s="8"/>
      <c r="D5" s="11"/>
      <c r="F5" s="8"/>
      <c r="G5" s="8"/>
      <c r="H5" s="11"/>
      <c r="I5" s="8"/>
    </row>
    <row r="6" spans="1:10" s="3" customFormat="1" ht="11.25">
      <c r="A6" s="4" t="s">
        <v>1</v>
      </c>
      <c r="B6" s="4">
        <f>Sept!B12</f>
        <v>77388.10999999999</v>
      </c>
      <c r="C6" s="4">
        <f>Sept!C12</f>
        <v>836.78</v>
      </c>
      <c r="D6" s="6">
        <f aca="true" t="shared" si="0" ref="D6:D12">SUM(B6:C6)</f>
        <v>78224.88999999998</v>
      </c>
      <c r="E6" s="4">
        <f>Sept!E12</f>
        <v>19300.829999999998</v>
      </c>
      <c r="F6" s="4">
        <f>Sept!F12</f>
        <v>38508.07</v>
      </c>
      <c r="G6" s="4">
        <f>Sept!G12</f>
        <v>21943.73</v>
      </c>
      <c r="H6" s="6">
        <f aca="true" t="shared" si="1" ref="H6:H12">SUM(E6:G6)</f>
        <v>79752.62999999999</v>
      </c>
      <c r="I6" s="4">
        <f aca="true" t="shared" si="2" ref="I6:I12">D6+H6</f>
        <v>157977.51999999996</v>
      </c>
      <c r="J6" s="23"/>
    </row>
    <row r="7" spans="1:10" ht="11.25">
      <c r="A7" s="8" t="s">
        <v>18</v>
      </c>
      <c r="B7" s="8">
        <f>86.5+10+918</f>
        <v>1014.5</v>
      </c>
      <c r="C7" s="8">
        <f>228</f>
        <v>228</v>
      </c>
      <c r="D7" s="11">
        <f t="shared" si="0"/>
        <v>1242.5</v>
      </c>
      <c r="E7" s="8">
        <f>3560.7-228-222.54</f>
        <v>3110.16</v>
      </c>
      <c r="F7" s="8">
        <f>1575+66+363+44+11+20+15+5</f>
        <v>2099</v>
      </c>
      <c r="G7" s="8">
        <v>0</v>
      </c>
      <c r="H7" s="11">
        <f t="shared" si="1"/>
        <v>5209.16</v>
      </c>
      <c r="I7" s="23">
        <f t="shared" si="2"/>
        <v>6451.66</v>
      </c>
      <c r="J7" s="10"/>
    </row>
    <row r="8" spans="1:10" ht="11.25">
      <c r="A8" s="8" t="s">
        <v>19</v>
      </c>
      <c r="B8" s="8">
        <v>176.1</v>
      </c>
      <c r="C8" s="8">
        <v>0</v>
      </c>
      <c r="D8" s="11">
        <f t="shared" si="0"/>
        <v>176.1</v>
      </c>
      <c r="E8" s="8">
        <v>0</v>
      </c>
      <c r="F8" s="8">
        <v>0</v>
      </c>
      <c r="G8" s="8">
        <v>182.11</v>
      </c>
      <c r="H8" s="6">
        <f t="shared" si="1"/>
        <v>182.11</v>
      </c>
      <c r="I8" s="23">
        <f t="shared" si="2"/>
        <v>358.21000000000004</v>
      </c>
      <c r="J8" s="10"/>
    </row>
    <row r="9" spans="1:10" ht="11.25">
      <c r="A9" s="8" t="s">
        <v>0</v>
      </c>
      <c r="B9" s="8">
        <f>SUM(B6:B8)</f>
        <v>78578.70999999999</v>
      </c>
      <c r="C9" s="8">
        <f>SUM(C6:C8)</f>
        <v>1064.78</v>
      </c>
      <c r="D9" s="11">
        <f t="shared" si="0"/>
        <v>79643.48999999999</v>
      </c>
      <c r="E9" s="8">
        <f>SUM(E6:E8)</f>
        <v>22410.989999999998</v>
      </c>
      <c r="F9" s="8">
        <f>SUM(F6:F8)</f>
        <v>40607.07</v>
      </c>
      <c r="G9" s="8">
        <f>SUM(G6:G8)</f>
        <v>22125.84</v>
      </c>
      <c r="H9" s="11">
        <f t="shared" si="1"/>
        <v>85143.9</v>
      </c>
      <c r="I9" s="23">
        <f t="shared" si="2"/>
        <v>164787.38999999998</v>
      </c>
      <c r="J9" s="10"/>
    </row>
    <row r="10" spans="1:10" ht="11.25">
      <c r="A10" s="8" t="s">
        <v>20</v>
      </c>
      <c r="B10" s="8">
        <f>308</f>
        <v>308</v>
      </c>
      <c r="C10" s="8">
        <f>3.24</f>
        <v>3.24</v>
      </c>
      <c r="D10" s="11">
        <f t="shared" si="0"/>
        <v>311.24</v>
      </c>
      <c r="E10" s="8">
        <f>116.42</f>
        <v>116.42</v>
      </c>
      <c r="F10" s="8">
        <f>131.3+12+104.41</f>
        <v>247.71</v>
      </c>
      <c r="G10" s="8">
        <v>0</v>
      </c>
      <c r="H10" s="6">
        <f t="shared" si="1"/>
        <v>364.13</v>
      </c>
      <c r="I10" s="23">
        <f t="shared" si="2"/>
        <v>675.37</v>
      </c>
      <c r="J10" s="10"/>
    </row>
    <row r="11" spans="1:10" ht="11.25">
      <c r="A11" s="8" t="s">
        <v>21</v>
      </c>
      <c r="B11" s="8">
        <v>0</v>
      </c>
      <c r="C11" s="8">
        <v>0</v>
      </c>
      <c r="D11" s="11">
        <f t="shared" si="0"/>
        <v>0</v>
      </c>
      <c r="E11" s="8">
        <v>0</v>
      </c>
      <c r="F11" s="8">
        <v>0</v>
      </c>
      <c r="G11" s="8">
        <f>1425+719+1511</f>
        <v>3655</v>
      </c>
      <c r="H11" s="6">
        <f t="shared" si="1"/>
        <v>3655</v>
      </c>
      <c r="I11" s="23">
        <f t="shared" si="2"/>
        <v>3655</v>
      </c>
      <c r="J11" s="10"/>
    </row>
    <row r="12" spans="1:10" s="3" customFormat="1" ht="11.25">
      <c r="A12" s="4" t="s">
        <v>2</v>
      </c>
      <c r="B12" s="4">
        <f>B9-B10-B11</f>
        <v>78270.70999999999</v>
      </c>
      <c r="C12" s="4">
        <f>C9-C10-C11</f>
        <v>1061.54</v>
      </c>
      <c r="D12" s="6">
        <f t="shared" si="0"/>
        <v>79332.24999999999</v>
      </c>
      <c r="E12" s="4">
        <f>E9-E10-E11</f>
        <v>22294.57</v>
      </c>
      <c r="F12" s="4">
        <f>F9-F10-F11</f>
        <v>40359.36</v>
      </c>
      <c r="G12" s="4">
        <f>G9-G10-G11</f>
        <v>18470.84</v>
      </c>
      <c r="H12" s="6">
        <f t="shared" si="1"/>
        <v>81124.77</v>
      </c>
      <c r="I12" s="4">
        <f t="shared" si="2"/>
        <v>160457.02</v>
      </c>
      <c r="J12" s="23"/>
    </row>
    <row r="13" spans="1:12" ht="11.2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1.2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1:12" ht="11.25">
      <c r="A15" s="7" t="s">
        <v>29</v>
      </c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1.2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1.2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1.2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1.25">
      <c r="A20" s="34" t="s">
        <v>11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9"/>
    </row>
    <row r="21" spans="1:12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1.25">
      <c r="A22" s="8"/>
      <c r="B22" s="13" t="s">
        <v>4</v>
      </c>
      <c r="C22" s="13" t="s">
        <v>6</v>
      </c>
      <c r="D22" s="13" t="s">
        <v>7</v>
      </c>
      <c r="E22" s="13" t="s">
        <v>8</v>
      </c>
      <c r="F22" s="2" t="s">
        <v>22</v>
      </c>
      <c r="G22" s="13" t="s">
        <v>9</v>
      </c>
      <c r="H22" s="15" t="s">
        <v>10</v>
      </c>
      <c r="I22" s="13" t="s">
        <v>0</v>
      </c>
      <c r="J22" s="2"/>
    </row>
    <row r="23" spans="1:9" ht="11.25">
      <c r="A23" s="8"/>
      <c r="B23" s="8"/>
      <c r="C23" s="8"/>
      <c r="D23" s="8"/>
      <c r="E23" s="8"/>
      <c r="G23" s="8"/>
      <c r="H23" s="11"/>
      <c r="I23" s="8"/>
    </row>
    <row r="24" spans="1:10" s="3" customFormat="1" ht="11.25">
      <c r="A24" s="4" t="s">
        <v>1</v>
      </c>
      <c r="B24" s="4">
        <f>Sept!B30</f>
        <v>-76446.25</v>
      </c>
      <c r="C24" s="4">
        <f>Sept!C30</f>
        <v>2493.41</v>
      </c>
      <c r="D24" s="4">
        <f>Sept!D30</f>
        <v>4320</v>
      </c>
      <c r="E24" s="4">
        <f>Sept!E30</f>
        <v>23219.129999999997</v>
      </c>
      <c r="F24" s="4">
        <f>Sept!F30</f>
        <v>54879.640000000014</v>
      </c>
      <c r="G24" s="4">
        <f>Sept!G30</f>
        <v>7495.06</v>
      </c>
      <c r="H24" s="6">
        <f>Sept!H30</f>
        <v>-9322.339999999998</v>
      </c>
      <c r="I24" s="4">
        <f aca="true" t="shared" si="3" ref="I24:I30">SUM(B24:H24)</f>
        <v>6638.650000000018</v>
      </c>
      <c r="J24" s="5"/>
    </row>
    <row r="25" spans="1:11" ht="11.25">
      <c r="A25" s="8" t="s">
        <v>18</v>
      </c>
      <c r="B25" s="8">
        <f>20+15+285</f>
        <v>320</v>
      </c>
      <c r="C25" s="8">
        <f>18.82</f>
        <v>18.82</v>
      </c>
      <c r="D25" s="8">
        <f>40</f>
        <v>40</v>
      </c>
      <c r="E25" s="8">
        <f>42.5+234+112.35+15.94+387.3+67.2+1291.35+240.51+39.05+303.69+86.06+1.55</f>
        <v>2821.5</v>
      </c>
      <c r="F25" s="8">
        <f>7108-444.25</f>
        <v>6663.75</v>
      </c>
      <c r="G25" s="8">
        <f>542</f>
        <v>542</v>
      </c>
      <c r="H25" s="11">
        <f>150</f>
        <v>150</v>
      </c>
      <c r="I25" s="8">
        <f t="shared" si="3"/>
        <v>10556.07</v>
      </c>
      <c r="J25" s="9"/>
      <c r="K25" s="9"/>
    </row>
    <row r="26" spans="1:10" ht="11.25">
      <c r="A26" s="8" t="s">
        <v>19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1">
        <f>21.02</f>
        <v>21.02</v>
      </c>
      <c r="I26" s="8">
        <f t="shared" si="3"/>
        <v>21.02</v>
      </c>
      <c r="J26" s="9"/>
    </row>
    <row r="27" spans="1:10" ht="11.25">
      <c r="A27" s="8" t="s">
        <v>0</v>
      </c>
      <c r="B27" s="8">
        <f aca="true" t="shared" si="4" ref="B27:H27">SUM(B24:B26)</f>
        <v>-76126.25</v>
      </c>
      <c r="C27" s="8">
        <f t="shared" si="4"/>
        <v>2512.23</v>
      </c>
      <c r="D27" s="8">
        <f t="shared" si="4"/>
        <v>4360</v>
      </c>
      <c r="E27" s="8">
        <f t="shared" si="4"/>
        <v>26040.629999999997</v>
      </c>
      <c r="F27" s="8">
        <f t="shared" si="4"/>
        <v>61543.390000000014</v>
      </c>
      <c r="G27" s="8">
        <f t="shared" si="4"/>
        <v>8037.06</v>
      </c>
      <c r="H27" s="11">
        <f t="shared" si="4"/>
        <v>-9151.319999999998</v>
      </c>
      <c r="I27" s="4">
        <f t="shared" si="3"/>
        <v>17215.740000000013</v>
      </c>
      <c r="J27" s="9"/>
    </row>
    <row r="28" spans="1:10" ht="11.25">
      <c r="A28" s="8" t="s">
        <v>20</v>
      </c>
      <c r="B28" s="8">
        <f>4597.04+412.09+24.2</f>
        <v>5033.33</v>
      </c>
      <c r="C28" s="8">
        <v>0</v>
      </c>
      <c r="D28" s="8">
        <v>0</v>
      </c>
      <c r="E28" s="8">
        <f>379.05</f>
        <v>379.05</v>
      </c>
      <c r="F28" s="8">
        <f>567.18+525.21</f>
        <v>1092.3899999999999</v>
      </c>
      <c r="G28" s="8">
        <v>0</v>
      </c>
      <c r="H28" s="11">
        <f>1.75</f>
        <v>1.75</v>
      </c>
      <c r="I28" s="8">
        <f t="shared" si="3"/>
        <v>6506.52</v>
      </c>
      <c r="J28" s="9"/>
    </row>
    <row r="29" spans="1:10" ht="11.25">
      <c r="A29" s="8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1">
        <f>664+335</f>
        <v>999</v>
      </c>
      <c r="I29" s="8">
        <f t="shared" si="3"/>
        <v>999</v>
      </c>
      <c r="J29" s="9"/>
    </row>
    <row r="30" spans="1:10" s="3" customFormat="1" ht="11.25">
      <c r="A30" s="4" t="s">
        <v>2</v>
      </c>
      <c r="B30" s="4">
        <f aca="true" t="shared" si="5" ref="B30:H30">B27-B28-B29</f>
        <v>-81159.58</v>
      </c>
      <c r="C30" s="4">
        <f t="shared" si="5"/>
        <v>2512.23</v>
      </c>
      <c r="D30" s="4">
        <f t="shared" si="5"/>
        <v>4360</v>
      </c>
      <c r="E30" s="4">
        <f t="shared" si="5"/>
        <v>25661.579999999998</v>
      </c>
      <c r="F30" s="4">
        <f t="shared" si="5"/>
        <v>60451.000000000015</v>
      </c>
      <c r="G30" s="4">
        <f t="shared" si="5"/>
        <v>8037.06</v>
      </c>
      <c r="H30" s="6">
        <f t="shared" si="5"/>
        <v>-10152.069999999998</v>
      </c>
      <c r="I30" s="4">
        <f t="shared" si="3"/>
        <v>9710.220000000014</v>
      </c>
      <c r="J30" s="5"/>
    </row>
    <row r="32" ht="11.25">
      <c r="A32" s="8" t="s">
        <v>5</v>
      </c>
    </row>
    <row r="33" ht="11.25">
      <c r="A33" s="8" t="s">
        <v>30</v>
      </c>
    </row>
    <row r="34" ht="11.25">
      <c r="A34" s="8"/>
    </row>
    <row r="35" ht="11.25">
      <c r="A35" s="8"/>
    </row>
    <row r="36" ht="11.25">
      <c r="A36" s="8"/>
    </row>
  </sheetData>
  <sheetProtection/>
  <mergeCells count="4">
    <mergeCell ref="A20:L20"/>
    <mergeCell ref="A1:I1"/>
    <mergeCell ref="B3:D3"/>
    <mergeCell ref="E3:H3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&amp;LAuxiliary Revenue and Expenses&amp;COctober 2011</oddHeader>
  </headerFooter>
  <ignoredErrors>
    <ignoredError sqref="D9:D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Layout" workbookViewId="0" topLeftCell="A1">
      <selection activeCell="D7" sqref="D7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8" width="10.8515625" style="7" bestFit="1" customWidth="1"/>
    <col min="9" max="9" width="10.7109375" style="7" bestFit="1" customWidth="1"/>
    <col min="10" max="10" width="12.00390625" style="7" bestFit="1" customWidth="1"/>
    <col min="11" max="11" width="11.2812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28"/>
      <c r="K1" s="28"/>
    </row>
    <row r="2" spans="2:3" ht="11.25">
      <c r="B2" s="1"/>
      <c r="C2" s="1"/>
    </row>
    <row r="3" spans="1:12" ht="12.75" customHeight="1">
      <c r="A3" s="8"/>
      <c r="B3" s="31" t="s">
        <v>24</v>
      </c>
      <c r="C3" s="31"/>
      <c r="D3" s="32"/>
      <c r="E3" s="33" t="s">
        <v>23</v>
      </c>
      <c r="F3" s="31"/>
      <c r="G3" s="31"/>
      <c r="H3" s="31"/>
      <c r="I3" s="24"/>
      <c r="J3" s="27"/>
      <c r="K3" s="27"/>
      <c r="L3" s="25"/>
    </row>
    <row r="4" spans="1:10" ht="11.25">
      <c r="A4" s="8"/>
      <c r="B4" s="13" t="s">
        <v>4</v>
      </c>
      <c r="C4" s="13" t="s">
        <v>22</v>
      </c>
      <c r="D4" s="15" t="s">
        <v>3</v>
      </c>
      <c r="E4" s="18" t="s">
        <v>22</v>
      </c>
      <c r="F4" s="13" t="s">
        <v>4</v>
      </c>
      <c r="G4" s="13" t="s">
        <v>17</v>
      </c>
      <c r="H4" s="12" t="s">
        <v>28</v>
      </c>
      <c r="I4" s="13" t="s">
        <v>0</v>
      </c>
      <c r="J4" s="2"/>
    </row>
    <row r="5" spans="1:9" ht="11.25">
      <c r="A5" s="8"/>
      <c r="B5" s="8"/>
      <c r="C5" s="8"/>
      <c r="D5" s="11"/>
      <c r="F5" s="8"/>
      <c r="G5" s="8"/>
      <c r="H5" s="11"/>
      <c r="I5" s="8"/>
    </row>
    <row r="6" spans="1:10" s="3" customFormat="1" ht="11.25">
      <c r="A6" s="4" t="s">
        <v>1</v>
      </c>
      <c r="B6" s="4">
        <f>Oct!B12</f>
        <v>78270.70999999999</v>
      </c>
      <c r="C6" s="4">
        <f>Oct!C12</f>
        <v>1061.54</v>
      </c>
      <c r="D6" s="6">
        <f aca="true" t="shared" si="0" ref="D6:D12">SUM(B6:C6)</f>
        <v>79332.24999999999</v>
      </c>
      <c r="E6" s="4">
        <f>Oct!E12</f>
        <v>22294.57</v>
      </c>
      <c r="F6" s="4">
        <f>Oct!F12</f>
        <v>40359.36</v>
      </c>
      <c r="G6" s="4">
        <f>Oct!G12</f>
        <v>18470.84</v>
      </c>
      <c r="H6" s="6">
        <f aca="true" t="shared" si="1" ref="H6:H12">SUM(E6:G6)</f>
        <v>81124.77</v>
      </c>
      <c r="I6" s="4">
        <f aca="true" t="shared" si="2" ref="I6:I12">D6+H6</f>
        <v>160457.02</v>
      </c>
      <c r="J6" s="5"/>
    </row>
    <row r="7" spans="1:10" ht="11.25">
      <c r="A7" s="8" t="s">
        <v>18</v>
      </c>
      <c r="B7" s="8">
        <f>5211+2500+837</f>
        <v>8548</v>
      </c>
      <c r="C7" s="8">
        <v>0</v>
      </c>
      <c r="D7" s="11">
        <f>SUM(B7:C7)</f>
        <v>8548</v>
      </c>
      <c r="E7" s="8">
        <f>3176.04-198.51</f>
        <v>2977.5299999999997</v>
      </c>
      <c r="F7" s="8">
        <f>49+3478+68+66+1250+108+121+55</f>
        <v>5195</v>
      </c>
      <c r="G7" s="8">
        <v>0</v>
      </c>
      <c r="H7" s="6">
        <f t="shared" si="1"/>
        <v>8172.53</v>
      </c>
      <c r="I7" s="23">
        <f t="shared" si="2"/>
        <v>16720.53</v>
      </c>
      <c r="J7" s="9"/>
    </row>
    <row r="8" spans="1:10" ht="11.25">
      <c r="A8" s="8" t="s">
        <v>19</v>
      </c>
      <c r="B8" s="8">
        <f>144.77</f>
        <v>144.77</v>
      </c>
      <c r="C8" s="8">
        <v>0</v>
      </c>
      <c r="D8" s="11">
        <f t="shared" si="0"/>
        <v>144.77</v>
      </c>
      <c r="E8" s="8">
        <v>0</v>
      </c>
      <c r="F8" s="8">
        <v>0</v>
      </c>
      <c r="G8" s="8">
        <v>146.36</v>
      </c>
      <c r="H8" s="6">
        <f t="shared" si="1"/>
        <v>146.36</v>
      </c>
      <c r="I8" s="23">
        <f t="shared" si="2"/>
        <v>291.13</v>
      </c>
      <c r="J8" s="9"/>
    </row>
    <row r="9" spans="1:10" ht="11.25">
      <c r="A9" s="8" t="s">
        <v>0</v>
      </c>
      <c r="B9" s="8">
        <f>SUM(B6:B8)</f>
        <v>86963.48</v>
      </c>
      <c r="C9" s="8">
        <f>SUM(C6:C8)</f>
        <v>1061.54</v>
      </c>
      <c r="D9" s="11">
        <f>SUM(B9:C9)</f>
        <v>88025.01999999999</v>
      </c>
      <c r="E9" s="8">
        <f>SUM(E6:E8)</f>
        <v>25272.1</v>
      </c>
      <c r="F9" s="8">
        <f>SUM(F6:F8)</f>
        <v>45554.36</v>
      </c>
      <c r="G9" s="8">
        <f>SUM(G6:G8)</f>
        <v>18617.2</v>
      </c>
      <c r="H9" s="11">
        <f t="shared" si="1"/>
        <v>89443.65999999999</v>
      </c>
      <c r="I9" s="23">
        <f t="shared" si="2"/>
        <v>177468.68</v>
      </c>
      <c r="J9" s="9"/>
    </row>
    <row r="10" spans="1:10" ht="11.25">
      <c r="A10" s="8" t="s">
        <v>20</v>
      </c>
      <c r="B10" s="8">
        <f>287</f>
        <v>287</v>
      </c>
      <c r="C10" s="8">
        <f>15.76</f>
        <v>15.76</v>
      </c>
      <c r="D10" s="11">
        <f t="shared" si="0"/>
        <v>302.76</v>
      </c>
      <c r="E10" s="8">
        <f>497.56+585.83</f>
        <v>1083.39</v>
      </c>
      <c r="F10" s="8">
        <f>12+12+149.27</f>
        <v>173.27</v>
      </c>
      <c r="G10" s="8">
        <f>1425+719+1511</f>
        <v>3655</v>
      </c>
      <c r="H10" s="6">
        <f t="shared" si="1"/>
        <v>4911.66</v>
      </c>
      <c r="I10" s="23">
        <f t="shared" si="2"/>
        <v>5214.42</v>
      </c>
      <c r="J10" s="9"/>
    </row>
    <row r="11" spans="1:10" ht="11.25">
      <c r="A11" s="8" t="s">
        <v>21</v>
      </c>
      <c r="B11" s="8">
        <v>0</v>
      </c>
      <c r="C11" s="8">
        <v>0</v>
      </c>
      <c r="D11" s="11">
        <f t="shared" si="0"/>
        <v>0</v>
      </c>
      <c r="E11" s="8">
        <v>0</v>
      </c>
      <c r="F11" s="8">
        <v>0</v>
      </c>
      <c r="G11" s="8">
        <v>0</v>
      </c>
      <c r="H11" s="6">
        <f t="shared" si="1"/>
        <v>0</v>
      </c>
      <c r="I11" s="23">
        <f t="shared" si="2"/>
        <v>0</v>
      </c>
      <c r="J11" s="9"/>
    </row>
    <row r="12" spans="1:10" s="3" customFormat="1" ht="11.25">
      <c r="A12" s="4" t="s">
        <v>2</v>
      </c>
      <c r="B12" s="4">
        <f>B9-B10-B11</f>
        <v>86676.48</v>
      </c>
      <c r="C12" s="4">
        <f>C9-C10-C11</f>
        <v>1045.78</v>
      </c>
      <c r="D12" s="6">
        <f t="shared" si="0"/>
        <v>87722.26</v>
      </c>
      <c r="E12" s="4">
        <f>E9-E10-E11</f>
        <v>24188.71</v>
      </c>
      <c r="F12" s="4">
        <f>F9-F10-F11</f>
        <v>45381.090000000004</v>
      </c>
      <c r="G12" s="4">
        <f>G9-G10-G11</f>
        <v>14962.2</v>
      </c>
      <c r="H12" s="6">
        <f t="shared" si="1"/>
        <v>84532</v>
      </c>
      <c r="I12" s="4">
        <f t="shared" si="2"/>
        <v>172254.26</v>
      </c>
      <c r="J12" s="5"/>
    </row>
    <row r="13" spans="1:12" ht="11.2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1.2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1:12" ht="11.25">
      <c r="A15" s="7" t="s">
        <v>29</v>
      </c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1.2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1.2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1.2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2.75" customHeight="1">
      <c r="A20" s="34" t="s">
        <v>11</v>
      </c>
      <c r="B20" s="34"/>
      <c r="C20" s="34"/>
      <c r="D20" s="34"/>
      <c r="E20" s="34"/>
      <c r="F20" s="34"/>
      <c r="G20" s="34"/>
      <c r="H20" s="34"/>
      <c r="I20" s="34"/>
      <c r="J20" s="26"/>
      <c r="K20" s="26"/>
      <c r="L20" s="26"/>
      <c r="M20" s="19"/>
    </row>
    <row r="21" spans="1:12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1.25">
      <c r="A22" s="8"/>
      <c r="B22" s="13" t="s">
        <v>4</v>
      </c>
      <c r="C22" s="13" t="s">
        <v>6</v>
      </c>
      <c r="D22" s="13" t="s">
        <v>7</v>
      </c>
      <c r="E22" s="13" t="s">
        <v>8</v>
      </c>
      <c r="F22" s="2" t="s">
        <v>22</v>
      </c>
      <c r="G22" s="13" t="s">
        <v>9</v>
      </c>
      <c r="H22" s="15" t="s">
        <v>10</v>
      </c>
      <c r="I22" s="13" t="s">
        <v>0</v>
      </c>
      <c r="J22" s="2"/>
    </row>
    <row r="23" spans="1:9" ht="11.25">
      <c r="A23" s="8"/>
      <c r="B23" s="8"/>
      <c r="C23" s="8"/>
      <c r="D23" s="8"/>
      <c r="E23" s="8"/>
      <c r="G23" s="8"/>
      <c r="H23" s="11"/>
      <c r="I23" s="8"/>
    </row>
    <row r="24" spans="1:10" s="3" customFormat="1" ht="11.25">
      <c r="A24" s="4" t="s">
        <v>1</v>
      </c>
      <c r="B24" s="4">
        <f>Oct!B30</f>
        <v>-81159.58</v>
      </c>
      <c r="C24" s="4">
        <f>Oct!C30</f>
        <v>2512.23</v>
      </c>
      <c r="D24" s="4">
        <f>Oct!D30</f>
        <v>4360</v>
      </c>
      <c r="E24" s="4">
        <f>Oct!E30</f>
        <v>25661.579999999998</v>
      </c>
      <c r="F24" s="4">
        <f>Oct!F30</f>
        <v>60451.000000000015</v>
      </c>
      <c r="G24" s="4">
        <f>Oct!G30</f>
        <v>8037.06</v>
      </c>
      <c r="H24" s="6">
        <f>Oct!H30</f>
        <v>-10152.069999999998</v>
      </c>
      <c r="I24" s="4">
        <f aca="true" t="shared" si="3" ref="I24:I30">SUM(B24:H24)</f>
        <v>9710.220000000014</v>
      </c>
      <c r="J24" s="5"/>
    </row>
    <row r="25" spans="1:10" ht="11.25">
      <c r="A25" s="8" t="s">
        <v>18</v>
      </c>
      <c r="B25" s="8">
        <f>135+90+30+45+15</f>
        <v>315</v>
      </c>
      <c r="C25" s="8">
        <f>132.7+14.12</f>
        <v>146.82</v>
      </c>
      <c r="D25" s="8">
        <f>80+40+140</f>
        <v>260</v>
      </c>
      <c r="E25" s="8">
        <f>288.51+588.56+66.94+204.56+82.7+137+60.56+378.69</f>
        <v>1807.52</v>
      </c>
      <c r="F25" s="8">
        <f>6666.63-416.67</f>
        <v>6249.96</v>
      </c>
      <c r="G25" s="8">
        <f>234</f>
        <v>234</v>
      </c>
      <c r="H25" s="11">
        <v>0</v>
      </c>
      <c r="I25" s="8">
        <f t="shared" si="3"/>
        <v>9013.3</v>
      </c>
      <c r="J25" s="9"/>
    </row>
    <row r="26" spans="1:10" ht="11.25">
      <c r="A26" s="8" t="s">
        <v>19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1">
        <v>19.12</v>
      </c>
      <c r="I26" s="8">
        <f t="shared" si="3"/>
        <v>19.12</v>
      </c>
      <c r="J26" s="9"/>
    </row>
    <row r="27" spans="1:10" ht="11.25">
      <c r="A27" s="8" t="s">
        <v>0</v>
      </c>
      <c r="B27" s="8">
        <f aca="true" t="shared" si="4" ref="B27:H27">SUM(B24:B26)</f>
        <v>-80844.58</v>
      </c>
      <c r="C27" s="8">
        <f t="shared" si="4"/>
        <v>2659.05</v>
      </c>
      <c r="D27" s="8">
        <f t="shared" si="4"/>
        <v>4620</v>
      </c>
      <c r="E27" s="8">
        <f t="shared" si="4"/>
        <v>27469.1</v>
      </c>
      <c r="F27" s="8">
        <f t="shared" si="4"/>
        <v>66700.96000000002</v>
      </c>
      <c r="G27" s="8">
        <f t="shared" si="4"/>
        <v>8271.060000000001</v>
      </c>
      <c r="H27" s="11">
        <f t="shared" si="4"/>
        <v>-10132.949999999997</v>
      </c>
      <c r="I27" s="4">
        <f t="shared" si="3"/>
        <v>18742.640000000025</v>
      </c>
      <c r="J27" s="9"/>
    </row>
    <row r="28" spans="1:10" ht="11.25">
      <c r="A28" s="8" t="s">
        <v>20</v>
      </c>
      <c r="B28" s="8">
        <f>4182.17+103.84+378.66+20.25+1820.41</f>
        <v>6505.33</v>
      </c>
      <c r="C28" s="8">
        <f>233.8+95.39</f>
        <v>329.19</v>
      </c>
      <c r="D28" s="8">
        <v>0</v>
      </c>
      <c r="E28" s="8">
        <f>94.9+299.27</f>
        <v>394.16999999999996</v>
      </c>
      <c r="F28" s="8">
        <f>114.14+364.46</f>
        <v>478.59999999999997</v>
      </c>
      <c r="G28" s="8">
        <v>0</v>
      </c>
      <c r="H28" s="11">
        <f>70+30</f>
        <v>100</v>
      </c>
      <c r="I28" s="8">
        <f t="shared" si="3"/>
        <v>7807.29</v>
      </c>
      <c r="J28" s="9"/>
    </row>
    <row r="29" spans="1:10" ht="11.25">
      <c r="A29" s="8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1">
        <f>664+335</f>
        <v>999</v>
      </c>
      <c r="I29" s="8">
        <f t="shared" si="3"/>
        <v>999</v>
      </c>
      <c r="J29" s="9"/>
    </row>
    <row r="30" spans="1:10" s="3" customFormat="1" ht="11.25">
      <c r="A30" s="4" t="s">
        <v>2</v>
      </c>
      <c r="B30" s="4">
        <f>B27-B28-B29</f>
        <v>-87349.91</v>
      </c>
      <c r="C30" s="4">
        <f aca="true" t="shared" si="5" ref="C30:H30">C27-C28-C29</f>
        <v>2329.86</v>
      </c>
      <c r="D30" s="4">
        <f t="shared" si="5"/>
        <v>4620</v>
      </c>
      <c r="E30" s="4">
        <f t="shared" si="5"/>
        <v>27074.93</v>
      </c>
      <c r="F30" s="4">
        <f t="shared" si="5"/>
        <v>66222.36000000002</v>
      </c>
      <c r="G30" s="4">
        <f t="shared" si="5"/>
        <v>8271.060000000001</v>
      </c>
      <c r="H30" s="6">
        <f t="shared" si="5"/>
        <v>-11231.949999999997</v>
      </c>
      <c r="I30" s="4">
        <f t="shared" si="3"/>
        <v>9936.350000000017</v>
      </c>
      <c r="J30" s="5"/>
    </row>
    <row r="32" ht="11.25">
      <c r="A32" s="8" t="s">
        <v>5</v>
      </c>
    </row>
    <row r="33" ht="11.25">
      <c r="A33" s="8"/>
    </row>
    <row r="34" ht="11.25">
      <c r="A34" s="8"/>
    </row>
    <row r="35" ht="11.25">
      <c r="A35" s="8"/>
    </row>
    <row r="36" ht="11.25">
      <c r="A36" s="8"/>
    </row>
  </sheetData>
  <sheetProtection/>
  <mergeCells count="4">
    <mergeCell ref="A1:I1"/>
    <mergeCell ref="B3:D3"/>
    <mergeCell ref="E3:H3"/>
    <mergeCell ref="A20:I20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&amp;LAuxiliary Revenue and Expenses&amp;CNovember 2011</oddHeader>
  </headerFooter>
  <ignoredErrors>
    <ignoredError sqref="D9:D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Layout" workbookViewId="0" topLeftCell="A1">
      <selection activeCell="H28" sqref="H28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8" width="10.8515625" style="7" bestFit="1" customWidth="1"/>
    <col min="9" max="9" width="10.7109375" style="7" bestFit="1" customWidth="1"/>
    <col min="10" max="10" width="12.00390625" style="7" bestFit="1" customWidth="1"/>
    <col min="11" max="11" width="11.2812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28"/>
      <c r="K1" s="28"/>
    </row>
    <row r="2" spans="2:3" ht="11.25">
      <c r="B2" s="1"/>
      <c r="C2" s="1"/>
    </row>
    <row r="3" spans="1:12" ht="12.75" customHeight="1">
      <c r="A3" s="8"/>
      <c r="B3" s="31" t="s">
        <v>24</v>
      </c>
      <c r="C3" s="31"/>
      <c r="D3" s="32"/>
      <c r="E3" s="33" t="s">
        <v>23</v>
      </c>
      <c r="F3" s="31"/>
      <c r="G3" s="31"/>
      <c r="H3" s="31"/>
      <c r="I3" s="24"/>
      <c r="J3" s="27"/>
      <c r="K3" s="27"/>
      <c r="L3" s="25"/>
    </row>
    <row r="4" spans="1:10" ht="11.25">
      <c r="A4" s="8"/>
      <c r="B4" s="13" t="s">
        <v>4</v>
      </c>
      <c r="C4" s="13" t="s">
        <v>22</v>
      </c>
      <c r="D4" s="15" t="s">
        <v>3</v>
      </c>
      <c r="E4" s="18" t="s">
        <v>22</v>
      </c>
      <c r="F4" s="13" t="s">
        <v>4</v>
      </c>
      <c r="G4" s="13" t="s">
        <v>17</v>
      </c>
      <c r="H4" s="12" t="s">
        <v>28</v>
      </c>
      <c r="I4" s="13" t="s">
        <v>0</v>
      </c>
      <c r="J4" s="2"/>
    </row>
    <row r="5" spans="1:9" ht="11.25">
      <c r="A5" s="8"/>
      <c r="B5" s="8"/>
      <c r="C5" s="8"/>
      <c r="D5" s="11"/>
      <c r="F5" s="8"/>
      <c r="G5" s="8"/>
      <c r="H5" s="11"/>
      <c r="I5" s="8"/>
    </row>
    <row r="6" spans="1:10" s="3" customFormat="1" ht="11.25">
      <c r="A6" s="4" t="s">
        <v>1</v>
      </c>
      <c r="B6" s="4">
        <f>Nov!B12</f>
        <v>86676.48</v>
      </c>
      <c r="C6" s="4">
        <f>Nov!C12</f>
        <v>1045.78</v>
      </c>
      <c r="D6" s="6">
        <f aca="true" t="shared" si="0" ref="D6:D12">SUM(B6:C6)</f>
        <v>87722.26</v>
      </c>
      <c r="E6" s="4">
        <f>Nov!E12</f>
        <v>24188.71</v>
      </c>
      <c r="F6" s="4">
        <f>Nov!F12</f>
        <v>45381.090000000004</v>
      </c>
      <c r="G6" s="4">
        <f>Nov!G12</f>
        <v>14962.2</v>
      </c>
      <c r="H6" s="6">
        <f aca="true" t="shared" si="1" ref="H6:H12">SUM(E6:G6)</f>
        <v>84532</v>
      </c>
      <c r="I6" s="4">
        <f aca="true" t="shared" si="2" ref="I6:I12">D6+H6</f>
        <v>172254.26</v>
      </c>
      <c r="J6" s="5"/>
    </row>
    <row r="7" spans="1:10" ht="11.25">
      <c r="A7" s="8" t="s">
        <v>18</v>
      </c>
      <c r="B7" s="8">
        <f>4535+610.5+19.5</f>
        <v>5165</v>
      </c>
      <c r="C7" s="8">
        <v>0</v>
      </c>
      <c r="D7" s="11">
        <f t="shared" si="0"/>
        <v>5165</v>
      </c>
      <c r="E7" s="8">
        <f>2827.96-176.75+2234</f>
        <v>4885.21</v>
      </c>
      <c r="F7" s="8">
        <f>3330+108+22+468+212+80</f>
        <v>4220</v>
      </c>
      <c r="G7" s="8">
        <v>0</v>
      </c>
      <c r="H7" s="6">
        <f t="shared" si="1"/>
        <v>9105.21</v>
      </c>
      <c r="I7" s="23">
        <f t="shared" si="2"/>
        <v>14270.21</v>
      </c>
      <c r="J7" s="9"/>
    </row>
    <row r="8" spans="1:10" ht="11.25">
      <c r="A8" s="8" t="s">
        <v>19</v>
      </c>
      <c r="B8" s="8">
        <v>0</v>
      </c>
      <c r="C8" s="8">
        <f>165.78</f>
        <v>165.78</v>
      </c>
      <c r="D8" s="11">
        <f t="shared" si="0"/>
        <v>165.78</v>
      </c>
      <c r="E8" s="8">
        <v>0</v>
      </c>
      <c r="F8" s="8">
        <v>0</v>
      </c>
      <c r="G8" s="8">
        <f>159.5</f>
        <v>159.5</v>
      </c>
      <c r="H8" s="6">
        <f t="shared" si="1"/>
        <v>159.5</v>
      </c>
      <c r="I8" s="23">
        <f t="shared" si="2"/>
        <v>325.28</v>
      </c>
      <c r="J8" s="9"/>
    </row>
    <row r="9" spans="1:10" ht="11.25">
      <c r="A9" s="8" t="s">
        <v>0</v>
      </c>
      <c r="B9" s="8">
        <f>SUM(B6:B8)</f>
        <v>91841.48</v>
      </c>
      <c r="C9" s="8">
        <f>SUM(C6:C8)</f>
        <v>1211.56</v>
      </c>
      <c r="D9" s="11">
        <f t="shared" si="0"/>
        <v>93053.04</v>
      </c>
      <c r="E9" s="8">
        <f>SUM(E6:E8)</f>
        <v>29073.92</v>
      </c>
      <c r="F9" s="8">
        <f>SUM(F6:F8)</f>
        <v>49601.090000000004</v>
      </c>
      <c r="G9" s="8">
        <f>SUM(G6:G8)</f>
        <v>15121.7</v>
      </c>
      <c r="H9" s="11">
        <f t="shared" si="1"/>
        <v>93796.71</v>
      </c>
      <c r="I9" s="23">
        <f t="shared" si="2"/>
        <v>186849.75</v>
      </c>
      <c r="J9" s="9"/>
    </row>
    <row r="10" spans="1:10" ht="11.25">
      <c r="A10" s="8" t="s">
        <v>20</v>
      </c>
      <c r="B10" s="8">
        <f>67+10.97</f>
        <v>77.97</v>
      </c>
      <c r="C10" s="8">
        <v>0</v>
      </c>
      <c r="D10" s="11">
        <f t="shared" si="0"/>
        <v>77.97</v>
      </c>
      <c r="E10" s="8">
        <f>706.98</f>
        <v>706.98</v>
      </c>
      <c r="F10" s="8">
        <f>11+102.77</f>
        <v>113.77</v>
      </c>
      <c r="G10" s="8">
        <f>178.55</f>
        <v>178.55</v>
      </c>
      <c r="H10" s="6">
        <f t="shared" si="1"/>
        <v>999.3</v>
      </c>
      <c r="I10" s="23">
        <f t="shared" si="2"/>
        <v>1077.27</v>
      </c>
      <c r="J10" s="9"/>
    </row>
    <row r="11" spans="1:10" ht="11.25">
      <c r="A11" s="8" t="s">
        <v>21</v>
      </c>
      <c r="B11" s="8">
        <v>0</v>
      </c>
      <c r="C11" s="8">
        <v>0</v>
      </c>
      <c r="D11" s="11">
        <f t="shared" si="0"/>
        <v>0</v>
      </c>
      <c r="E11" s="8">
        <v>0</v>
      </c>
      <c r="F11" s="8">
        <v>0</v>
      </c>
      <c r="G11" s="8">
        <f>1425+719+1511</f>
        <v>3655</v>
      </c>
      <c r="H11" s="6">
        <f t="shared" si="1"/>
        <v>3655</v>
      </c>
      <c r="I11" s="23">
        <f t="shared" si="2"/>
        <v>3655</v>
      </c>
      <c r="J11" s="9"/>
    </row>
    <row r="12" spans="1:10" s="3" customFormat="1" ht="11.25">
      <c r="A12" s="4" t="s">
        <v>2</v>
      </c>
      <c r="B12" s="4">
        <f>B9-B10-B11</f>
        <v>91763.51</v>
      </c>
      <c r="C12" s="4">
        <f>C9-C10-C11</f>
        <v>1211.56</v>
      </c>
      <c r="D12" s="6">
        <f t="shared" si="0"/>
        <v>92975.06999999999</v>
      </c>
      <c r="E12" s="4">
        <f>E9-E10-E11</f>
        <v>28366.94</v>
      </c>
      <c r="F12" s="4">
        <f>F9-F10-F11</f>
        <v>49487.32000000001</v>
      </c>
      <c r="G12" s="4">
        <f>G9-G10-G11</f>
        <v>11288.150000000001</v>
      </c>
      <c r="H12" s="6">
        <f t="shared" si="1"/>
        <v>89142.41</v>
      </c>
      <c r="I12" s="4">
        <f t="shared" si="2"/>
        <v>182117.47999999998</v>
      </c>
      <c r="J12" s="5"/>
    </row>
    <row r="13" spans="1:12" ht="11.2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1.2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1:12" ht="11.25">
      <c r="A15" s="7" t="s">
        <v>29</v>
      </c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1.2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1.2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1.2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1.25">
      <c r="A20" s="34" t="s">
        <v>11</v>
      </c>
      <c r="B20" s="34"/>
      <c r="C20" s="34"/>
      <c r="D20" s="34"/>
      <c r="E20" s="34"/>
      <c r="F20" s="34"/>
      <c r="G20" s="34"/>
      <c r="H20" s="34"/>
      <c r="I20" s="34"/>
      <c r="J20" s="26"/>
      <c r="K20" s="26"/>
      <c r="L20" s="26"/>
      <c r="M20" s="19"/>
    </row>
    <row r="21" spans="1:12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1.25">
      <c r="A22" s="8"/>
      <c r="B22" s="13" t="s">
        <v>4</v>
      </c>
      <c r="C22" s="13" t="s">
        <v>6</v>
      </c>
      <c r="D22" s="13" t="s">
        <v>7</v>
      </c>
      <c r="E22" s="13" t="s">
        <v>8</v>
      </c>
      <c r="F22" s="2" t="s">
        <v>22</v>
      </c>
      <c r="G22" s="13" t="s">
        <v>9</v>
      </c>
      <c r="H22" s="15" t="s">
        <v>10</v>
      </c>
      <c r="I22" s="13" t="s">
        <v>0</v>
      </c>
      <c r="J22" s="2"/>
    </row>
    <row r="23" spans="1:9" ht="11.25">
      <c r="A23" s="8"/>
      <c r="B23" s="8"/>
      <c r="C23" s="8"/>
      <c r="D23" s="8"/>
      <c r="E23" s="8"/>
      <c r="G23" s="8"/>
      <c r="H23" s="11"/>
      <c r="I23" s="8"/>
    </row>
    <row r="24" spans="1:10" s="3" customFormat="1" ht="11.25">
      <c r="A24" s="4" t="s">
        <v>1</v>
      </c>
      <c r="B24" s="4">
        <f>Nov!B30</f>
        <v>-87349.91</v>
      </c>
      <c r="C24" s="4">
        <f>Nov!C30</f>
        <v>2329.86</v>
      </c>
      <c r="D24" s="4">
        <f>Nov!D30</f>
        <v>4620</v>
      </c>
      <c r="E24" s="4">
        <f>Nov!E30</f>
        <v>27074.93</v>
      </c>
      <c r="F24" s="4">
        <f>Nov!F30</f>
        <v>66222.36000000002</v>
      </c>
      <c r="G24" s="4">
        <f>Nov!G30</f>
        <v>8271.060000000001</v>
      </c>
      <c r="H24" s="6">
        <f>Nov!H30</f>
        <v>-11231.949999999997</v>
      </c>
      <c r="I24" s="4">
        <f aca="true" t="shared" si="3" ref="I24:I30">SUM(B24:H24)</f>
        <v>9936.350000000017</v>
      </c>
      <c r="J24" s="5"/>
    </row>
    <row r="25" spans="1:10" ht="11.25">
      <c r="A25" s="8" t="s">
        <v>18</v>
      </c>
      <c r="B25" s="8">
        <f>150+30+135</f>
        <v>315</v>
      </c>
      <c r="C25" s="8">
        <f>95.53</f>
        <v>95.53</v>
      </c>
      <c r="D25" s="8">
        <f>40+100</f>
        <v>140</v>
      </c>
      <c r="E25" s="8">
        <f>271.25+405.16+193.81+174.25+62.5</f>
        <v>1106.97</v>
      </c>
      <c r="F25" s="8">
        <f>5595.03-349.69</f>
        <v>5245.34</v>
      </c>
      <c r="G25" s="8">
        <f>164</f>
        <v>164</v>
      </c>
      <c r="H25" s="11">
        <v>0</v>
      </c>
      <c r="I25" s="8">
        <f t="shared" si="3"/>
        <v>7066.84</v>
      </c>
      <c r="J25" s="9"/>
    </row>
    <row r="26" spans="1:10" ht="11.25">
      <c r="A26" s="8" t="s">
        <v>19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1">
        <f>25.46</f>
        <v>25.46</v>
      </c>
      <c r="I26" s="8">
        <f t="shared" si="3"/>
        <v>25.46</v>
      </c>
      <c r="J26" s="9"/>
    </row>
    <row r="27" spans="1:10" ht="11.25">
      <c r="A27" s="8" t="s">
        <v>0</v>
      </c>
      <c r="B27" s="8">
        <f aca="true" t="shared" si="4" ref="B27:H27">SUM(B24:B26)</f>
        <v>-87034.91</v>
      </c>
      <c r="C27" s="8">
        <f t="shared" si="4"/>
        <v>2425.3900000000003</v>
      </c>
      <c r="D27" s="8">
        <f t="shared" si="4"/>
        <v>4760</v>
      </c>
      <c r="E27" s="8">
        <f t="shared" si="4"/>
        <v>28181.9</v>
      </c>
      <c r="F27" s="8">
        <f t="shared" si="4"/>
        <v>71467.70000000001</v>
      </c>
      <c r="G27" s="8">
        <f t="shared" si="4"/>
        <v>8435.060000000001</v>
      </c>
      <c r="H27" s="11">
        <f t="shared" si="4"/>
        <v>-11206.489999999998</v>
      </c>
      <c r="I27" s="4">
        <f t="shared" si="3"/>
        <v>17028.650000000012</v>
      </c>
      <c r="J27" s="9"/>
    </row>
    <row r="28" spans="1:10" ht="11.25">
      <c r="A28" s="8" t="s">
        <v>20</v>
      </c>
      <c r="B28" s="8">
        <f>7418.04+156.25+69.5+48.26</f>
        <v>7692.05</v>
      </c>
      <c r="C28" s="8">
        <v>0</v>
      </c>
      <c r="D28" s="8">
        <v>0</v>
      </c>
      <c r="E28" s="8">
        <f>1169+476.94</f>
        <v>1645.94</v>
      </c>
      <c r="F28" s="8">
        <f>794.09+481.47</f>
        <v>1275.56</v>
      </c>
      <c r="G28" s="8">
        <f>10.74</f>
        <v>10.74</v>
      </c>
      <c r="H28" s="11">
        <f>120</f>
        <v>120</v>
      </c>
      <c r="I28" s="8">
        <f t="shared" si="3"/>
        <v>10744.289999999999</v>
      </c>
      <c r="J28" s="9"/>
    </row>
    <row r="29" spans="1:10" ht="11.25">
      <c r="A29" s="8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1">
        <f>664+335</f>
        <v>999</v>
      </c>
      <c r="I29" s="8">
        <f t="shared" si="3"/>
        <v>999</v>
      </c>
      <c r="J29" s="9"/>
    </row>
    <row r="30" spans="1:10" s="3" customFormat="1" ht="11.25">
      <c r="A30" s="4" t="s">
        <v>2</v>
      </c>
      <c r="B30" s="4">
        <f aca="true" t="shared" si="5" ref="B30:H30">B27-B28-B29</f>
        <v>-94726.96</v>
      </c>
      <c r="C30" s="4">
        <f t="shared" si="5"/>
        <v>2425.3900000000003</v>
      </c>
      <c r="D30" s="4">
        <f t="shared" si="5"/>
        <v>4760</v>
      </c>
      <c r="E30" s="4">
        <f t="shared" si="5"/>
        <v>26535.960000000003</v>
      </c>
      <c r="F30" s="4">
        <f t="shared" si="5"/>
        <v>70192.14000000001</v>
      </c>
      <c r="G30" s="4">
        <f t="shared" si="5"/>
        <v>8424.320000000002</v>
      </c>
      <c r="H30" s="6">
        <f t="shared" si="5"/>
        <v>-12325.489999999998</v>
      </c>
      <c r="I30" s="4">
        <f t="shared" si="3"/>
        <v>5285.360000000015</v>
      </c>
      <c r="J30" s="5"/>
    </row>
    <row r="32" ht="11.25">
      <c r="A32" s="8" t="s">
        <v>5</v>
      </c>
    </row>
    <row r="33" ht="11.25">
      <c r="A33" s="8"/>
    </row>
    <row r="34" ht="11.25">
      <c r="A34" s="8"/>
    </row>
    <row r="35" ht="11.25">
      <c r="A35" s="8"/>
    </row>
    <row r="36" ht="11.25">
      <c r="A36" s="8"/>
    </row>
  </sheetData>
  <sheetProtection/>
  <mergeCells count="4">
    <mergeCell ref="A1:I1"/>
    <mergeCell ref="B3:D3"/>
    <mergeCell ref="E3:H3"/>
    <mergeCell ref="A20:I20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&amp;LAuxiliary Revenue and Expenses&amp;CDecember 2011</oddHeader>
  </headerFooter>
  <ignoredErrors>
    <ignoredError sqref="D9:D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Layout" workbookViewId="0" topLeftCell="A1">
      <selection activeCell="D10" sqref="D10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8" width="10.8515625" style="7" bestFit="1" customWidth="1"/>
    <col min="9" max="9" width="10.7109375" style="7" bestFit="1" customWidth="1"/>
    <col min="10" max="10" width="12.00390625" style="7" bestFit="1" customWidth="1"/>
    <col min="11" max="11" width="11.2812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28"/>
      <c r="K1" s="28"/>
    </row>
    <row r="2" spans="2:3" ht="11.25">
      <c r="B2" s="1"/>
      <c r="C2" s="1"/>
    </row>
    <row r="3" spans="1:12" ht="12.75" customHeight="1">
      <c r="A3" s="8"/>
      <c r="B3" s="31" t="s">
        <v>24</v>
      </c>
      <c r="C3" s="31"/>
      <c r="D3" s="32"/>
      <c r="E3" s="33" t="s">
        <v>23</v>
      </c>
      <c r="F3" s="31"/>
      <c r="G3" s="31"/>
      <c r="H3" s="31"/>
      <c r="I3" s="24"/>
      <c r="J3" s="27"/>
      <c r="K3" s="27"/>
      <c r="L3" s="25"/>
    </row>
    <row r="4" spans="1:10" ht="11.25">
      <c r="A4" s="8"/>
      <c r="B4" s="13" t="s">
        <v>4</v>
      </c>
      <c r="C4" s="13" t="s">
        <v>22</v>
      </c>
      <c r="D4" s="15" t="s">
        <v>3</v>
      </c>
      <c r="E4" s="18" t="s">
        <v>22</v>
      </c>
      <c r="F4" s="13" t="s">
        <v>4</v>
      </c>
      <c r="G4" s="13" t="s">
        <v>17</v>
      </c>
      <c r="H4" s="12" t="s">
        <v>28</v>
      </c>
      <c r="I4" s="13" t="s">
        <v>0</v>
      </c>
      <c r="J4" s="2"/>
    </row>
    <row r="5" spans="1:9" ht="11.25">
      <c r="A5" s="8"/>
      <c r="B5" s="8"/>
      <c r="C5" s="8"/>
      <c r="D5" s="11"/>
      <c r="F5" s="8"/>
      <c r="G5" s="8"/>
      <c r="H5" s="11"/>
      <c r="I5" s="8"/>
    </row>
    <row r="6" spans="1:10" s="3" customFormat="1" ht="11.25">
      <c r="A6" s="4" t="s">
        <v>1</v>
      </c>
      <c r="B6" s="4">
        <f>Dec!B12</f>
        <v>91763.51</v>
      </c>
      <c r="C6" s="4">
        <f>Dec!C12</f>
        <v>1211.56</v>
      </c>
      <c r="D6" s="6">
        <f aca="true" t="shared" si="0" ref="D6:D12">SUM(B6:C6)</f>
        <v>92975.06999999999</v>
      </c>
      <c r="E6" s="4">
        <f>Dec!E12</f>
        <v>28366.94</v>
      </c>
      <c r="F6" s="4">
        <f>Dec!F12</f>
        <v>49487.32000000001</v>
      </c>
      <c r="G6" s="4">
        <f>Dec!G12</f>
        <v>11288.150000000001</v>
      </c>
      <c r="H6" s="6">
        <f aca="true" t="shared" si="1" ref="H6:H12">SUM(E6:G6)</f>
        <v>89142.41</v>
      </c>
      <c r="I6" s="4">
        <f aca="true" t="shared" si="2" ref="I6:I12">D6+H6</f>
        <v>182117.47999999998</v>
      </c>
      <c r="J6" s="5"/>
    </row>
    <row r="7" spans="1:10" ht="11.25">
      <c r="A7" s="8" t="s">
        <v>18</v>
      </c>
      <c r="B7" s="8">
        <f>4500+2550.5+500+2500</f>
        <v>10050.5</v>
      </c>
      <c r="C7" s="8">
        <v>0</v>
      </c>
      <c r="D7" s="11">
        <f t="shared" si="0"/>
        <v>10050.5</v>
      </c>
      <c r="E7" s="8">
        <f>1272.34-79.52</f>
        <v>1192.82</v>
      </c>
      <c r="F7" s="8">
        <f>50+416+114+49+11+25+30</f>
        <v>695</v>
      </c>
      <c r="G7" s="8">
        <v>0</v>
      </c>
      <c r="H7" s="6">
        <f t="shared" si="1"/>
        <v>1887.82</v>
      </c>
      <c r="I7" s="23">
        <f t="shared" si="2"/>
        <v>11938.32</v>
      </c>
      <c r="J7" s="9"/>
    </row>
    <row r="8" spans="1:10" ht="11.25">
      <c r="A8" s="8" t="s">
        <v>19</v>
      </c>
      <c r="B8" s="8">
        <f>153.26</f>
        <v>153.26</v>
      </c>
      <c r="C8" s="8">
        <v>0</v>
      </c>
      <c r="D8" s="11">
        <f t="shared" si="0"/>
        <v>153.26</v>
      </c>
      <c r="E8" s="8">
        <v>0</v>
      </c>
      <c r="F8" s="8">
        <v>0</v>
      </c>
      <c r="G8" s="8">
        <f>144.01</f>
        <v>144.01</v>
      </c>
      <c r="H8" s="6">
        <f t="shared" si="1"/>
        <v>144.01</v>
      </c>
      <c r="I8" s="23">
        <f t="shared" si="2"/>
        <v>297.27</v>
      </c>
      <c r="J8" s="9"/>
    </row>
    <row r="9" spans="1:10" ht="11.25">
      <c r="A9" s="8" t="s">
        <v>0</v>
      </c>
      <c r="B9" s="8">
        <f>SUM(B6:B8)</f>
        <v>101967.26999999999</v>
      </c>
      <c r="C9" s="8">
        <f>SUM(C6:C8)</f>
        <v>1211.56</v>
      </c>
      <c r="D9" s="11">
        <f t="shared" si="0"/>
        <v>103178.82999999999</v>
      </c>
      <c r="E9" s="8">
        <f>SUM(E6:E8)</f>
        <v>29559.76</v>
      </c>
      <c r="F9" s="8">
        <f>SUM(F6:F8)</f>
        <v>50182.32000000001</v>
      </c>
      <c r="G9" s="8">
        <f>SUM(G6:G8)</f>
        <v>11432.160000000002</v>
      </c>
      <c r="H9" s="11">
        <f t="shared" si="1"/>
        <v>91174.24</v>
      </c>
      <c r="I9" s="23">
        <f t="shared" si="2"/>
        <v>194353.07</v>
      </c>
      <c r="J9" s="9"/>
    </row>
    <row r="10" spans="1:10" ht="11.25">
      <c r="A10" s="8" t="s">
        <v>20</v>
      </c>
      <c r="B10" s="8">
        <f>379.5</f>
        <v>379.5</v>
      </c>
      <c r="C10" s="8">
        <f>5.36</f>
        <v>5.36</v>
      </c>
      <c r="D10" s="11">
        <f t="shared" si="0"/>
        <v>384.86</v>
      </c>
      <c r="E10" s="8">
        <f>154.32+263.96</f>
        <v>418.28</v>
      </c>
      <c r="F10" s="8">
        <v>0</v>
      </c>
      <c r="G10" s="8">
        <f>442.2+449.95+174.73</f>
        <v>1066.8799999999999</v>
      </c>
      <c r="H10" s="6">
        <f t="shared" si="1"/>
        <v>1485.1599999999999</v>
      </c>
      <c r="I10" s="23">
        <f t="shared" si="2"/>
        <v>1870.02</v>
      </c>
      <c r="J10" s="9"/>
    </row>
    <row r="11" spans="1:10" ht="11.25">
      <c r="A11" s="8" t="s">
        <v>21</v>
      </c>
      <c r="B11" s="8">
        <v>0</v>
      </c>
      <c r="C11" s="8">
        <v>0</v>
      </c>
      <c r="D11" s="11">
        <f t="shared" si="0"/>
        <v>0</v>
      </c>
      <c r="E11" s="8">
        <v>0</v>
      </c>
      <c r="F11" s="8">
        <v>0</v>
      </c>
      <c r="G11" s="8">
        <f>1425+719+1511</f>
        <v>3655</v>
      </c>
      <c r="H11" s="6">
        <f t="shared" si="1"/>
        <v>3655</v>
      </c>
      <c r="I11" s="23">
        <f t="shared" si="2"/>
        <v>3655</v>
      </c>
      <c r="J11" s="9"/>
    </row>
    <row r="12" spans="1:10" s="3" customFormat="1" ht="11.25">
      <c r="A12" s="4" t="s">
        <v>2</v>
      </c>
      <c r="B12" s="4">
        <f>B9-B10-B11</f>
        <v>101587.76999999999</v>
      </c>
      <c r="C12" s="4">
        <f>C9-C10-C11</f>
        <v>1206.2</v>
      </c>
      <c r="D12" s="6">
        <f t="shared" si="0"/>
        <v>102793.96999999999</v>
      </c>
      <c r="E12" s="4">
        <f>E9-E10-E11</f>
        <v>29141.48</v>
      </c>
      <c r="F12" s="4">
        <f>F9-F10-F11</f>
        <v>50182.32000000001</v>
      </c>
      <c r="G12" s="4">
        <f>G9-G10-G11</f>
        <v>6710.2800000000025</v>
      </c>
      <c r="H12" s="6">
        <f t="shared" si="1"/>
        <v>86034.08</v>
      </c>
      <c r="I12" s="4">
        <f t="shared" si="2"/>
        <v>188828.05</v>
      </c>
      <c r="J12" s="5"/>
    </row>
    <row r="13" spans="1:12" ht="11.2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1.2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1:12" ht="11.25">
      <c r="A15" s="7" t="s">
        <v>29</v>
      </c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1.2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1.2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1.2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1.25">
      <c r="A20" s="34" t="s">
        <v>11</v>
      </c>
      <c r="B20" s="34"/>
      <c r="C20" s="34"/>
      <c r="D20" s="34"/>
      <c r="E20" s="34"/>
      <c r="F20" s="34"/>
      <c r="G20" s="34"/>
      <c r="H20" s="34"/>
      <c r="I20" s="34"/>
      <c r="J20" s="26"/>
      <c r="K20" s="26"/>
      <c r="L20" s="26"/>
      <c r="M20" s="19"/>
    </row>
    <row r="21" spans="1:12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1.25">
      <c r="A22" s="8"/>
      <c r="B22" s="13" t="s">
        <v>4</v>
      </c>
      <c r="C22" s="13" t="s">
        <v>6</v>
      </c>
      <c r="D22" s="13" t="s">
        <v>7</v>
      </c>
      <c r="E22" s="13" t="s">
        <v>8</v>
      </c>
      <c r="F22" s="2" t="s">
        <v>22</v>
      </c>
      <c r="G22" s="13" t="s">
        <v>9</v>
      </c>
      <c r="H22" s="15" t="s">
        <v>10</v>
      </c>
      <c r="I22" s="13" t="s">
        <v>0</v>
      </c>
      <c r="J22" s="2"/>
    </row>
    <row r="23" spans="1:9" ht="11.25">
      <c r="A23" s="8"/>
      <c r="B23" s="8"/>
      <c r="C23" s="8"/>
      <c r="D23" s="8"/>
      <c r="E23" s="8"/>
      <c r="G23" s="8"/>
      <c r="H23" s="11"/>
      <c r="I23" s="8"/>
    </row>
    <row r="24" spans="1:10" s="3" customFormat="1" ht="11.25">
      <c r="A24" s="4" t="s">
        <v>1</v>
      </c>
      <c r="B24" s="4">
        <f>Dec!B30</f>
        <v>-94726.96</v>
      </c>
      <c r="C24" s="4">
        <f>Dec!C30</f>
        <v>2425.3900000000003</v>
      </c>
      <c r="D24" s="4">
        <f>Dec!D30</f>
        <v>4760</v>
      </c>
      <c r="E24" s="4">
        <f>Dec!E30</f>
        <v>26535.960000000003</v>
      </c>
      <c r="F24" s="4">
        <f>Dec!F30</f>
        <v>70192.14000000001</v>
      </c>
      <c r="G24" s="4">
        <f>Dec!G30</f>
        <v>8424.320000000002</v>
      </c>
      <c r="H24" s="6">
        <f>Dec!H30</f>
        <v>-12325.489999999998</v>
      </c>
      <c r="I24" s="4">
        <f aca="true" t="shared" si="3" ref="I24:I30">SUM(B24:H24)</f>
        <v>5285.360000000015</v>
      </c>
      <c r="J24" s="5"/>
    </row>
    <row r="25" spans="1:10" ht="11.25">
      <c r="A25" s="8" t="s">
        <v>18</v>
      </c>
      <c r="B25" s="8">
        <f>90+45+30</f>
        <v>165</v>
      </c>
      <c r="C25" s="8">
        <f>60+33</f>
        <v>93</v>
      </c>
      <c r="D25" s="8">
        <f>40+140</f>
        <v>180</v>
      </c>
      <c r="E25" s="8">
        <f>641.66+211.44+13.81+84.21+178.75</f>
        <v>1129.87</v>
      </c>
      <c r="F25" s="8">
        <f>3645.91-227.87</f>
        <v>3418.04</v>
      </c>
      <c r="G25" s="8">
        <f>506</f>
        <v>506</v>
      </c>
      <c r="H25" s="11">
        <f>250</f>
        <v>250</v>
      </c>
      <c r="I25" s="8">
        <f t="shared" si="3"/>
        <v>5741.91</v>
      </c>
      <c r="J25" s="9"/>
    </row>
    <row r="26" spans="1:10" ht="11.25">
      <c r="A26" s="8" t="s">
        <v>19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1">
        <f>14.27</f>
        <v>14.27</v>
      </c>
      <c r="I26" s="8">
        <f t="shared" si="3"/>
        <v>14.27</v>
      </c>
      <c r="J26" s="9"/>
    </row>
    <row r="27" spans="1:10" ht="11.25">
      <c r="A27" s="8" t="s">
        <v>0</v>
      </c>
      <c r="B27" s="8">
        <f aca="true" t="shared" si="4" ref="B27:H27">SUM(B24:B26)</f>
        <v>-94561.96</v>
      </c>
      <c r="C27" s="8">
        <f t="shared" si="4"/>
        <v>2518.3900000000003</v>
      </c>
      <c r="D27" s="8">
        <f t="shared" si="4"/>
        <v>4940</v>
      </c>
      <c r="E27" s="8">
        <f t="shared" si="4"/>
        <v>27665.83</v>
      </c>
      <c r="F27" s="8">
        <f t="shared" si="4"/>
        <v>73610.18000000001</v>
      </c>
      <c r="G27" s="8">
        <f t="shared" si="4"/>
        <v>8930.320000000002</v>
      </c>
      <c r="H27" s="11">
        <f t="shared" si="4"/>
        <v>-12061.219999999998</v>
      </c>
      <c r="I27" s="4">
        <f t="shared" si="3"/>
        <v>11041.540000000005</v>
      </c>
      <c r="J27" s="9"/>
    </row>
    <row r="28" spans="1:10" ht="11.25">
      <c r="A28" s="8" t="s">
        <v>20</v>
      </c>
      <c r="B28" s="8">
        <f>-3506.55+114.72+4375.18+304.9+20.63</f>
        <v>1308.88</v>
      </c>
      <c r="C28" s="8">
        <v>0</v>
      </c>
      <c r="D28" s="8">
        <v>0</v>
      </c>
      <c r="E28" s="8">
        <f>935.2+381.55</f>
        <v>1316.75</v>
      </c>
      <c r="F28" s="8">
        <f>114.14+386.19+35</f>
        <v>535.3299999999999</v>
      </c>
      <c r="G28" s="8">
        <v>0</v>
      </c>
      <c r="H28" s="11">
        <v>0</v>
      </c>
      <c r="I28" s="8">
        <f t="shared" si="3"/>
        <v>3160.96</v>
      </c>
      <c r="J28" s="9"/>
    </row>
    <row r="29" spans="1:10" ht="11.25">
      <c r="A29" s="8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1">
        <f>664+335</f>
        <v>999</v>
      </c>
      <c r="I29" s="8">
        <f t="shared" si="3"/>
        <v>999</v>
      </c>
      <c r="J29" s="9"/>
    </row>
    <row r="30" spans="1:10" s="3" customFormat="1" ht="11.25">
      <c r="A30" s="4" t="s">
        <v>2</v>
      </c>
      <c r="B30" s="4">
        <f aca="true" t="shared" si="5" ref="B30:H30">B27-B28-B29</f>
        <v>-95870.84000000001</v>
      </c>
      <c r="C30" s="4">
        <f t="shared" si="5"/>
        <v>2518.3900000000003</v>
      </c>
      <c r="D30" s="4">
        <f t="shared" si="5"/>
        <v>4940</v>
      </c>
      <c r="E30" s="4">
        <f t="shared" si="5"/>
        <v>26349.08</v>
      </c>
      <c r="F30" s="4">
        <f t="shared" si="5"/>
        <v>73074.85</v>
      </c>
      <c r="G30" s="4">
        <f t="shared" si="5"/>
        <v>8930.320000000002</v>
      </c>
      <c r="H30" s="6">
        <f t="shared" si="5"/>
        <v>-13060.219999999998</v>
      </c>
      <c r="I30" s="4">
        <f t="shared" si="3"/>
        <v>6881.579999999998</v>
      </c>
      <c r="J30" s="5"/>
    </row>
    <row r="32" ht="11.25">
      <c r="A32" s="8" t="s">
        <v>5</v>
      </c>
    </row>
    <row r="33" ht="11.25">
      <c r="A33" s="8" t="s">
        <v>31</v>
      </c>
    </row>
    <row r="34" ht="11.25">
      <c r="A34" s="8"/>
    </row>
    <row r="35" ht="11.25">
      <c r="A35" s="8"/>
    </row>
    <row r="36" ht="11.25">
      <c r="A36" s="8"/>
    </row>
  </sheetData>
  <sheetProtection/>
  <mergeCells count="4">
    <mergeCell ref="A1:I1"/>
    <mergeCell ref="B3:D3"/>
    <mergeCell ref="E3:H3"/>
    <mergeCell ref="A20:I20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&amp;LAuxiliary Revenue and Expenses&amp;CJanuary 2012</oddHeader>
  </headerFooter>
  <ignoredErrors>
    <ignoredError sqref="D9:D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Layout" workbookViewId="0" topLeftCell="A1">
      <selection activeCell="F7" sqref="F7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8" width="10.8515625" style="7" bestFit="1" customWidth="1"/>
    <col min="9" max="9" width="10.7109375" style="7" bestFit="1" customWidth="1"/>
    <col min="10" max="10" width="12.00390625" style="7" bestFit="1" customWidth="1"/>
    <col min="11" max="11" width="11.42187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28"/>
      <c r="K1" s="28"/>
    </row>
    <row r="2" spans="2:3" ht="11.25">
      <c r="B2" s="1"/>
      <c r="C2" s="1"/>
    </row>
    <row r="3" spans="1:12" ht="12.75" customHeight="1">
      <c r="A3" s="8"/>
      <c r="B3" s="31" t="s">
        <v>24</v>
      </c>
      <c r="C3" s="31"/>
      <c r="D3" s="32"/>
      <c r="E3" s="33" t="s">
        <v>23</v>
      </c>
      <c r="F3" s="31"/>
      <c r="G3" s="31"/>
      <c r="H3" s="31"/>
      <c r="I3" s="24"/>
      <c r="J3" s="27"/>
      <c r="K3" s="27"/>
      <c r="L3" s="25"/>
    </row>
    <row r="4" spans="1:10" ht="11.25">
      <c r="A4" s="8"/>
      <c r="B4" s="13" t="s">
        <v>4</v>
      </c>
      <c r="C4" s="13" t="s">
        <v>22</v>
      </c>
      <c r="D4" s="15" t="s">
        <v>3</v>
      </c>
      <c r="E4" s="18" t="s">
        <v>22</v>
      </c>
      <c r="F4" s="13" t="s">
        <v>4</v>
      </c>
      <c r="G4" s="13" t="s">
        <v>17</v>
      </c>
      <c r="H4" s="12" t="s">
        <v>28</v>
      </c>
      <c r="I4" s="13" t="s">
        <v>0</v>
      </c>
      <c r="J4" s="2"/>
    </row>
    <row r="5" spans="1:9" ht="11.25">
      <c r="A5" s="8"/>
      <c r="B5" s="8"/>
      <c r="C5" s="8"/>
      <c r="D5" s="11"/>
      <c r="F5" s="8"/>
      <c r="G5" s="8"/>
      <c r="H5" s="11"/>
      <c r="I5" s="8"/>
    </row>
    <row r="6" spans="1:10" s="3" customFormat="1" ht="11.25">
      <c r="A6" s="4" t="s">
        <v>1</v>
      </c>
      <c r="B6" s="4">
        <f>Jan!B12</f>
        <v>101587.76999999999</v>
      </c>
      <c r="C6" s="4">
        <f>Jan!C12</f>
        <v>1206.2</v>
      </c>
      <c r="D6" s="6">
        <f aca="true" t="shared" si="0" ref="D6:D12">SUM(B6:C6)</f>
        <v>102793.96999999999</v>
      </c>
      <c r="E6" s="4">
        <f>Jan!E12</f>
        <v>29141.48</v>
      </c>
      <c r="F6" s="4">
        <f>Jan!F12</f>
        <v>50182.32000000001</v>
      </c>
      <c r="G6" s="4">
        <f>Jan!G12</f>
        <v>6710.2800000000025</v>
      </c>
      <c r="H6" s="6">
        <f aca="true" t="shared" si="1" ref="H6:H12">SUM(E6:G6)</f>
        <v>86034.08</v>
      </c>
      <c r="I6" s="4">
        <f aca="true" t="shared" si="2" ref="I6:I12">D6+H6</f>
        <v>188828.05</v>
      </c>
      <c r="J6" s="5"/>
    </row>
    <row r="7" spans="1:10" ht="11.25">
      <c r="A7" s="8" t="s">
        <v>18</v>
      </c>
      <c r="B7" s="8">
        <f>176.75+99</f>
        <v>275.75</v>
      </c>
      <c r="C7" s="8">
        <v>0</v>
      </c>
      <c r="D7" s="11">
        <f t="shared" si="0"/>
        <v>275.75</v>
      </c>
      <c r="E7" s="8">
        <f>2568.8</f>
        <v>2568.8</v>
      </c>
      <c r="F7" s="8">
        <f>548+63+161+14+2073+70</f>
        <v>2929</v>
      </c>
      <c r="G7" s="8">
        <v>0</v>
      </c>
      <c r="H7" s="6">
        <f t="shared" si="1"/>
        <v>5497.8</v>
      </c>
      <c r="I7" s="23">
        <f t="shared" si="2"/>
        <v>5773.55</v>
      </c>
      <c r="J7" s="9"/>
    </row>
    <row r="8" spans="1:10" ht="11.25">
      <c r="A8" s="8" t="s">
        <v>19</v>
      </c>
      <c r="B8" s="8">
        <v>197.25</v>
      </c>
      <c r="C8" s="8">
        <v>0</v>
      </c>
      <c r="D8" s="11">
        <f t="shared" si="0"/>
        <v>197.25</v>
      </c>
      <c r="E8" s="8">
        <v>0</v>
      </c>
      <c r="F8" s="8">
        <v>0</v>
      </c>
      <c r="G8" s="8">
        <v>171.92</v>
      </c>
      <c r="H8" s="6">
        <f t="shared" si="1"/>
        <v>171.92</v>
      </c>
      <c r="I8" s="23">
        <f t="shared" si="2"/>
        <v>369.16999999999996</v>
      </c>
      <c r="J8" s="9"/>
    </row>
    <row r="9" spans="1:10" ht="11.25">
      <c r="A9" s="8" t="s">
        <v>0</v>
      </c>
      <c r="B9" s="8">
        <f>SUM(B6:B8)</f>
        <v>102060.76999999999</v>
      </c>
      <c r="C9" s="8">
        <f>SUM(C6:C8)</f>
        <v>1206.2</v>
      </c>
      <c r="D9" s="11">
        <f t="shared" si="0"/>
        <v>103266.96999999999</v>
      </c>
      <c r="E9" s="8">
        <f>SUM(E6:E8)</f>
        <v>31710.28</v>
      </c>
      <c r="F9" s="8">
        <f>SUM(F6:F8)</f>
        <v>53111.32000000001</v>
      </c>
      <c r="G9" s="8">
        <f>SUM(G6:G8)</f>
        <v>6882.200000000003</v>
      </c>
      <c r="H9" s="11">
        <f t="shared" si="1"/>
        <v>91703.8</v>
      </c>
      <c r="I9" s="23">
        <f t="shared" si="2"/>
        <v>194970.77</v>
      </c>
      <c r="J9" s="9"/>
    </row>
    <row r="10" spans="1:10" ht="11.25">
      <c r="A10" s="8" t="s">
        <v>20</v>
      </c>
      <c r="B10" s="8">
        <f>146.5+6.8</f>
        <v>153.3</v>
      </c>
      <c r="C10" s="8">
        <v>0</v>
      </c>
      <c r="D10" s="11">
        <f t="shared" si="0"/>
        <v>153.3</v>
      </c>
      <c r="E10" s="8">
        <f>355.4+250.53+697.89</f>
        <v>1303.82</v>
      </c>
      <c r="F10" s="8">
        <f>11+99.68</f>
        <v>110.68</v>
      </c>
      <c r="G10" s="8">
        <f>-449.95</f>
        <v>-449.95</v>
      </c>
      <c r="H10" s="6">
        <f t="shared" si="1"/>
        <v>964.55</v>
      </c>
      <c r="I10" s="23">
        <f t="shared" si="2"/>
        <v>1117.85</v>
      </c>
      <c r="J10" s="9"/>
    </row>
    <row r="11" spans="1:10" ht="11.25">
      <c r="A11" s="8" t="s">
        <v>21</v>
      </c>
      <c r="B11" s="8"/>
      <c r="C11" s="8">
        <v>0</v>
      </c>
      <c r="D11" s="11">
        <f t="shared" si="0"/>
        <v>0</v>
      </c>
      <c r="E11" s="8">
        <v>0</v>
      </c>
      <c r="F11" s="8">
        <v>0</v>
      </c>
      <c r="G11" s="8">
        <f>1425+719+1511</f>
        <v>3655</v>
      </c>
      <c r="H11" s="6">
        <f t="shared" si="1"/>
        <v>3655</v>
      </c>
      <c r="I11" s="23">
        <f t="shared" si="2"/>
        <v>3655</v>
      </c>
      <c r="J11" s="9"/>
    </row>
    <row r="12" spans="1:10" s="3" customFormat="1" ht="11.25">
      <c r="A12" s="4" t="s">
        <v>2</v>
      </c>
      <c r="B12" s="4">
        <f>B9-B10-B11</f>
        <v>101907.46999999999</v>
      </c>
      <c r="C12" s="4">
        <f>C9-C10-C11</f>
        <v>1206.2</v>
      </c>
      <c r="D12" s="6">
        <f t="shared" si="0"/>
        <v>103113.66999999998</v>
      </c>
      <c r="E12" s="4">
        <f>E9-E10-E11</f>
        <v>30406.46</v>
      </c>
      <c r="F12" s="4">
        <f>F9-F10-F11</f>
        <v>53000.64000000001</v>
      </c>
      <c r="G12" s="4">
        <f>G9-G10-G11</f>
        <v>3677.1500000000024</v>
      </c>
      <c r="H12" s="6">
        <f t="shared" si="1"/>
        <v>87084.25000000001</v>
      </c>
      <c r="I12" s="4">
        <f t="shared" si="2"/>
        <v>190197.91999999998</v>
      </c>
      <c r="J12" s="5"/>
    </row>
    <row r="13" spans="1:12" ht="11.2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1.2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1:12" ht="11.25">
      <c r="A15" s="7" t="s">
        <v>29</v>
      </c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1.2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1.2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1.2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1.25">
      <c r="A20" s="34" t="s">
        <v>11</v>
      </c>
      <c r="B20" s="34"/>
      <c r="C20" s="34"/>
      <c r="D20" s="34"/>
      <c r="E20" s="34"/>
      <c r="F20" s="34"/>
      <c r="G20" s="34"/>
      <c r="H20" s="34"/>
      <c r="I20" s="34"/>
      <c r="J20" s="26"/>
      <c r="K20" s="26"/>
      <c r="L20" s="26"/>
      <c r="M20" s="19"/>
    </row>
    <row r="21" spans="1:12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1.25">
      <c r="A22" s="8"/>
      <c r="B22" s="13" t="s">
        <v>4</v>
      </c>
      <c r="C22" s="13" t="s">
        <v>6</v>
      </c>
      <c r="D22" s="13" t="s">
        <v>7</v>
      </c>
      <c r="E22" s="13" t="s">
        <v>8</v>
      </c>
      <c r="F22" s="2" t="s">
        <v>22</v>
      </c>
      <c r="G22" s="13" t="s">
        <v>9</v>
      </c>
      <c r="H22" s="15" t="s">
        <v>10</v>
      </c>
      <c r="I22" s="13" t="s">
        <v>0</v>
      </c>
      <c r="J22" s="2"/>
    </row>
    <row r="23" spans="1:9" ht="11.25">
      <c r="A23" s="8"/>
      <c r="B23" s="8"/>
      <c r="C23" s="8"/>
      <c r="D23" s="8"/>
      <c r="E23" s="8"/>
      <c r="G23" s="8"/>
      <c r="H23" s="11"/>
      <c r="I23" s="8"/>
    </row>
    <row r="24" spans="1:10" s="3" customFormat="1" ht="11.25">
      <c r="A24" s="4" t="s">
        <v>1</v>
      </c>
      <c r="B24" s="4">
        <f>Jan!B30</f>
        <v>-95870.84000000001</v>
      </c>
      <c r="C24" s="4">
        <f>Jan!C30</f>
        <v>2518.3900000000003</v>
      </c>
      <c r="D24" s="4">
        <f>Jan!D30</f>
        <v>4940</v>
      </c>
      <c r="E24" s="4">
        <f>Jan!E30</f>
        <v>26349.08</v>
      </c>
      <c r="F24" s="4">
        <f>Jan!F30</f>
        <v>73074.85</v>
      </c>
      <c r="G24" s="4">
        <f>Jan!G30</f>
        <v>8930.320000000002</v>
      </c>
      <c r="H24" s="6">
        <f>Jan!H30</f>
        <v>-13060.219999999998</v>
      </c>
      <c r="I24" s="4">
        <f aca="true" t="shared" si="3" ref="I24:I30">SUM(B24:H24)</f>
        <v>6881.579999999998</v>
      </c>
      <c r="J24" s="5"/>
    </row>
    <row r="25" spans="1:10" ht="11.25">
      <c r="A25" s="8" t="s">
        <v>18</v>
      </c>
      <c r="B25" s="8">
        <f>30+15+30-20</f>
        <v>55</v>
      </c>
      <c r="C25" s="8">
        <f>14.15</f>
        <v>14.15</v>
      </c>
      <c r="D25" s="8">
        <f>40+80+40</f>
        <v>160</v>
      </c>
      <c r="E25" s="8">
        <f>0.61+180.5+768.75+154.92+22.32+299.76+164.45</f>
        <v>1591.31</v>
      </c>
      <c r="F25" s="8">
        <f>4282.89</f>
        <v>4282.89</v>
      </c>
      <c r="G25" s="8">
        <f>150+150+199</f>
        <v>499</v>
      </c>
      <c r="H25" s="11">
        <f>47.17+254.72</f>
        <v>301.89</v>
      </c>
      <c r="I25" s="8">
        <f t="shared" si="3"/>
        <v>6904.240000000001</v>
      </c>
      <c r="J25" s="9"/>
    </row>
    <row r="26" spans="1:10" ht="11.25">
      <c r="A26" s="8" t="s">
        <v>19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1">
        <v>13.93</v>
      </c>
      <c r="I26" s="8">
        <f t="shared" si="3"/>
        <v>13.93</v>
      </c>
      <c r="J26" s="9"/>
    </row>
    <row r="27" spans="1:10" ht="11.25">
      <c r="A27" s="8" t="s">
        <v>0</v>
      </c>
      <c r="B27" s="8">
        <f aca="true" t="shared" si="4" ref="B27:H27">SUM(B24:B26)</f>
        <v>-95815.84000000001</v>
      </c>
      <c r="C27" s="8">
        <f t="shared" si="4"/>
        <v>2532.5400000000004</v>
      </c>
      <c r="D27" s="8">
        <f t="shared" si="4"/>
        <v>5100</v>
      </c>
      <c r="E27" s="8">
        <f t="shared" si="4"/>
        <v>27940.390000000003</v>
      </c>
      <c r="F27" s="8">
        <f t="shared" si="4"/>
        <v>77357.74</v>
      </c>
      <c r="G27" s="8">
        <f t="shared" si="4"/>
        <v>9429.320000000002</v>
      </c>
      <c r="H27" s="11">
        <f t="shared" si="4"/>
        <v>-12744.399999999998</v>
      </c>
      <c r="I27" s="4">
        <f t="shared" si="3"/>
        <v>13799.749999999989</v>
      </c>
      <c r="J27" s="9"/>
    </row>
    <row r="28" spans="1:10" ht="11.25">
      <c r="A28" s="8" t="s">
        <v>20</v>
      </c>
      <c r="B28" s="8">
        <f>5779.12+125+307.19+6.2</f>
        <v>6217.509999999999</v>
      </c>
      <c r="C28" s="8">
        <v>0</v>
      </c>
      <c r="D28" s="8">
        <v>0</v>
      </c>
      <c r="E28" s="8">
        <f>935.2+381.55</f>
        <v>1316.75</v>
      </c>
      <c r="F28" s="8">
        <f>426.48+156.55</f>
        <v>583.03</v>
      </c>
      <c r="G28" s="8">
        <f>140</f>
        <v>140</v>
      </c>
      <c r="H28" s="11">
        <v>0</v>
      </c>
      <c r="I28" s="8">
        <f t="shared" si="3"/>
        <v>8257.289999999999</v>
      </c>
      <c r="J28" s="9"/>
    </row>
    <row r="29" spans="1:10" ht="11.25">
      <c r="A29" s="8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1">
        <f>664+335</f>
        <v>999</v>
      </c>
      <c r="I29" s="8">
        <f t="shared" si="3"/>
        <v>999</v>
      </c>
      <c r="J29" s="9"/>
    </row>
    <row r="30" spans="1:10" s="3" customFormat="1" ht="11.25">
      <c r="A30" s="4" t="s">
        <v>2</v>
      </c>
      <c r="B30" s="4">
        <f aca="true" t="shared" si="5" ref="B30:H30">B27-B28-B29</f>
        <v>-102033.35</v>
      </c>
      <c r="C30" s="4">
        <f t="shared" si="5"/>
        <v>2532.5400000000004</v>
      </c>
      <c r="D30" s="4">
        <f t="shared" si="5"/>
        <v>5100</v>
      </c>
      <c r="E30" s="4">
        <f t="shared" si="5"/>
        <v>26623.640000000003</v>
      </c>
      <c r="F30" s="4">
        <f t="shared" si="5"/>
        <v>76774.71</v>
      </c>
      <c r="G30" s="4">
        <f t="shared" si="5"/>
        <v>9289.320000000002</v>
      </c>
      <c r="H30" s="6">
        <f t="shared" si="5"/>
        <v>-13743.399999999998</v>
      </c>
      <c r="I30" s="4">
        <f t="shared" si="3"/>
        <v>4543.4599999999955</v>
      </c>
      <c r="J30" s="5"/>
    </row>
    <row r="32" ht="11.25">
      <c r="A32" s="8" t="s">
        <v>5</v>
      </c>
    </row>
    <row r="33" ht="11.25">
      <c r="A33" s="8"/>
    </row>
    <row r="34" ht="11.25">
      <c r="A34" s="8" t="s">
        <v>32</v>
      </c>
    </row>
    <row r="35" ht="11.25">
      <c r="A35" s="8"/>
    </row>
    <row r="36" ht="11.25">
      <c r="A36" s="8"/>
    </row>
  </sheetData>
  <sheetProtection/>
  <mergeCells count="4">
    <mergeCell ref="B3:D3"/>
    <mergeCell ref="E3:H3"/>
    <mergeCell ref="A1:I1"/>
    <mergeCell ref="A20:I20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&amp;LAuxiliary Revenue and Expenses&amp;CFebruary 2012
</oddHeader>
  </headerFooter>
  <ignoredErrors>
    <ignoredError sqref="D9 D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jenelle</dc:creator>
  <cp:keywords/>
  <dc:description/>
  <cp:lastModifiedBy>Anne-Marie Hollingshead</cp:lastModifiedBy>
  <cp:lastPrinted>2012-05-10T18:19:07Z</cp:lastPrinted>
  <dcterms:created xsi:type="dcterms:W3CDTF">2008-04-22T17:57:35Z</dcterms:created>
  <dcterms:modified xsi:type="dcterms:W3CDTF">2012-07-18T15:17:54Z</dcterms:modified>
  <cp:category/>
  <cp:version/>
  <cp:contentType/>
  <cp:contentStatus/>
</cp:coreProperties>
</file>