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2675" tabRatio="812" activeTab="0"/>
  </bookViews>
  <sheets>
    <sheet name="YTD" sheetId="1" r:id="rId1"/>
    <sheet name="July" sheetId="2" r:id="rId2"/>
    <sheet name="Aug" sheetId="3" r:id="rId3"/>
    <sheet name="Sept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<sst xmlns="http://schemas.openxmlformats.org/spreadsheetml/2006/main" count="503" uniqueCount="36">
  <si>
    <t>Total</t>
  </si>
  <si>
    <t>Beginning Balance</t>
  </si>
  <si>
    <t>Ending Balance</t>
  </si>
  <si>
    <t>Aux Subtotal</t>
  </si>
  <si>
    <t>ILL</t>
  </si>
  <si>
    <t>Notes:</t>
  </si>
  <si>
    <t>Spec Coll</t>
  </si>
  <si>
    <t>SP Borrower</t>
  </si>
  <si>
    <t>Room Rental</t>
  </si>
  <si>
    <t>Aux Gen</t>
  </si>
  <si>
    <t>Smathers Auxiliary Revenue and Expense (exclusive of HSCL)</t>
  </si>
  <si>
    <t>YTD Income</t>
  </si>
  <si>
    <t>YTD Interest Income</t>
  </si>
  <si>
    <t>YTD Expenses</t>
  </si>
  <si>
    <t>YTD Overhead Assessment</t>
  </si>
  <si>
    <t>Smathers Auxiliary YTD Revenue and Expense (exclusive of HSCL)</t>
  </si>
  <si>
    <t>Oper Exp</t>
  </si>
  <si>
    <t>Income</t>
  </si>
  <si>
    <t>Interest Income</t>
  </si>
  <si>
    <t>Expenses</t>
  </si>
  <si>
    <t>Overhead Assessment</t>
  </si>
  <si>
    <t>Canon</t>
  </si>
  <si>
    <t>HSC Auxiliary</t>
  </si>
  <si>
    <t>Borland Auxiliary</t>
  </si>
  <si>
    <t>HSCL Auxiliary Revenue and Expense (inclusive of Borland)</t>
  </si>
  <si>
    <t>HSCL Auxiliary YTD Revenue and Expense (inclusive of Borland)</t>
  </si>
  <si>
    <t xml:space="preserve">HSC Auxiliary </t>
  </si>
  <si>
    <t>HSC Subtotal</t>
  </si>
  <si>
    <t>Books Online</t>
  </si>
  <si>
    <t>Aux Gen-$1855. is DCL-Celina Dunlop</t>
  </si>
  <si>
    <t>Bookstore</t>
  </si>
  <si>
    <t>DLC</t>
  </si>
  <si>
    <t>Smathers Libraries</t>
  </si>
  <si>
    <t>(inclusive of HSC and Borland)</t>
  </si>
  <si>
    <t>Cash Revenue and Expenses</t>
  </si>
  <si>
    <t>Merchmo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</si>
</sst>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44" fontId="2" fillId="0" borderId="10" xfId="44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 horizontal="left" indent="1"/>
    </xf>
    <xf numFmtId="44" fontId="2" fillId="0" borderId="10" xfId="44" applyFont="1" applyBorder="1" applyAlignment="1">
      <alignment horizontal="center"/>
    </xf>
    <xf numFmtId="44" fontId="1" fillId="0" borderId="0" xfId="44" applyFont="1" applyAlignment="1">
      <alignment horizontal="left" indent="1"/>
    </xf>
    <xf numFmtId="44" fontId="3" fillId="0" borderId="0" xfId="44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44" fontId="2" fillId="0" borderId="0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Border="1" applyAlignment="1">
      <alignment horizontal="center"/>
    </xf>
    <xf numFmtId="44" fontId="3" fillId="0" borderId="0" xfId="44" applyFont="1" applyBorder="1" applyAlignment="1">
      <alignment/>
    </xf>
    <xf numFmtId="44" fontId="1" fillId="0" borderId="0" xfId="44" applyFont="1" applyBorder="1" applyAlignment="1">
      <alignment/>
    </xf>
    <xf numFmtId="0" fontId="3" fillId="0" borderId="0" xfId="0" applyFont="1" applyAlignment="1">
      <alignment/>
    </xf>
    <xf numFmtId="44" fontId="1" fillId="0" borderId="0" xfId="44" applyFont="1" applyAlignment="1">
      <alignment horizontal="center"/>
    </xf>
    <xf numFmtId="44" fontId="2" fillId="0" borderId="13" xfId="44" applyFont="1" applyBorder="1" applyAlignment="1">
      <alignment horizontal="center"/>
    </xf>
    <xf numFmtId="44" fontId="1" fillId="0" borderId="13" xfId="44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2" fillId="0" borderId="0" xfId="44" applyNumberFormat="1" applyFont="1" applyAlignment="1">
      <alignment/>
    </xf>
    <xf numFmtId="44" fontId="1" fillId="0" borderId="10" xfId="44" applyNumberFormat="1" applyFont="1" applyBorder="1" applyAlignment="1">
      <alignment/>
    </xf>
    <xf numFmtId="44" fontId="2" fillId="0" borderId="10" xfId="44" applyNumberFormat="1" applyFont="1" applyBorder="1" applyAlignment="1">
      <alignment/>
    </xf>
    <xf numFmtId="170" fontId="1" fillId="0" borderId="0" xfId="44" applyNumberFormat="1" applyFont="1" applyAlignment="1">
      <alignment horizontal="center"/>
    </xf>
    <xf numFmtId="44" fontId="3" fillId="0" borderId="0" xfId="44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2" fillId="0" borderId="0" xfId="44" applyNumberFormat="1" applyFont="1" applyBorder="1" applyAlignment="1">
      <alignment/>
    </xf>
    <xf numFmtId="44" fontId="1" fillId="0" borderId="12" xfId="44" applyFont="1" applyBorder="1" applyAlignment="1">
      <alignment horizontal="center"/>
    </xf>
    <xf numFmtId="0" fontId="44" fillId="0" borderId="0" xfId="0" applyFont="1" applyAlignment="1">
      <alignment/>
    </xf>
    <xf numFmtId="44" fontId="45" fillId="0" borderId="0" xfId="0" applyNumberFormat="1" applyFont="1" applyAlignment="1">
      <alignment/>
    </xf>
    <xf numFmtId="44" fontId="44" fillId="0" borderId="0" xfId="0" applyNumberFormat="1" applyFont="1" applyAlignment="1">
      <alignment/>
    </xf>
    <xf numFmtId="44" fontId="44" fillId="0" borderId="0" xfId="44" applyFont="1" applyAlignment="1">
      <alignment/>
    </xf>
    <xf numFmtId="44" fontId="3" fillId="0" borderId="0" xfId="44" applyFont="1" applyBorder="1" applyAlignment="1">
      <alignment horizontal="center"/>
    </xf>
    <xf numFmtId="170" fontId="1" fillId="0" borderId="0" xfId="44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2" xfId="44" applyFont="1" applyBorder="1" applyAlignment="1">
      <alignment horizontal="center"/>
    </xf>
    <xf numFmtId="44" fontId="1" fillId="0" borderId="14" xfId="44" applyFont="1" applyBorder="1" applyAlignment="1">
      <alignment horizontal="center"/>
    </xf>
    <xf numFmtId="44" fontId="1" fillId="0" borderId="15" xfId="44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0 2" xfId="47"/>
    <cellStyle name="Currency 2" xfId="48"/>
    <cellStyle name="Currency 3" xfId="49"/>
    <cellStyle name="Currency 3 2" xfId="50"/>
    <cellStyle name="Currency 3 3" xfId="51"/>
    <cellStyle name="Currency 3 4" xfId="52"/>
    <cellStyle name="Currency 3 5" xfId="53"/>
    <cellStyle name="Currency 3 6" xfId="54"/>
    <cellStyle name="Currency 3 7" xfId="55"/>
    <cellStyle name="Currency 4" xfId="56"/>
    <cellStyle name="Currency 4 2" xfId="57"/>
    <cellStyle name="Currency 5" xfId="58"/>
    <cellStyle name="Currency 5 2" xfId="59"/>
    <cellStyle name="Currency 6" xfId="60"/>
    <cellStyle name="Currency 7" xfId="61"/>
    <cellStyle name="Currency 8" xfId="62"/>
    <cellStyle name="Currency 9" xfId="63"/>
    <cellStyle name="Currency 9 2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3" xfId="84"/>
    <cellStyle name="Normal 4" xfId="85"/>
    <cellStyle name="Normal 4 2" xfId="86"/>
    <cellStyle name="Normal 5" xfId="87"/>
    <cellStyle name="Normal 5 2" xfId="88"/>
    <cellStyle name="Normal 6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A27" sqref="A27:K27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7109375" style="8" customWidth="1"/>
    <col min="5" max="5" width="12.140625" style="8" bestFit="1" customWidth="1"/>
    <col min="6" max="6" width="12.57421875" style="8" bestFit="1" customWidth="1"/>
    <col min="7" max="7" width="11.28125" style="8" bestFit="1" customWidth="1"/>
    <col min="8" max="8" width="12.00390625" style="8" bestFit="1" customWidth="1"/>
    <col min="9" max="9" width="10.421875" style="8" bestFit="1" customWidth="1"/>
    <col min="10" max="10" width="10.421875" style="8" customWidth="1"/>
    <col min="11" max="11" width="10.7109375" style="8" bestFit="1" customWidth="1"/>
    <col min="12" max="12" width="11.8515625" style="8" bestFit="1" customWidth="1"/>
    <col min="13" max="14" width="11.28125" style="8" bestFit="1" customWidth="1"/>
    <col min="15" max="15" width="10.7109375" style="8" bestFit="1" customWidth="1"/>
    <col min="16" max="16384" width="9.140625" style="8" customWidth="1"/>
  </cols>
  <sheetData>
    <row r="1" spans="1:11" ht="12.7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2.75" customHeigh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.75" customHeight="1">
      <c r="A4" s="52">
        <v>41820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8" spans="1:18" ht="12.75" customHeight="1">
      <c r="A8" s="54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7"/>
      <c r="M8" s="17"/>
      <c r="N8" s="17"/>
      <c r="O8" s="17"/>
      <c r="P8" s="17"/>
      <c r="Q8" s="17"/>
      <c r="R8" s="17"/>
    </row>
    <row r="9" spans="2:4" ht="10.5">
      <c r="B9" s="4"/>
      <c r="C9" s="4"/>
      <c r="D9" s="4"/>
    </row>
    <row r="10" spans="2:14" ht="12.75" customHeight="1">
      <c r="B10" s="55" t="s">
        <v>23</v>
      </c>
      <c r="C10" s="55"/>
      <c r="D10" s="55"/>
      <c r="E10" s="56"/>
      <c r="F10" s="57" t="s">
        <v>26</v>
      </c>
      <c r="G10" s="55"/>
      <c r="H10" s="55"/>
      <c r="I10" s="55"/>
      <c r="J10" s="46"/>
      <c r="K10" s="23"/>
      <c r="L10" s="26"/>
      <c r="M10" s="26"/>
      <c r="N10" s="24"/>
    </row>
    <row r="11" spans="2:11" ht="10.5">
      <c r="B11" s="13" t="s">
        <v>4</v>
      </c>
      <c r="C11" s="13" t="s">
        <v>21</v>
      </c>
      <c r="D11" s="13" t="s">
        <v>16</v>
      </c>
      <c r="E11" s="15" t="s">
        <v>3</v>
      </c>
      <c r="F11" s="18" t="s">
        <v>21</v>
      </c>
      <c r="G11" s="13" t="s">
        <v>4</v>
      </c>
      <c r="H11" s="13" t="s">
        <v>16</v>
      </c>
      <c r="I11" s="12" t="s">
        <v>27</v>
      </c>
      <c r="J11" s="32"/>
      <c r="K11" s="13" t="s">
        <v>0</v>
      </c>
    </row>
    <row r="12" spans="5:10" ht="10.5">
      <c r="E12" s="11"/>
      <c r="F12" s="7"/>
      <c r="I12" s="11"/>
      <c r="J12" s="10"/>
    </row>
    <row r="13" spans="1:11" s="4" customFormat="1" ht="10.5">
      <c r="A13" s="4" t="s">
        <v>1</v>
      </c>
      <c r="B13" s="4">
        <f>July!B6</f>
        <v>124079.2</v>
      </c>
      <c r="C13" s="4">
        <f>July!C6</f>
        <v>-155.58</v>
      </c>
      <c r="D13" s="4">
        <f>July!D6</f>
        <v>-43619.1</v>
      </c>
      <c r="E13" s="6">
        <f aca="true" t="shared" si="0" ref="E13:E19">SUM(B13:D13)</f>
        <v>80304.51999999999</v>
      </c>
      <c r="F13" s="4">
        <f>July!F6</f>
        <v>48827.33</v>
      </c>
      <c r="G13" s="8">
        <f>July!G6</f>
        <v>65700.41</v>
      </c>
      <c r="H13" s="4">
        <f>July!H6</f>
        <v>-74164.7</v>
      </c>
      <c r="I13" s="6">
        <f aca="true" t="shared" si="1" ref="I13:I19">SUM(F13:H13)</f>
        <v>40363.04000000001</v>
      </c>
      <c r="J13" s="22"/>
      <c r="K13" s="4">
        <f aca="true" t="shared" si="2" ref="K13:K19">E13+I13</f>
        <v>120667.56</v>
      </c>
    </row>
    <row r="14" spans="1:11" ht="10.5">
      <c r="A14" s="21" t="s">
        <v>11</v>
      </c>
      <c r="B14" s="8">
        <f>July!B7+Aug!B7+Sept!B7+Oct!B7+Nov!B7+Dec!B7+Jan!B7+Feb!B7+March!B7+April!B7+May!B7+June!B7</f>
        <v>11844.75</v>
      </c>
      <c r="C14" s="8">
        <f>July!C7+Aug!C7+Sept!C7+Oct!C7+Nov!C7+Dec!C7+Jan!C7+Feb!C7+March!C7+April!C7+May!C7+June!C7</f>
        <v>419.05</v>
      </c>
      <c r="D14" s="8">
        <f>July!D7+Aug!D7+Sept!D7+Oct!D7+Nov!D7+Dec!D7+Jan!D7+Feb!D7+March!D7+April!D7+May!D7+June!D7</f>
        <v>7510</v>
      </c>
      <c r="E14" s="6">
        <f t="shared" si="0"/>
        <v>19773.8</v>
      </c>
      <c r="F14" s="8">
        <f>July!F7+Aug!F7+Sept!F7+Oct!F7+Nov!F7+Dec!F7+Jan!F7+Feb!F7+March!F7+April!F7+May!F7+June!F7</f>
        <v>16021.4</v>
      </c>
      <c r="G14" s="8">
        <f>July!G7+Aug!G7+Sept!G7+Oct!G7+Nov!G7+Dec!G7+Jan!G7+Feb!G7+March!G7+April!G7+May!G7+June!G7</f>
        <v>36439.02</v>
      </c>
      <c r="H14" s="8">
        <f>July!H7+Aug!H7+Sept!H7+Oct!H7+Nov!H7+Dec!H7+Jan!H7+Feb!H7+March!H7+April!H7+May!H7+June!H7</f>
        <v>0</v>
      </c>
      <c r="I14" s="11">
        <f t="shared" si="1"/>
        <v>52460.42</v>
      </c>
      <c r="J14" s="10"/>
      <c r="K14" s="4">
        <f t="shared" si="2"/>
        <v>72234.22</v>
      </c>
    </row>
    <row r="15" spans="1:11" ht="10.5">
      <c r="A15" s="8" t="s">
        <v>12</v>
      </c>
      <c r="B15" s="8">
        <f>July!B8+Aug!B8+Sept!B8+Oct!B8+Nov!B8+Dec!B8+Jan!B8+Feb!B8+March!B8+April!B8+May!B8+June!B8</f>
        <v>178.44</v>
      </c>
      <c r="C15" s="8">
        <f>July!C8+Aug!C8+Sept!C8+Oct!C8+Nov!C8+Dec!C8+Jan!C8+Feb!C8+March!C8+April!C8+May!C8+June!C8</f>
        <v>0</v>
      </c>
      <c r="D15" s="8">
        <f>July!D8+Aug!D8+Sept!D8+Oct!D8+Nov!D8+Dec!D8+Jan!D8+Feb!D8+March!D8+April!D8+May!D8+June!D8</f>
        <v>336.92</v>
      </c>
      <c r="E15" s="6">
        <f t="shared" si="0"/>
        <v>515.36</v>
      </c>
      <c r="F15" s="8">
        <f>July!F8+Aug!F8+Sept!F8+Oct!F8+Nov!F8+Dec!F8+Jan!F8+Feb!F8+March!F8+April!F8+May!F8+June!F8</f>
        <v>0</v>
      </c>
      <c r="G15" s="8">
        <f>July!G8+Aug!G8+Sept!G8+Oct!G8+Nov!G8+Dec!G8+Jan!G8+Feb!G8+March!G8+April!G8+May!G8+June!G8</f>
        <v>0</v>
      </c>
      <c r="H15" s="8">
        <f>July!H8+Aug!H8+Sept!H8+Oct!H8+Nov!H8+Dec!H8+Jan!H8+Feb!H8+March!H8+April!H8+May!H8+June!H8</f>
        <v>378.52</v>
      </c>
      <c r="I15" s="11">
        <f t="shared" si="1"/>
        <v>378.52</v>
      </c>
      <c r="J15" s="10"/>
      <c r="K15" s="4">
        <f t="shared" si="2"/>
        <v>893.88</v>
      </c>
    </row>
    <row r="16" spans="1:11" ht="10.5">
      <c r="A16" s="8" t="s">
        <v>0</v>
      </c>
      <c r="B16" s="8">
        <f>B13+B14+B15</f>
        <v>136102.39</v>
      </c>
      <c r="C16" s="8">
        <f>C13+C14+C15</f>
        <v>263.47</v>
      </c>
      <c r="D16" s="8">
        <f>D13+D14+D15</f>
        <v>-35772.18</v>
      </c>
      <c r="E16" s="6">
        <f t="shared" si="0"/>
        <v>100593.68000000002</v>
      </c>
      <c r="F16" s="8">
        <f>F13+F14+F15</f>
        <v>64848.73</v>
      </c>
      <c r="G16" s="8">
        <f>G13+G14+G15</f>
        <v>102139.43</v>
      </c>
      <c r="H16" s="8">
        <f>H13+H14+H15</f>
        <v>-73786.18</v>
      </c>
      <c r="I16" s="11">
        <f t="shared" si="1"/>
        <v>93201.98000000001</v>
      </c>
      <c r="J16" s="10"/>
      <c r="K16" s="4">
        <f t="shared" si="2"/>
        <v>193795.66000000003</v>
      </c>
    </row>
    <row r="17" spans="1:11" ht="10.5">
      <c r="A17" s="8" t="s">
        <v>13</v>
      </c>
      <c r="B17" s="8">
        <f>July!B10+Aug!B10+Sept!B10+Oct!B10+Nov!B10+Dec!B10+Jan!B10+Feb!B10+March!B10+April!B10+May!B10+June!B10</f>
        <v>3585.6499999999996</v>
      </c>
      <c r="C17" s="8">
        <f>July!C10+Aug!C10+Sept!C10+Oct!C10+Nov!C10+Dec!C10+Jan!C10+Feb!C10+March!C10+April!C10+May!C10+June!C10</f>
        <v>90.54999999999998</v>
      </c>
      <c r="D17" s="8">
        <f>July!D10+Aug!D10+Sept!D10+Oct!D10+Nov!D10+Dec!D10+Jan!D10+Feb!D10+March!D10+April!D10+May!D10+June!D10</f>
        <v>52411.47</v>
      </c>
      <c r="E17" s="6">
        <f t="shared" si="0"/>
        <v>56087.67</v>
      </c>
      <c r="F17" s="8">
        <f>July!F10+Aug!F10+Sept!F10+Oct!F10+Nov!F10+Dec!F10+Jan!F10+Feb!F10+March!F10+April!F10+May!F10+June!F10</f>
        <v>1560.5600000000002</v>
      </c>
      <c r="G17" s="8">
        <f>July!G10+Aug!G10+Sept!G10+Oct!G10+Nov!G10+Dec!G10+Jan!G10+Feb!G10+March!G10+April!G10+May!G10+June!G10</f>
        <v>11809.230000000001</v>
      </c>
      <c r="H17" s="8">
        <f>July!H10+Aug!H10+Sept!H10+Oct!H10+Nov!H10+Dec!H10+Jan!H10+Feb!H10+March!H10+April!H10+May!H10+June!H10</f>
        <v>21745.97</v>
      </c>
      <c r="I17" s="11">
        <f t="shared" si="1"/>
        <v>35115.76</v>
      </c>
      <c r="J17" s="10"/>
      <c r="K17" s="4">
        <f t="shared" si="2"/>
        <v>91203.43</v>
      </c>
    </row>
    <row r="18" spans="1:11" ht="10.5">
      <c r="A18" s="8" t="s">
        <v>14</v>
      </c>
      <c r="B18" s="8">
        <f>July!B11+Aug!B11+Sept!B11+Oct!B11+Nov!B11+Dec!B11+Jan!B11+Feb!B11+March!B11+April!B11+May!B11+June!B11</f>
        <v>0</v>
      </c>
      <c r="C18" s="8">
        <f>July!C11+Aug!C11+Sept!C11+Oct!C11+Nov!C11+Dec!C11+Jan!C11+Feb!C11+March!C11+April!C11+May!C11+June!C11</f>
        <v>0</v>
      </c>
      <c r="D18" s="8">
        <f>July!D11+Aug!D11+Sept!D11+Oct!D11+Nov!D11+Dec!D11+Jan!D11+Feb!D11+March!D11+April!D11+May!D11+June!D11</f>
        <v>0</v>
      </c>
      <c r="E18" s="6">
        <f t="shared" si="0"/>
        <v>0</v>
      </c>
      <c r="F18" s="8">
        <f>July!F11+Aug!F11+Sept!F11+Oct!F11+Nov!F11+Dec!F11+Jan!F11+Feb!F11+March!F11+April!F11+May!F11+June!F11</f>
        <v>0</v>
      </c>
      <c r="G18" s="8">
        <f>July!G11+Aug!G11+Sept!G11+Oct!G11+Nov!G11+Dec!G11+Jan!G11+Feb!G11+March!G11+April!G11+May!G11+June!G11</f>
        <v>0</v>
      </c>
      <c r="H18" s="8">
        <f>July!H11+Aug!H11+Sept!H11+Oct!H11+Nov!H11+Dec!H11+Jan!H11+Feb!H11+March!H11+April!H11+May!H11+June!H11</f>
        <v>13423</v>
      </c>
      <c r="I18" s="11">
        <f t="shared" si="1"/>
        <v>13423</v>
      </c>
      <c r="J18" s="10"/>
      <c r="K18" s="4">
        <f t="shared" si="2"/>
        <v>13423</v>
      </c>
    </row>
    <row r="19" spans="1:11" s="4" customFormat="1" ht="10.5">
      <c r="A19" s="4" t="s">
        <v>2</v>
      </c>
      <c r="B19" s="4">
        <f aca="true" t="shared" si="3" ref="B19:H19">B16-B17-B18</f>
        <v>132516.74000000002</v>
      </c>
      <c r="C19" s="4">
        <f>C16-C17-C18</f>
        <v>172.92000000000004</v>
      </c>
      <c r="D19" s="4">
        <f>D16-D17-D18</f>
        <v>-88183.65</v>
      </c>
      <c r="E19" s="6">
        <f t="shared" si="0"/>
        <v>44506.01000000004</v>
      </c>
      <c r="F19" s="4">
        <f t="shared" si="3"/>
        <v>63288.170000000006</v>
      </c>
      <c r="G19" s="4">
        <f t="shared" si="3"/>
        <v>90330.2</v>
      </c>
      <c r="H19" s="4">
        <f t="shared" si="3"/>
        <v>-108955.15</v>
      </c>
      <c r="I19" s="6">
        <f t="shared" si="1"/>
        <v>44663.22</v>
      </c>
      <c r="J19" s="22"/>
      <c r="K19" s="4">
        <f t="shared" si="2"/>
        <v>89169.23000000004</v>
      </c>
    </row>
    <row r="20" ht="10.5">
      <c r="H20" s="10"/>
    </row>
    <row r="21" spans="2:8" ht="10.5">
      <c r="B21" s="16"/>
      <c r="C21" s="16"/>
      <c r="D21" s="16"/>
      <c r="H21" s="10"/>
    </row>
    <row r="22" spans="1:8" ht="10.5">
      <c r="A22" s="7"/>
      <c r="B22" s="16"/>
      <c r="C22" s="16"/>
      <c r="D22" s="16"/>
      <c r="H22" s="10"/>
    </row>
    <row r="24" spans="2:8" ht="10.5">
      <c r="B24" s="14"/>
      <c r="C24" s="14"/>
      <c r="D24" s="14"/>
      <c r="H24" s="10"/>
    </row>
    <row r="25" ht="10.5">
      <c r="H25" s="10"/>
    </row>
    <row r="27" spans="1:14" ht="12.75" customHeight="1">
      <c r="A27" s="51" t="s">
        <v>15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25"/>
      <c r="M27" s="25"/>
      <c r="N27" s="25"/>
    </row>
    <row r="29" spans="2:11" ht="10.5">
      <c r="B29" s="13" t="s">
        <v>4</v>
      </c>
      <c r="C29" s="13" t="s">
        <v>6</v>
      </c>
      <c r="D29" s="13" t="s">
        <v>7</v>
      </c>
      <c r="E29" s="13" t="s">
        <v>28</v>
      </c>
      <c r="F29" s="2" t="s">
        <v>21</v>
      </c>
      <c r="G29" s="13" t="s">
        <v>8</v>
      </c>
      <c r="H29" s="13" t="s">
        <v>9</v>
      </c>
      <c r="I29" s="13" t="s">
        <v>31</v>
      </c>
      <c r="J29" s="13" t="s">
        <v>35</v>
      </c>
      <c r="K29" s="13" t="s">
        <v>0</v>
      </c>
    </row>
    <row r="30" ht="10.5">
      <c r="F30" s="7"/>
    </row>
    <row r="31" spans="1:11" s="4" customFormat="1" ht="10.5">
      <c r="A31" s="4" t="s">
        <v>1</v>
      </c>
      <c r="B31" s="4">
        <f>July!B24</f>
        <v>-190599.99</v>
      </c>
      <c r="C31" s="4">
        <f>July!C24</f>
        <v>3828.88</v>
      </c>
      <c r="D31" s="4">
        <f>July!D24</f>
        <v>8816.08</v>
      </c>
      <c r="E31" s="4">
        <f>July!E24</f>
        <v>46114.45</v>
      </c>
      <c r="F31" s="4">
        <f>July!F24</f>
        <v>128862.4</v>
      </c>
      <c r="G31" s="4">
        <f>July!G24</f>
        <v>27833.88</v>
      </c>
      <c r="H31" s="4">
        <f>July!H24</f>
        <v>46031.2</v>
      </c>
      <c r="I31" s="4">
        <f>July!I24</f>
        <v>50006.97</v>
      </c>
      <c r="J31" s="4">
        <v>0</v>
      </c>
      <c r="K31" s="4">
        <f aca="true" t="shared" si="4" ref="K31:K37">SUM(B31:J31)</f>
        <v>120893.86999999998</v>
      </c>
    </row>
    <row r="32" spans="1:11" ht="10.5">
      <c r="A32" s="8" t="s">
        <v>11</v>
      </c>
      <c r="B32" s="8">
        <f>July!B25+Aug!B25+Sept!B25+Oct!B25+Nov!B25+Dec!B25+Jan!B25+Feb!B25+March!B25+April!B25+May!B25+June!B25</f>
        <v>5440.419999999999</v>
      </c>
      <c r="C32" s="8">
        <f>July!C25+Aug!C25+Sept!C25+Oct!C25+Nov!C25+Dec!C25+Jan!C25+Feb!C25+March!C25+April!C25+May!C25+June!C25</f>
        <v>1019.4100000000001</v>
      </c>
      <c r="D32" s="8">
        <f>July!D25+Aug!D25+Sept!D25+Oct!D25+Nov!D25+Dec!D25+Jan!D25+Feb!D25+March!D25+April!D25+May!D25+June!D25</f>
        <v>2281.58</v>
      </c>
      <c r="E32" s="8">
        <f>July!E25+Aug!E25+Sept!E25+Oct!E25+Nov!E25+Dec!E25+Jan!E25+Feb!E25+March!E25+April!E25+May!E25+June!E25</f>
        <v>5992.75</v>
      </c>
      <c r="F32" s="8">
        <f>July!F25+Aug!F25+Sept!F25+Oct!F25+Nov!F25+Dec!F25+Jan!F25+Feb!F25+March!F25+April!F25+May!F25+June!F25</f>
        <v>41688.780000000006</v>
      </c>
      <c r="G32" s="8">
        <f>July!G25+Aug!G25+Sept!G25+Oct!G25+Nov!G25+Dec!G25+Jan!G25+Feb!G25+March!G25+April!G25+May!G25+June!G25</f>
        <v>12431.92</v>
      </c>
      <c r="H32" s="8">
        <f>July!H25+Aug!H25+Sept!H25+Oct!H25+Nov!H25+Dec!H25+Jan!H25+Feb!H25+March!H25+April!H25+May!H25+June!H25</f>
        <v>35</v>
      </c>
      <c r="I32" s="8">
        <f>July!I25+Aug!I25+Sept!I25+Oct!I25+Nov!I25+Dec!I25+Jan!I25+Feb!I25+March!I25+April!I25+May!I25+June!I25</f>
        <v>467.98</v>
      </c>
      <c r="J32" s="8">
        <f>Oct!J25+Nov!J25+Dec!J25+Jan!J25+Feb!J25+March!J25+April!J25+May!J25+June!J25</f>
        <v>3876.75</v>
      </c>
      <c r="K32" s="8">
        <f t="shared" si="4"/>
        <v>73234.59</v>
      </c>
    </row>
    <row r="33" spans="1:11" ht="10.5">
      <c r="A33" s="8" t="s">
        <v>12</v>
      </c>
      <c r="B33" s="8">
        <f>July!B26+Aug!B26+Sept!B26+Oct!B26+Nov!B26+Dec!B26+Jan!B26+Feb!B26+March!B26+April!B26+May!B26+June!B26</f>
        <v>0</v>
      </c>
      <c r="C33" s="8">
        <f>July!C26+Aug!C26+Sept!C26+Oct!C26+Nov!C26+Dec!C26+Jan!C26+Feb!C26+March!C26+April!C26+May!C26+June!C26</f>
        <v>0</v>
      </c>
      <c r="D33" s="8">
        <f>July!D26+Aug!D26+Sept!D26+Oct!D26+Nov!D26+Dec!D26+Jan!D26+Feb!D26+March!D26+April!D26+May!D26+June!D26</f>
        <v>0</v>
      </c>
      <c r="E33" s="8">
        <f>July!E26+Aug!E26+Sept!E26+Oct!E26+Nov!E26+Dec!E26+Jan!E26+Feb!E26+March!E26+April!E26+May!E26+June!E26</f>
        <v>0</v>
      </c>
      <c r="F33" s="8">
        <f>July!F26+Aug!F26+Sept!F26+Oct!F26+Nov!F26+Dec!F26+Jan!F26+Feb!F26+March!F26+April!F26+May!F26+June!F26</f>
        <v>0</v>
      </c>
      <c r="G33" s="8">
        <f>July!G26+Aug!G26+Sept!G26+Oct!G26+Nov!G26+Dec!G26+Jan!G26+Feb!G26+March!G26+April!G26+May!G26+June!G26</f>
        <v>0</v>
      </c>
      <c r="H33" s="8">
        <f>July!H26+Aug!H26+Sept!H26+Oct!H26+Nov!H26+Dec!H26+Jan!H26+Feb!H26+March!H26+April!H26+May!H26+June!H26</f>
        <v>571.0999999999999</v>
      </c>
      <c r="I33" s="8">
        <f>July!I26+Aug!I26+Sept!I26+Oct!I26+Nov!I26+Dec!I26+Jan!I26+Feb!I26+March!I26+April!I26+May!I26+June!I26</f>
        <v>0</v>
      </c>
      <c r="J33" s="8">
        <f>Oct!J26+Nov!J26+Dec!J26+Jan!J26+Feb!J26+March!J26+April!J26+May!J26+June!J26</f>
        <v>0</v>
      </c>
      <c r="K33" s="8">
        <f t="shared" si="4"/>
        <v>571.0999999999999</v>
      </c>
    </row>
    <row r="34" spans="1:11" ht="10.5">
      <c r="A34" s="8" t="s">
        <v>0</v>
      </c>
      <c r="B34" s="8">
        <f>B31+B32+B33</f>
        <v>-185159.56999999998</v>
      </c>
      <c r="C34" s="8">
        <f aca="true" t="shared" si="5" ref="C34:J34">C31+C32+C33</f>
        <v>4848.29</v>
      </c>
      <c r="D34" s="8">
        <f t="shared" si="5"/>
        <v>11097.66</v>
      </c>
      <c r="E34" s="8">
        <f t="shared" si="5"/>
        <v>52107.2</v>
      </c>
      <c r="F34" s="8">
        <f t="shared" si="5"/>
        <v>170551.18</v>
      </c>
      <c r="G34" s="8">
        <f t="shared" si="5"/>
        <v>40265.8</v>
      </c>
      <c r="H34" s="8">
        <f t="shared" si="5"/>
        <v>46637.299999999996</v>
      </c>
      <c r="I34" s="8">
        <f t="shared" si="5"/>
        <v>50474.950000000004</v>
      </c>
      <c r="J34" s="8">
        <f t="shared" si="5"/>
        <v>3876.75</v>
      </c>
      <c r="K34" s="8">
        <f t="shared" si="4"/>
        <v>194699.56000000003</v>
      </c>
    </row>
    <row r="35" spans="1:11" ht="10.5">
      <c r="A35" s="8" t="s">
        <v>13</v>
      </c>
      <c r="B35" s="8">
        <f>July!B28+Aug!B28+Sept!B28+Oct!B28+Nov!B28+Dec!B28+Jan!B28+Feb!B28+March!B28+April!B28+May!B28+June!B28</f>
        <v>72354.4</v>
      </c>
      <c r="C35" s="8">
        <f>July!C28+Aug!C28+Sept!C28+Oct!C28+Nov!C28+Dec!C28+Jan!C28+Feb!C28+March!C28+April!C28+May!C28+June!C28</f>
        <v>0</v>
      </c>
      <c r="D35" s="8">
        <f>July!D28+Aug!D28+Sept!D28+Oct!D28+Nov!D28+Dec!D28+Jan!D28+Feb!D28+March!D28+April!D28+May!D28+June!D28</f>
        <v>0</v>
      </c>
      <c r="E35" s="8">
        <f>July!E28+Aug!E28+Sept!E28+Oct!E28+Nov!E28+Dec!E28+Jan!E28+Feb!E28+March!E28+April!E28+May!E28+June!E28</f>
        <v>0</v>
      </c>
      <c r="F35" s="8">
        <f>July!F28+Aug!F28+Sept!F28+Oct!F28+Nov!F28+Dec!F28+Jan!F28+Feb!F28+March!F28+April!F28+May!F28+June!F28</f>
        <v>14713.049999999997</v>
      </c>
      <c r="G35" s="8">
        <f>July!G28+Aug!G28+Sept!G28+Oct!G28+Nov!G28+Dec!G28+Jan!G28+Feb!G28+March!G28+April!G28+May!G28+June!G28</f>
        <v>609</v>
      </c>
      <c r="H35" s="8">
        <f>July!H28+Aug!H28+Sept!H28+Oct!H28+Nov!H28+Dec!H28+Jan!H28+Feb!H28+March!H28+April!H28+May!H28+June!H28</f>
        <v>27640.47</v>
      </c>
      <c r="I35" s="8">
        <f>July!I28+Aug!I28+Sept!I28+Oct!I28+Nov!I28+Dec!I28+Jan!I28+Feb!I28+March!I28+April!I28+May!I28+June!I28</f>
        <v>45000</v>
      </c>
      <c r="J35" s="8">
        <f>Oct!J28+Nov!J28+Dec!J28+Jan!J28+Feb!J28+March!J28+April!J28+May!J28+June!J28</f>
        <v>169.14</v>
      </c>
      <c r="K35" s="8">
        <f t="shared" si="4"/>
        <v>160486.06</v>
      </c>
    </row>
    <row r="36" spans="1:11" ht="10.5">
      <c r="A36" s="8" t="s">
        <v>14</v>
      </c>
      <c r="B36" s="8">
        <f>July!B29+Aug!B29+Sept!B29+Oct!B29+Nov!B29+Dec!B29+Jan!B29+Feb!B29+March!B29+April!B29+May!B29+June!B29</f>
        <v>0</v>
      </c>
      <c r="C36" s="8">
        <f>July!C29+Aug!C29+Sept!C29+Oct!C29+Nov!C29+Dec!C29+Jan!C29+Feb!C29+March!C29+April!C29+May!C29+June!C29</f>
        <v>0</v>
      </c>
      <c r="D36" s="8">
        <f>July!D29+Aug!D29+Sept!D29+Oct!D29+Nov!D29+Dec!D29+Jan!D29+Feb!D29+March!D29+April!D29+May!D29+June!D29</f>
        <v>0</v>
      </c>
      <c r="E36" s="8">
        <f>July!E29+Aug!E29+Sept!E29+Oct!E29+Nov!E29+Dec!E29+Jan!E29+Feb!E29+March!E29+April!E29+May!E29+June!E29</f>
        <v>0</v>
      </c>
      <c r="F36" s="8">
        <f>July!F29+Aug!F29+Sept!F29+Oct!F29+Nov!F29+Dec!F29+Jan!F29+Feb!F29+March!F29+April!F29+May!F29+June!F29</f>
        <v>0</v>
      </c>
      <c r="G36" s="8">
        <f>July!G29+Aug!G29+Sept!G29+Oct!G29+Nov!G29+Dec!G29+Jan!G29+Feb!G29+March!G29+April!G29+May!G29+June!G29</f>
        <v>0</v>
      </c>
      <c r="H36" s="8">
        <f>July!H29+Aug!H29+Sept!H29+Oct!H29+Nov!H29+Dec!H29+Jan!H29+Feb!H29+March!H29+April!H29+May!H29+June!H29</f>
        <v>31351</v>
      </c>
      <c r="I36" s="8">
        <f>July!I29+Aug!I29+Sept!I29+Oct!I29+Nov!I29+Dec!I29+Jan!I29+Feb!I29+March!I29+April!I29+May!I29+June!I29</f>
        <v>0</v>
      </c>
      <c r="J36" s="8">
        <f>Oct!J29+Nov!J29+Dec!J29+Jan!J29+Feb!J29+March!J29+April!J29+May!J29+June!J29</f>
        <v>0</v>
      </c>
      <c r="K36" s="8">
        <f t="shared" si="4"/>
        <v>31351</v>
      </c>
    </row>
    <row r="37" spans="1:11" s="4" customFormat="1" ht="10.5">
      <c r="A37" s="4" t="s">
        <v>2</v>
      </c>
      <c r="B37" s="4">
        <f aca="true" t="shared" si="6" ref="B37:J37">B34-B35-B36</f>
        <v>-257513.96999999997</v>
      </c>
      <c r="C37" s="4">
        <f t="shared" si="6"/>
        <v>4848.29</v>
      </c>
      <c r="D37" s="4">
        <f>D34-D35-D36</f>
        <v>11097.66</v>
      </c>
      <c r="E37" s="4">
        <f t="shared" si="6"/>
        <v>52107.2</v>
      </c>
      <c r="F37" s="4">
        <f t="shared" si="6"/>
        <v>155838.13</v>
      </c>
      <c r="G37" s="4">
        <f t="shared" si="6"/>
        <v>39656.8</v>
      </c>
      <c r="H37" s="4">
        <f t="shared" si="6"/>
        <v>-12354.170000000006</v>
      </c>
      <c r="I37" s="4">
        <f t="shared" si="6"/>
        <v>5474.950000000004</v>
      </c>
      <c r="J37" s="4">
        <f t="shared" si="6"/>
        <v>3707.61</v>
      </c>
      <c r="K37" s="4">
        <f t="shared" si="4"/>
        <v>2862.5000000000578</v>
      </c>
    </row>
    <row r="42" spans="6:8" ht="10.5">
      <c r="F42" s="10"/>
      <c r="H42" s="10"/>
    </row>
  </sheetData>
  <sheetProtection/>
  <mergeCells count="8">
    <mergeCell ref="A27:K27"/>
    <mergeCell ref="A4:K4"/>
    <mergeCell ref="A3:K3"/>
    <mergeCell ref="A2:K2"/>
    <mergeCell ref="A1:K1"/>
    <mergeCell ref="A8:K8"/>
    <mergeCell ref="B10:E10"/>
    <mergeCell ref="F10:I10"/>
  </mergeCells>
  <printOptions/>
  <pageMargins left="0.5" right="0.5" top="1" bottom="1" header="0.5" footer="0.5"/>
  <pageSetup fitToHeight="1" fitToWidth="1" horizontalDpi="600" verticalDpi="600" orientation="landscape" scale="95" r:id="rId1"/>
  <headerFooter alignWithMargins="0">
    <oddHeader>&amp;L
&amp;C
</oddHeader>
  </headerFooter>
  <ignoredErrors>
    <ignoredError sqref="E19 E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I58" sqref="I58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42187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Feb!B12</f>
        <v>129129.78</v>
      </c>
      <c r="C6" s="4">
        <f>Feb!C12</f>
        <v>181.18</v>
      </c>
      <c r="D6" s="4">
        <f>Feb!D12</f>
        <v>-82563.29999999999</v>
      </c>
      <c r="E6" s="6">
        <f aca="true" t="shared" si="0" ref="E6:E12">SUM(B6:D6)</f>
        <v>46747.66</v>
      </c>
      <c r="F6" s="4">
        <f>Feb!F12</f>
        <v>58125.00999999999</v>
      </c>
      <c r="G6" s="4">
        <f>Feb!G12</f>
        <v>78140.36999999998</v>
      </c>
      <c r="H6" s="4">
        <f>Feb!H12</f>
        <v>-93278.99999999997</v>
      </c>
      <c r="I6" s="6">
        <f aca="true" t="shared" si="1" ref="I6:I12">SUM(F6:H6)</f>
        <v>42986.380000000005</v>
      </c>
      <c r="J6" s="22"/>
      <c r="K6" s="4">
        <f aca="true" t="shared" si="2" ref="K6:K12">E6+I6</f>
        <v>89734.04000000001</v>
      </c>
      <c r="L6" s="5"/>
    </row>
    <row r="7" spans="1:12" ht="10.5">
      <c r="A7" s="8" t="s">
        <v>17</v>
      </c>
      <c r="B7" s="8">
        <v>1762</v>
      </c>
      <c r="C7" s="8"/>
      <c r="D7" s="8">
        <v>0</v>
      </c>
      <c r="E7" s="11">
        <f t="shared" si="0"/>
        <v>1762</v>
      </c>
      <c r="F7" s="8">
        <v>1752.66</v>
      </c>
      <c r="G7" s="8">
        <v>3630</v>
      </c>
      <c r="H7" s="8"/>
      <c r="I7" s="6">
        <f t="shared" si="1"/>
        <v>5382.66</v>
      </c>
      <c r="J7" s="22"/>
      <c r="K7" s="22">
        <f t="shared" si="2"/>
        <v>7144.66</v>
      </c>
      <c r="L7" s="9"/>
    </row>
    <row r="8" spans="1:12" ht="10.5">
      <c r="A8" s="8" t="s">
        <v>18</v>
      </c>
      <c r="B8" s="8">
        <v>0</v>
      </c>
      <c r="C8" s="8">
        <v>0</v>
      </c>
      <c r="D8" s="8">
        <v>28.3</v>
      </c>
      <c r="E8" s="11">
        <f t="shared" si="0"/>
        <v>28.3</v>
      </c>
      <c r="F8" s="8">
        <v>0</v>
      </c>
      <c r="G8" s="8">
        <v>0</v>
      </c>
      <c r="H8" s="8">
        <v>23.8</v>
      </c>
      <c r="I8" s="6">
        <f t="shared" si="1"/>
        <v>23.8</v>
      </c>
      <c r="J8" s="22"/>
      <c r="K8" s="22">
        <f t="shared" si="2"/>
        <v>52.1</v>
      </c>
      <c r="L8" s="9"/>
    </row>
    <row r="9" spans="1:12" ht="10.5">
      <c r="A9" s="8" t="s">
        <v>0</v>
      </c>
      <c r="B9" s="8">
        <f>SUM(B6:B8)</f>
        <v>130891.78</v>
      </c>
      <c r="C9" s="8">
        <f>SUM(C6:C8)</f>
        <v>181.18</v>
      </c>
      <c r="D9" s="8">
        <f>SUM(D6:D8)</f>
        <v>-82534.99999999999</v>
      </c>
      <c r="E9" s="11">
        <f t="shared" si="0"/>
        <v>48537.96000000001</v>
      </c>
      <c r="F9" s="8">
        <f>SUM(F6:F8)</f>
        <v>59877.66999999999</v>
      </c>
      <c r="G9" s="8">
        <f>SUM(G6:G8)</f>
        <v>81770.36999999998</v>
      </c>
      <c r="H9" s="8">
        <f>SUM(H6:H8)</f>
        <v>-93255.19999999997</v>
      </c>
      <c r="I9" s="11">
        <f t="shared" si="1"/>
        <v>48392.84000000001</v>
      </c>
      <c r="J9" s="10"/>
      <c r="K9" s="22">
        <f t="shared" si="2"/>
        <v>96930.80000000002</v>
      </c>
      <c r="L9" s="9"/>
    </row>
    <row r="10" spans="1:12" ht="10.5">
      <c r="A10" s="8" t="s">
        <v>19</v>
      </c>
      <c r="B10" s="8">
        <v>896.03</v>
      </c>
      <c r="C10" s="8"/>
      <c r="D10" s="8">
        <v>2886.35</v>
      </c>
      <c r="E10" s="11">
        <f t="shared" si="0"/>
        <v>3782.38</v>
      </c>
      <c r="F10" s="8"/>
      <c r="G10" s="8">
        <f>82+130.84+67.58</f>
        <v>280.42</v>
      </c>
      <c r="H10" s="8">
        <f>2197.5+170</f>
        <v>2367.5</v>
      </c>
      <c r="I10" s="6">
        <f t="shared" si="1"/>
        <v>2647.92</v>
      </c>
      <c r="J10" s="22"/>
      <c r="K10" s="22">
        <f t="shared" si="2"/>
        <v>6430.3</v>
      </c>
      <c r="L10" s="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129995.75</v>
      </c>
      <c r="C12" s="4">
        <f>C9-C10-C11</f>
        <v>181.18</v>
      </c>
      <c r="D12" s="4">
        <f>D9-D10-D11</f>
        <v>-85421.34999999999</v>
      </c>
      <c r="E12" s="6">
        <f t="shared" si="0"/>
        <v>44755.58</v>
      </c>
      <c r="F12" s="4">
        <f>F9-F10-F11</f>
        <v>59877.66999999999</v>
      </c>
      <c r="G12" s="4">
        <f>G9-G10-G11</f>
        <v>81489.94999999998</v>
      </c>
      <c r="H12" s="4">
        <f>H9-H10-H11</f>
        <v>-96741.69999999997</v>
      </c>
      <c r="I12" s="6">
        <f t="shared" si="1"/>
        <v>44625.92</v>
      </c>
      <c r="J12" s="22"/>
      <c r="K12" s="4">
        <f t="shared" si="2"/>
        <v>89381.5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Feb!B30</f>
        <v>-249045.46999999994</v>
      </c>
      <c r="C24" s="4">
        <f>Feb!C30</f>
        <v>4555.83</v>
      </c>
      <c r="D24" s="4">
        <f>Feb!D30</f>
        <v>10236.08</v>
      </c>
      <c r="E24" s="4">
        <f>Feb!E30</f>
        <v>50460.509999999995</v>
      </c>
      <c r="F24" s="4">
        <f>Feb!F30</f>
        <v>143779.3</v>
      </c>
      <c r="G24" s="4">
        <f>Feb!G30</f>
        <v>33478.8</v>
      </c>
      <c r="H24" s="22">
        <f>Feb!H30</f>
        <v>24477.589999999997</v>
      </c>
      <c r="I24" s="22">
        <f>Feb!I30</f>
        <v>5474.950000000004</v>
      </c>
      <c r="J24" s="6">
        <f>Feb!J30</f>
        <v>2958.73</v>
      </c>
      <c r="K24" s="4">
        <f>SUM(B24:J24)</f>
        <v>26376.320000000003</v>
      </c>
    </row>
    <row r="25" spans="1:11" ht="10.5">
      <c r="A25" s="8" t="s">
        <v>17</v>
      </c>
      <c r="B25" s="8">
        <v>1460.54</v>
      </c>
      <c r="C25" s="8">
        <v>68.96</v>
      </c>
      <c r="D25" s="8">
        <v>473.58</v>
      </c>
      <c r="E25" s="8">
        <v>403.39</v>
      </c>
      <c r="F25" s="8">
        <v>4142.09</v>
      </c>
      <c r="G25" s="8">
        <v>1650</v>
      </c>
      <c r="H25" s="10"/>
      <c r="I25" s="43"/>
      <c r="J25" s="33">
        <v>47.57</v>
      </c>
      <c r="K25" s="4">
        <f aca="true" t="shared" si="3" ref="K25:K30">SUM(B25:J25)</f>
        <v>8246.13</v>
      </c>
    </row>
    <row r="26" spans="1:12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19.84</v>
      </c>
      <c r="I26" s="43"/>
      <c r="J26" s="33"/>
      <c r="K26" s="4">
        <f t="shared" si="3"/>
        <v>19.84</v>
      </c>
      <c r="L26" s="9"/>
    </row>
    <row r="27" spans="1:11" ht="10.5">
      <c r="A27" s="8" t="s">
        <v>0</v>
      </c>
      <c r="B27" s="8">
        <f aca="true" t="shared" si="4" ref="B27:J27">SUM(B24:B26)</f>
        <v>-247584.92999999993</v>
      </c>
      <c r="C27" s="8">
        <f t="shared" si="4"/>
        <v>4624.79</v>
      </c>
      <c r="D27" s="8">
        <f t="shared" si="4"/>
        <v>10709.66</v>
      </c>
      <c r="E27" s="8">
        <f t="shared" si="4"/>
        <v>50863.899999999994</v>
      </c>
      <c r="F27" s="8">
        <f t="shared" si="4"/>
        <v>147921.38999999998</v>
      </c>
      <c r="G27" s="8">
        <f t="shared" si="4"/>
        <v>35128.8</v>
      </c>
      <c r="H27" s="10">
        <f t="shared" si="4"/>
        <v>24497.429999999997</v>
      </c>
      <c r="I27" s="10">
        <f t="shared" si="4"/>
        <v>5474.950000000004</v>
      </c>
      <c r="J27" s="11">
        <f t="shared" si="4"/>
        <v>3006.3</v>
      </c>
      <c r="K27" s="4">
        <f t="shared" si="3"/>
        <v>34642.29000000006</v>
      </c>
    </row>
    <row r="28" spans="1:11" ht="10.5">
      <c r="A28" s="8" t="s">
        <v>19</v>
      </c>
      <c r="B28" s="8">
        <f>653.43+717.02</f>
        <v>1370.4499999999998</v>
      </c>
      <c r="C28" s="8">
        <v>0</v>
      </c>
      <c r="D28" s="8">
        <v>0</v>
      </c>
      <c r="E28" s="8">
        <v>0</v>
      </c>
      <c r="F28" s="8">
        <f>453.06+295.2</f>
        <v>748.26</v>
      </c>
      <c r="G28" s="8">
        <v>0</v>
      </c>
      <c r="H28" s="10">
        <f>6081.41</f>
        <v>6081.41</v>
      </c>
      <c r="I28" s="43"/>
      <c r="J28" s="33"/>
      <c r="K28" s="4">
        <f t="shared" si="3"/>
        <v>8200.119999999999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3"/>
      <c r="J29" s="33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-248955.37999999995</v>
      </c>
      <c r="C30" s="4">
        <f t="shared" si="5"/>
        <v>4624.79</v>
      </c>
      <c r="D30" s="4">
        <f t="shared" si="5"/>
        <v>10709.66</v>
      </c>
      <c r="E30" s="4">
        <f t="shared" si="5"/>
        <v>50863.899999999994</v>
      </c>
      <c r="F30" s="4">
        <f t="shared" si="5"/>
        <v>147173.12999999998</v>
      </c>
      <c r="G30" s="4">
        <f t="shared" si="5"/>
        <v>35128.8</v>
      </c>
      <c r="H30" s="22">
        <f t="shared" si="5"/>
        <v>15804.019999999997</v>
      </c>
      <c r="I30" s="22">
        <f t="shared" si="5"/>
        <v>5474.950000000004</v>
      </c>
      <c r="J30" s="6">
        <f t="shared" si="5"/>
        <v>3006.3</v>
      </c>
      <c r="K30" s="4">
        <f t="shared" si="3"/>
        <v>23830.17000000004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Expenses&amp;CMarch 2014</oddHeader>
  </headerFooter>
  <ignoredErrors>
    <ignoredError sqref="E9:E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H12" sqref="H12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42187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March!B12</f>
        <v>129995.75</v>
      </c>
      <c r="C6" s="4">
        <f>March!C12</f>
        <v>181.18</v>
      </c>
      <c r="D6" s="4">
        <f>March!D12</f>
        <v>-85421.34999999999</v>
      </c>
      <c r="E6" s="6">
        <f aca="true" t="shared" si="0" ref="E6:E12">SUM(B6:D6)</f>
        <v>44755.58</v>
      </c>
      <c r="F6" s="4">
        <f>March!F12</f>
        <v>59877.66999999999</v>
      </c>
      <c r="G6" s="4">
        <f>March!G12</f>
        <v>81489.94999999998</v>
      </c>
      <c r="H6" s="4">
        <f>March!H12</f>
        <v>-96741.69999999997</v>
      </c>
      <c r="I6" s="6">
        <f aca="true" t="shared" si="1" ref="I6:I12">SUM(F6:H6)</f>
        <v>44625.92</v>
      </c>
      <c r="J6" s="22"/>
      <c r="K6" s="4">
        <f aca="true" t="shared" si="2" ref="K6:K12">E6+I6</f>
        <v>89381.5</v>
      </c>
      <c r="L6" s="5"/>
    </row>
    <row r="7" spans="1:12" ht="10.5">
      <c r="A7" s="8" t="s">
        <v>17</v>
      </c>
      <c r="B7" s="8">
        <v>2660.5</v>
      </c>
      <c r="C7" s="8"/>
      <c r="D7" s="8"/>
      <c r="E7" s="11">
        <f t="shared" si="0"/>
        <v>2660.5</v>
      </c>
      <c r="F7" s="8">
        <v>1378.48</v>
      </c>
      <c r="G7" s="8">
        <v>3733</v>
      </c>
      <c r="H7" s="8">
        <v>0</v>
      </c>
      <c r="I7" s="6">
        <f t="shared" si="1"/>
        <v>5111.48</v>
      </c>
      <c r="J7" s="22"/>
      <c r="K7" s="22">
        <f t="shared" si="2"/>
        <v>7771.98</v>
      </c>
      <c r="L7" s="9"/>
    </row>
    <row r="8" spans="1:12" ht="10.5">
      <c r="A8" s="8" t="s">
        <v>18</v>
      </c>
      <c r="B8" s="8">
        <v>0</v>
      </c>
      <c r="C8" s="8">
        <v>0</v>
      </c>
      <c r="D8" s="8">
        <v>37.26</v>
      </c>
      <c r="E8" s="11">
        <f t="shared" si="0"/>
        <v>37.26</v>
      </c>
      <c r="F8" s="8">
        <v>0</v>
      </c>
      <c r="G8" s="8">
        <v>0</v>
      </c>
      <c r="H8" s="8">
        <v>33.48</v>
      </c>
      <c r="I8" s="6">
        <f t="shared" si="1"/>
        <v>33.48</v>
      </c>
      <c r="J8" s="22"/>
      <c r="K8" s="22">
        <f t="shared" si="2"/>
        <v>70.74</v>
      </c>
      <c r="L8" s="9"/>
    </row>
    <row r="9" spans="1:12" ht="10.5">
      <c r="A9" s="8" t="s">
        <v>0</v>
      </c>
      <c r="B9" s="8">
        <f>SUM(B6:B8)</f>
        <v>132656.25</v>
      </c>
      <c r="C9" s="8">
        <f>SUM(C6:C8)</f>
        <v>181.18</v>
      </c>
      <c r="D9" s="8">
        <f>SUM(D6:D8)</f>
        <v>-85384.09</v>
      </c>
      <c r="E9" s="11">
        <f t="shared" si="0"/>
        <v>47453.34</v>
      </c>
      <c r="F9" s="8">
        <f>SUM(F6:F8)</f>
        <v>61256.149999999994</v>
      </c>
      <c r="G9" s="8">
        <f>SUM(G6:G8)</f>
        <v>85222.94999999998</v>
      </c>
      <c r="H9" s="8">
        <f>SUM(H6:H8)</f>
        <v>-96708.21999999997</v>
      </c>
      <c r="I9" s="11">
        <f t="shared" si="1"/>
        <v>49770.880000000005</v>
      </c>
      <c r="J9" s="10"/>
      <c r="K9" s="22">
        <f t="shared" si="2"/>
        <v>97224.22</v>
      </c>
      <c r="L9" s="9"/>
    </row>
    <row r="10" spans="1:12" ht="10.5">
      <c r="A10" s="8" t="s">
        <v>19</v>
      </c>
      <c r="B10" s="8">
        <v>529.5</v>
      </c>
      <c r="C10" s="8">
        <v>5.8</v>
      </c>
      <c r="D10" s="8">
        <v>3031.62</v>
      </c>
      <c r="E10" s="11">
        <f t="shared" si="0"/>
        <v>3566.92</v>
      </c>
      <c r="F10" s="8">
        <v>377.42</v>
      </c>
      <c r="G10" s="8">
        <f>884.91+1450.4+180.05</f>
        <v>2515.36</v>
      </c>
      <c r="H10" s="8">
        <f>25+1404.3</f>
        <v>1429.3</v>
      </c>
      <c r="I10" s="6">
        <f>SUM(F10:H10)</f>
        <v>4322.08</v>
      </c>
      <c r="J10" s="22"/>
      <c r="K10" s="22">
        <f t="shared" si="2"/>
        <v>7889</v>
      </c>
      <c r="L10" s="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>SUM(F11:H11)</f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132126.75</v>
      </c>
      <c r="C12" s="4">
        <f>C9-C10-C11</f>
        <v>175.38</v>
      </c>
      <c r="D12" s="4">
        <f>D9-D10-D11</f>
        <v>-88415.70999999999</v>
      </c>
      <c r="E12" s="6">
        <f t="shared" si="0"/>
        <v>43886.42000000001</v>
      </c>
      <c r="F12" s="4">
        <f>F9-F10-F11</f>
        <v>60878.729999999996</v>
      </c>
      <c r="G12" s="4">
        <f>G9-G10-G11</f>
        <v>82707.58999999998</v>
      </c>
      <c r="H12" s="4">
        <f>H9-H10-H11</f>
        <v>-99256.51999999997</v>
      </c>
      <c r="I12" s="6">
        <f t="shared" si="1"/>
        <v>44329.8</v>
      </c>
      <c r="J12" s="22"/>
      <c r="K12" s="4">
        <f t="shared" si="2"/>
        <v>88216.22000000002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March!B30</f>
        <v>-248955.37999999995</v>
      </c>
      <c r="C24" s="4">
        <f>March!C30</f>
        <v>4624.79</v>
      </c>
      <c r="D24" s="4">
        <f>March!D30</f>
        <v>10709.66</v>
      </c>
      <c r="E24" s="4">
        <f>March!E30</f>
        <v>50863.899999999994</v>
      </c>
      <c r="F24" s="4">
        <f>March!F30</f>
        <v>147173.12999999998</v>
      </c>
      <c r="G24" s="4">
        <f>March!G30</f>
        <v>35128.8</v>
      </c>
      <c r="H24" s="22">
        <f>March!H30</f>
        <v>15804.019999999997</v>
      </c>
      <c r="I24" s="22">
        <f>March!I30</f>
        <v>5474.950000000004</v>
      </c>
      <c r="J24" s="6">
        <f>March!J30</f>
        <v>3006.3</v>
      </c>
      <c r="K24" s="4">
        <f>SUM(B24:J24)</f>
        <v>23830.17000000004</v>
      </c>
    </row>
    <row r="25" spans="1:12" ht="10.5">
      <c r="A25" s="8" t="s">
        <v>17</v>
      </c>
      <c r="B25" s="8">
        <v>309.23</v>
      </c>
      <c r="C25" s="8">
        <v>75</v>
      </c>
      <c r="D25" s="8">
        <v>388</v>
      </c>
      <c r="E25" s="8">
        <v>174.14</v>
      </c>
      <c r="F25" s="8">
        <v>3959.35</v>
      </c>
      <c r="G25" s="8">
        <v>2325</v>
      </c>
      <c r="H25" s="10"/>
      <c r="I25" s="43"/>
      <c r="J25" s="33">
        <v>116.1</v>
      </c>
      <c r="K25" s="4">
        <f aca="true" t="shared" si="3" ref="K25:K30">SUM(B25:J25)</f>
        <v>7346.820000000001</v>
      </c>
      <c r="L25" s="9"/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21.54</v>
      </c>
      <c r="I26" s="43"/>
      <c r="J26" s="33"/>
      <c r="K26" s="4">
        <f t="shared" si="3"/>
        <v>21.54</v>
      </c>
    </row>
    <row r="27" spans="1:11" ht="10.5">
      <c r="A27" s="8" t="s">
        <v>0</v>
      </c>
      <c r="B27" s="8">
        <f aca="true" t="shared" si="4" ref="B27:J27">SUM(B24:B26)</f>
        <v>-248646.14999999994</v>
      </c>
      <c r="C27" s="8">
        <f t="shared" si="4"/>
        <v>4699.79</v>
      </c>
      <c r="D27" s="8">
        <f t="shared" si="4"/>
        <v>11097.66</v>
      </c>
      <c r="E27" s="8">
        <f t="shared" si="4"/>
        <v>51038.03999999999</v>
      </c>
      <c r="F27" s="8">
        <f t="shared" si="4"/>
        <v>151132.47999999998</v>
      </c>
      <c r="G27" s="8">
        <f t="shared" si="4"/>
        <v>37453.8</v>
      </c>
      <c r="H27" s="10">
        <f t="shared" si="4"/>
        <v>15825.559999999998</v>
      </c>
      <c r="I27" s="10">
        <f t="shared" si="4"/>
        <v>5474.950000000004</v>
      </c>
      <c r="J27" s="11">
        <f t="shared" si="4"/>
        <v>3122.4</v>
      </c>
      <c r="K27" s="4">
        <f t="shared" si="3"/>
        <v>31198.53000000007</v>
      </c>
    </row>
    <row r="28" spans="1:11" ht="10.5">
      <c r="A28" s="8" t="s">
        <v>19</v>
      </c>
      <c r="B28" s="8">
        <f>9484.28+115+329+5.76+1483.39</f>
        <v>11417.43</v>
      </c>
      <c r="C28" s="8"/>
      <c r="D28" s="8"/>
      <c r="E28" s="8"/>
      <c r="F28" s="8">
        <f>214.81+733.7</f>
        <v>948.51</v>
      </c>
      <c r="G28" s="8"/>
      <c r="H28" s="10">
        <f>6081.4</f>
        <v>6081.4</v>
      </c>
      <c r="I28" s="43"/>
      <c r="J28" s="33">
        <f>100</f>
        <v>100</v>
      </c>
      <c r="K28" s="4">
        <f t="shared" si="3"/>
        <v>18547.34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3"/>
      <c r="J29" s="33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-260063.57999999993</v>
      </c>
      <c r="C30" s="4">
        <f t="shared" si="5"/>
        <v>4699.79</v>
      </c>
      <c r="D30" s="4">
        <f t="shared" si="5"/>
        <v>11097.66</v>
      </c>
      <c r="E30" s="4">
        <f t="shared" si="5"/>
        <v>51038.03999999999</v>
      </c>
      <c r="F30" s="4">
        <f t="shared" si="5"/>
        <v>150183.96999999997</v>
      </c>
      <c r="G30" s="4">
        <f t="shared" si="5"/>
        <v>37453.8</v>
      </c>
      <c r="H30" s="22">
        <f t="shared" si="5"/>
        <v>7132.159999999998</v>
      </c>
      <c r="I30" s="22">
        <f t="shared" si="5"/>
        <v>5474.950000000004</v>
      </c>
      <c r="J30" s="6">
        <f t="shared" si="5"/>
        <v>3022.4</v>
      </c>
      <c r="K30" s="4">
        <f t="shared" si="3"/>
        <v>10039.190000000068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Expenses&amp;CApril 2014
</oddHeader>
  </headerFooter>
  <ignoredErrors>
    <ignoredError sqref="D13 E9:E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R35" sqref="R35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1.8515625" style="7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42187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April!B12</f>
        <v>132126.75</v>
      </c>
      <c r="C6" s="4">
        <f>April!C12</f>
        <v>175.38</v>
      </c>
      <c r="D6" s="4">
        <f>April!D12</f>
        <v>-88415.70999999999</v>
      </c>
      <c r="E6" s="6">
        <f aca="true" t="shared" si="0" ref="E6:E12">SUM(B6:D6)</f>
        <v>43886.42000000001</v>
      </c>
      <c r="F6" s="4">
        <f>April!F12</f>
        <v>60878.729999999996</v>
      </c>
      <c r="G6" s="4">
        <f>April!G12</f>
        <v>82707.58999999998</v>
      </c>
      <c r="H6" s="4">
        <f>April!H12</f>
        <v>-99256.51999999997</v>
      </c>
      <c r="I6" s="6">
        <f aca="true" t="shared" si="1" ref="I6:I12">SUM(F6:H6)</f>
        <v>44329.8</v>
      </c>
      <c r="J6" s="22"/>
      <c r="K6" s="4">
        <f aca="true" t="shared" si="2" ref="K6:K12">E6+I6</f>
        <v>88216.22000000002</v>
      </c>
      <c r="L6" s="5"/>
    </row>
    <row r="7" spans="1:12" ht="10.5">
      <c r="A7" s="8" t="s">
        <v>17</v>
      </c>
      <c r="B7" s="8">
        <v>79</v>
      </c>
      <c r="C7" s="8"/>
      <c r="D7" s="8">
        <v>7500</v>
      </c>
      <c r="E7" s="11">
        <f t="shared" si="0"/>
        <v>7579</v>
      </c>
      <c r="F7" s="8">
        <v>1848.82</v>
      </c>
      <c r="G7" s="8">
        <v>1275</v>
      </c>
      <c r="H7" s="8"/>
      <c r="I7" s="6">
        <f t="shared" si="1"/>
        <v>3123.8199999999997</v>
      </c>
      <c r="J7" s="22"/>
      <c r="K7" s="22">
        <f t="shared" si="2"/>
        <v>10702.82</v>
      </c>
      <c r="L7" s="9"/>
    </row>
    <row r="8" spans="1:12" ht="10.5">
      <c r="A8" s="8" t="s">
        <v>18</v>
      </c>
      <c r="B8" s="8"/>
      <c r="C8" s="8">
        <v>0</v>
      </c>
      <c r="D8" s="8">
        <v>42.67</v>
      </c>
      <c r="E8" s="11">
        <f t="shared" si="0"/>
        <v>42.67</v>
      </c>
      <c r="F8" s="8"/>
      <c r="G8" s="8">
        <v>0</v>
      </c>
      <c r="H8" s="8">
        <v>42.19</v>
      </c>
      <c r="I8" s="6">
        <f t="shared" si="1"/>
        <v>42.19</v>
      </c>
      <c r="J8" s="22"/>
      <c r="K8" s="22">
        <f t="shared" si="2"/>
        <v>84.86</v>
      </c>
      <c r="L8" s="9"/>
    </row>
    <row r="9" spans="1:12" ht="10.5">
      <c r="A9" s="8" t="s">
        <v>0</v>
      </c>
      <c r="B9" s="8">
        <f>SUM(B6:B8)</f>
        <v>132205.75</v>
      </c>
      <c r="C9" s="8">
        <f>SUM(C6:C8)</f>
        <v>175.38</v>
      </c>
      <c r="D9" s="8">
        <f>SUM(D6:D8)</f>
        <v>-80873.04</v>
      </c>
      <c r="E9" s="11">
        <f t="shared" si="0"/>
        <v>51508.09000000001</v>
      </c>
      <c r="F9" s="8">
        <f>SUM(F6:F8)</f>
        <v>62727.549999999996</v>
      </c>
      <c r="G9" s="8">
        <f>SUM(G6:G8)</f>
        <v>83982.58999999998</v>
      </c>
      <c r="H9" s="8">
        <f>SUM(H6:H8)</f>
        <v>-99214.32999999997</v>
      </c>
      <c r="I9" s="11">
        <f t="shared" si="1"/>
        <v>47495.81000000001</v>
      </c>
      <c r="J9" s="10"/>
      <c r="K9" s="22">
        <f t="shared" si="2"/>
        <v>99003.90000000002</v>
      </c>
      <c r="L9" s="9"/>
    </row>
    <row r="10" spans="1:12" ht="10.5">
      <c r="A10" s="8" t="s">
        <v>19</v>
      </c>
      <c r="B10" s="8">
        <v>230.5</v>
      </c>
      <c r="C10" s="8">
        <v>1.75</v>
      </c>
      <c r="D10" s="8">
        <f>453.69+2908.13</f>
        <v>3361.82</v>
      </c>
      <c r="E10" s="11">
        <f t="shared" si="0"/>
        <v>3594.07</v>
      </c>
      <c r="F10" s="8">
        <v>240.77</v>
      </c>
      <c r="G10" s="8">
        <v>3364.07</v>
      </c>
      <c r="H10" s="8">
        <f>103.1+4062.67</f>
        <v>4165.77</v>
      </c>
      <c r="I10" s="6">
        <f t="shared" si="1"/>
        <v>7770.610000000001</v>
      </c>
      <c r="J10" s="22"/>
      <c r="K10" s="22">
        <f t="shared" si="2"/>
        <v>11364.68</v>
      </c>
      <c r="L10" s="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131975.25</v>
      </c>
      <c r="C12" s="4">
        <f>C9-C10-C11</f>
        <v>173.63</v>
      </c>
      <c r="D12" s="4">
        <f>D9-D10-D11</f>
        <v>-84234.86</v>
      </c>
      <c r="E12" s="6">
        <f t="shared" si="0"/>
        <v>47914.020000000004</v>
      </c>
      <c r="F12" s="4">
        <f>F9-F10-F11</f>
        <v>62486.78</v>
      </c>
      <c r="G12" s="4">
        <f>G9-G10-G11</f>
        <v>80618.51999999997</v>
      </c>
      <c r="H12" s="4">
        <f>H9-H10-H11</f>
        <v>-104499.09999999998</v>
      </c>
      <c r="I12" s="6">
        <f t="shared" si="1"/>
        <v>38606.20000000001</v>
      </c>
      <c r="J12" s="22"/>
      <c r="K12" s="4">
        <f t="shared" si="2"/>
        <v>86520.22000000002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April!B30</f>
        <v>-260063.57999999993</v>
      </c>
      <c r="C24" s="4">
        <f>April!C30</f>
        <v>4699.79</v>
      </c>
      <c r="D24" s="4">
        <f>April!D30</f>
        <v>11097.66</v>
      </c>
      <c r="E24" s="4">
        <f>April!E30</f>
        <v>51038.03999999999</v>
      </c>
      <c r="F24" s="4">
        <f>April!F30</f>
        <v>150183.96999999997</v>
      </c>
      <c r="G24" s="4">
        <f>April!G30</f>
        <v>37453.8</v>
      </c>
      <c r="H24" s="22">
        <f>April!H30</f>
        <v>7132.159999999998</v>
      </c>
      <c r="I24" s="22">
        <f>April!I30</f>
        <v>5474.950000000004</v>
      </c>
      <c r="J24" s="6">
        <f>April!J30</f>
        <v>3022.4</v>
      </c>
      <c r="K24" s="4">
        <f>SUM(B24:J24)</f>
        <v>10039.190000000068</v>
      </c>
    </row>
    <row r="25" spans="1:11" ht="10.5">
      <c r="A25" s="8" t="s">
        <v>17</v>
      </c>
      <c r="B25" s="8">
        <v>273.36</v>
      </c>
      <c r="C25" s="8">
        <v>94.5</v>
      </c>
      <c r="D25" s="8">
        <v>0</v>
      </c>
      <c r="E25" s="8">
        <v>541.84</v>
      </c>
      <c r="F25" s="8">
        <v>4993.32</v>
      </c>
      <c r="G25" s="8">
        <v>675</v>
      </c>
      <c r="H25" s="10"/>
      <c r="I25" s="43"/>
      <c r="J25" s="33">
        <v>754.35</v>
      </c>
      <c r="K25" s="4">
        <f aca="true" t="shared" si="3" ref="K25:K30">SUM(B25:J25)</f>
        <v>7332.37</v>
      </c>
    </row>
    <row r="26" spans="1:12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20.36</v>
      </c>
      <c r="I26" s="43"/>
      <c r="J26" s="33"/>
      <c r="K26" s="4">
        <f t="shared" si="3"/>
        <v>20.36</v>
      </c>
      <c r="L26" s="9"/>
    </row>
    <row r="27" spans="1:11" ht="10.5">
      <c r="A27" s="8" t="s">
        <v>0</v>
      </c>
      <c r="B27" s="8">
        <f aca="true" t="shared" si="4" ref="B27:J27">SUM(B24:B26)</f>
        <v>-259790.21999999994</v>
      </c>
      <c r="C27" s="8">
        <f t="shared" si="4"/>
        <v>4794.29</v>
      </c>
      <c r="D27" s="8">
        <f t="shared" si="4"/>
        <v>11097.66</v>
      </c>
      <c r="E27" s="8">
        <f t="shared" si="4"/>
        <v>51579.87999999999</v>
      </c>
      <c r="F27" s="8">
        <f t="shared" si="4"/>
        <v>155177.28999999998</v>
      </c>
      <c r="G27" s="8">
        <f t="shared" si="4"/>
        <v>38128.8</v>
      </c>
      <c r="H27" s="10">
        <f t="shared" si="4"/>
        <v>7152.519999999998</v>
      </c>
      <c r="I27" s="10">
        <f t="shared" si="4"/>
        <v>5474.950000000004</v>
      </c>
      <c r="J27" s="11">
        <f t="shared" si="4"/>
        <v>3776.75</v>
      </c>
      <c r="K27" s="4">
        <f t="shared" si="3"/>
        <v>17391.920000000027</v>
      </c>
    </row>
    <row r="28" spans="1:11" ht="10.5">
      <c r="A28" s="8" t="s">
        <v>19</v>
      </c>
      <c r="B28" s="8">
        <f>1583.89-4742.14</f>
        <v>-3158.25</v>
      </c>
      <c r="C28" s="8"/>
      <c r="D28" s="8"/>
      <c r="E28" s="8"/>
      <c r="F28" s="8">
        <v>248.19</v>
      </c>
      <c r="G28" s="8"/>
      <c r="H28" s="10">
        <f>6081.4</f>
        <v>6081.4</v>
      </c>
      <c r="I28" s="43"/>
      <c r="J28" s="33"/>
      <c r="K28" s="4">
        <f t="shared" si="3"/>
        <v>3171.3399999999997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3"/>
      <c r="J29" s="33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-256631.96999999994</v>
      </c>
      <c r="C30" s="4">
        <f t="shared" si="5"/>
        <v>4794.29</v>
      </c>
      <c r="D30" s="4">
        <f t="shared" si="5"/>
        <v>11097.66</v>
      </c>
      <c r="E30" s="4">
        <f t="shared" si="5"/>
        <v>51579.87999999999</v>
      </c>
      <c r="F30" s="4">
        <f t="shared" si="5"/>
        <v>154929.09999999998</v>
      </c>
      <c r="G30" s="4">
        <f t="shared" si="5"/>
        <v>38128.8</v>
      </c>
      <c r="H30" s="22">
        <f t="shared" si="5"/>
        <v>-1540.880000000002</v>
      </c>
      <c r="I30" s="22">
        <f t="shared" si="5"/>
        <v>5474.950000000004</v>
      </c>
      <c r="J30" s="6">
        <f t="shared" si="5"/>
        <v>3776.75</v>
      </c>
      <c r="K30" s="4">
        <f t="shared" si="3"/>
        <v>11608.580000000027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&amp;LAuxiliary Revenue and Expenses&amp;CMay 2014
</oddHeader>
  </headerFooter>
  <ignoredErrors>
    <ignoredError sqref="E9:E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M19" sqref="M19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1.421875" style="7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42187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2" ht="10.5">
      <c r="A5" s="8"/>
      <c r="B5" s="8"/>
      <c r="C5" s="8"/>
      <c r="D5" s="8"/>
      <c r="E5" s="11"/>
      <c r="G5" s="8"/>
      <c r="H5" s="8"/>
      <c r="I5" s="11"/>
      <c r="J5" s="10"/>
      <c r="K5" s="8"/>
      <c r="L5" s="47"/>
    </row>
    <row r="6" spans="1:12" s="3" customFormat="1" ht="10.5">
      <c r="A6" s="4" t="s">
        <v>1</v>
      </c>
      <c r="B6" s="4">
        <f>May!B12</f>
        <v>131975.25</v>
      </c>
      <c r="C6" s="4">
        <f>May!C12</f>
        <v>173.63</v>
      </c>
      <c r="D6" s="4">
        <f>May!D12</f>
        <v>-84234.86</v>
      </c>
      <c r="E6" s="6">
        <f>SUM(B6:D6)</f>
        <v>47914.020000000004</v>
      </c>
      <c r="F6" s="4">
        <f>May!F12</f>
        <v>62486.78</v>
      </c>
      <c r="G6" s="4">
        <f>May!G12</f>
        <v>80618.51999999997</v>
      </c>
      <c r="H6" s="4">
        <f>May!H12</f>
        <v>-104499.09999999998</v>
      </c>
      <c r="I6" s="6">
        <f aca="true" t="shared" si="0" ref="I6:I12">SUM(F6:H6)</f>
        <v>38606.20000000001</v>
      </c>
      <c r="J6" s="22"/>
      <c r="K6" s="4">
        <f aca="true" t="shared" si="1" ref="K6:K12">E6+I6</f>
        <v>86520.22000000002</v>
      </c>
      <c r="L6" s="48"/>
    </row>
    <row r="7" spans="1:12" ht="10.5">
      <c r="A7" s="8" t="s">
        <v>17</v>
      </c>
      <c r="B7" s="8">
        <v>733.5</v>
      </c>
      <c r="C7" s="8"/>
      <c r="D7" s="8"/>
      <c r="E7" s="11">
        <f aca="true" t="shared" si="2" ref="E7:E12">SUM(B7:D7)</f>
        <v>733.5</v>
      </c>
      <c r="F7" s="8">
        <v>835.1</v>
      </c>
      <c r="G7" s="8">
        <f>3287+3042.96</f>
        <v>6329.96</v>
      </c>
      <c r="H7" s="8">
        <v>0</v>
      </c>
      <c r="I7" s="6">
        <f t="shared" si="0"/>
        <v>7165.06</v>
      </c>
      <c r="J7" s="22"/>
      <c r="K7" s="22">
        <f t="shared" si="1"/>
        <v>7898.56</v>
      </c>
      <c r="L7" s="49"/>
    </row>
    <row r="8" spans="1:12" ht="10.5">
      <c r="A8" s="8" t="s">
        <v>18</v>
      </c>
      <c r="B8" s="8">
        <v>49.19</v>
      </c>
      <c r="C8" s="8">
        <v>0</v>
      </c>
      <c r="D8" s="8"/>
      <c r="E8" s="11">
        <f t="shared" si="2"/>
        <v>49.19</v>
      </c>
      <c r="F8" s="8">
        <v>0</v>
      </c>
      <c r="G8" s="8">
        <v>0</v>
      </c>
      <c r="H8" s="8">
        <v>50.96</v>
      </c>
      <c r="I8" s="6">
        <f t="shared" si="0"/>
        <v>50.96</v>
      </c>
      <c r="J8" s="22"/>
      <c r="K8" s="22">
        <f t="shared" si="1"/>
        <v>100.15</v>
      </c>
      <c r="L8" s="49">
        <f>I7+I8</f>
        <v>7216.02</v>
      </c>
    </row>
    <row r="9" spans="1:12" ht="10.5">
      <c r="A9" s="8" t="s">
        <v>0</v>
      </c>
      <c r="B9" s="8">
        <f>SUM(B6:B8)</f>
        <v>132757.94</v>
      </c>
      <c r="C9" s="8">
        <f>SUM(C6:C8)</f>
        <v>173.63</v>
      </c>
      <c r="D9" s="8">
        <f>SUM(D6:D8)</f>
        <v>-84234.86</v>
      </c>
      <c r="E9" s="11">
        <f t="shared" si="2"/>
        <v>48696.71000000001</v>
      </c>
      <c r="F9" s="8">
        <f>SUM(F6:F8)</f>
        <v>63321.88</v>
      </c>
      <c r="G9" s="8">
        <f>SUM(G6:G8)</f>
        <v>86948.47999999998</v>
      </c>
      <c r="H9" s="8">
        <f>SUM(H6:H8)</f>
        <v>-104448.13999999997</v>
      </c>
      <c r="I9" s="11">
        <f t="shared" si="0"/>
        <v>45822.220000000016</v>
      </c>
      <c r="J9" s="10"/>
      <c r="K9" s="22">
        <f t="shared" si="1"/>
        <v>94518.93000000002</v>
      </c>
      <c r="L9" s="49"/>
    </row>
    <row r="10" spans="1:12" ht="10.5">
      <c r="A10" s="8" t="s">
        <v>19</v>
      </c>
      <c r="B10" s="8">
        <v>241.2</v>
      </c>
      <c r="C10" s="28">
        <v>0.71</v>
      </c>
      <c r="D10" s="8">
        <v>3948.79</v>
      </c>
      <c r="E10" s="11">
        <f t="shared" si="2"/>
        <v>4190.7</v>
      </c>
      <c r="F10" s="8">
        <v>33.71</v>
      </c>
      <c r="G10" s="8">
        <v>-3381.72</v>
      </c>
      <c r="H10" s="8">
        <v>3393.01</v>
      </c>
      <c r="I10" s="6">
        <f t="shared" si="0"/>
        <v>45.000000000000455</v>
      </c>
      <c r="J10" s="22"/>
      <c r="K10" s="22">
        <f t="shared" si="1"/>
        <v>4235.700000000001</v>
      </c>
      <c r="L10" s="4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2"/>
        <v>0</v>
      </c>
      <c r="F11" s="8">
        <v>0</v>
      </c>
      <c r="G11" s="8">
        <v>0</v>
      </c>
      <c r="H11" s="8">
        <v>1114</v>
      </c>
      <c r="I11" s="6">
        <f t="shared" si="0"/>
        <v>1114</v>
      </c>
      <c r="J11" s="22"/>
      <c r="K11" s="22">
        <f t="shared" si="1"/>
        <v>1114</v>
      </c>
      <c r="L11" s="49">
        <f>I10+I11</f>
        <v>1159.0000000000005</v>
      </c>
    </row>
    <row r="12" spans="1:12" s="3" customFormat="1" ht="10.5">
      <c r="A12" s="4" t="s">
        <v>2</v>
      </c>
      <c r="B12" s="4">
        <f>B9-B10-B11</f>
        <v>132516.74</v>
      </c>
      <c r="C12" s="4">
        <f>C9-C10-C11</f>
        <v>172.92</v>
      </c>
      <c r="D12" s="4">
        <f>D9-D10-D11</f>
        <v>-88183.65</v>
      </c>
      <c r="E12" s="6">
        <f t="shared" si="2"/>
        <v>44506.01000000001</v>
      </c>
      <c r="F12" s="4">
        <f>F9-F10-F11</f>
        <v>63288.17</v>
      </c>
      <c r="G12" s="4">
        <f>G9-G10-G11</f>
        <v>90330.19999999998</v>
      </c>
      <c r="H12" s="4">
        <f>H9-H10-H11</f>
        <v>-108955.14999999997</v>
      </c>
      <c r="I12" s="6">
        <f t="shared" si="0"/>
        <v>44663.22000000003</v>
      </c>
      <c r="J12" s="22"/>
      <c r="K12" s="4">
        <f t="shared" si="1"/>
        <v>89169.23000000004</v>
      </c>
      <c r="L12" s="48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50"/>
      <c r="M13" s="8"/>
    </row>
    <row r="14" spans="1:13" ht="10.5">
      <c r="A14" s="8"/>
      <c r="B14" s="16"/>
      <c r="C14" s="16"/>
      <c r="D14" s="4"/>
      <c r="E14" s="8"/>
      <c r="F14" s="8"/>
      <c r="G14" s="10"/>
      <c r="H14" s="8"/>
      <c r="I14" s="8"/>
      <c r="J14" s="8"/>
      <c r="K14" s="8"/>
      <c r="L14" s="50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50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50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May!B30</f>
        <v>-256631.96999999994</v>
      </c>
      <c r="C24" s="4">
        <f>May!C30</f>
        <v>4794.29</v>
      </c>
      <c r="D24" s="4">
        <f>May!D30</f>
        <v>11097.66</v>
      </c>
      <c r="E24" s="4">
        <f>May!E30</f>
        <v>51579.87999999999</v>
      </c>
      <c r="F24" s="4">
        <f>May!F30</f>
        <v>154929.09999999998</v>
      </c>
      <c r="G24" s="4">
        <f>May!G30</f>
        <v>38128.8</v>
      </c>
      <c r="H24" s="10">
        <f>May!H30</f>
        <v>-1540.880000000002</v>
      </c>
      <c r="I24" s="10">
        <f>May!I30</f>
        <v>5474.950000000004</v>
      </c>
      <c r="J24" s="11">
        <f>May!J30</f>
        <v>3776.75</v>
      </c>
      <c r="K24" s="4">
        <f>SUM(B24:J24)</f>
        <v>11608.580000000027</v>
      </c>
    </row>
    <row r="25" spans="1:11" ht="10.5">
      <c r="A25" s="8" t="s">
        <v>17</v>
      </c>
      <c r="B25" s="20">
        <v>210</v>
      </c>
      <c r="C25" s="20">
        <v>54</v>
      </c>
      <c r="D25" s="20">
        <v>0</v>
      </c>
      <c r="E25" s="20">
        <f>524.91+2.41</f>
        <v>527.3199999999999</v>
      </c>
      <c r="F25" s="20">
        <v>1244.5</v>
      </c>
      <c r="G25" s="20">
        <v>1528</v>
      </c>
      <c r="H25" s="36">
        <v>0</v>
      </c>
      <c r="I25" s="44">
        <v>0</v>
      </c>
      <c r="J25" s="37">
        <v>0</v>
      </c>
      <c r="K25" s="4">
        <f aca="true" t="shared" si="3" ref="K25:K30">SUM(B25:J25)</f>
        <v>3563.8199999999997</v>
      </c>
    </row>
    <row r="26" spans="1:13" ht="10.5">
      <c r="A26" s="8" t="s">
        <v>18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36">
        <v>15.6</v>
      </c>
      <c r="I26" s="43"/>
      <c r="J26" s="33"/>
      <c r="K26" s="4">
        <f t="shared" si="3"/>
        <v>15.6</v>
      </c>
      <c r="L26" s="9"/>
      <c r="M26" s="9"/>
    </row>
    <row r="27" spans="1:11" ht="10.5">
      <c r="A27" s="8" t="s">
        <v>0</v>
      </c>
      <c r="B27" s="8">
        <f aca="true" t="shared" si="4" ref="B27:J27">SUM(B24:B26)</f>
        <v>-256421.96999999994</v>
      </c>
      <c r="C27" s="8">
        <f t="shared" si="4"/>
        <v>4848.29</v>
      </c>
      <c r="D27" s="8">
        <f t="shared" si="4"/>
        <v>11097.66</v>
      </c>
      <c r="E27" s="8">
        <f t="shared" si="4"/>
        <v>52107.19999999999</v>
      </c>
      <c r="F27" s="8">
        <f t="shared" si="4"/>
        <v>156173.59999999998</v>
      </c>
      <c r="G27" s="8">
        <f t="shared" si="4"/>
        <v>39656.8</v>
      </c>
      <c r="H27" s="10">
        <f t="shared" si="4"/>
        <v>-1525.280000000002</v>
      </c>
      <c r="I27" s="10">
        <f t="shared" si="4"/>
        <v>5474.950000000004</v>
      </c>
      <c r="J27" s="11">
        <f t="shared" si="4"/>
        <v>3776.75</v>
      </c>
      <c r="K27" s="4">
        <f t="shared" si="3"/>
        <v>15188.000000000033</v>
      </c>
    </row>
    <row r="28" spans="1:11" ht="10.5">
      <c r="A28" s="8" t="s">
        <v>19</v>
      </c>
      <c r="B28" s="20">
        <v>1092</v>
      </c>
      <c r="C28" s="20"/>
      <c r="D28" s="20"/>
      <c r="E28" s="20"/>
      <c r="F28" s="20">
        <f>67.06+268.41</f>
        <v>335.47</v>
      </c>
      <c r="G28" s="20"/>
      <c r="H28" s="36">
        <f>8209.89</f>
        <v>8209.89</v>
      </c>
      <c r="I28" s="43"/>
      <c r="J28" s="33">
        <v>69.14</v>
      </c>
      <c r="K28" s="4">
        <f t="shared" si="3"/>
        <v>9706.499999999998</v>
      </c>
    </row>
    <row r="29" spans="1:12" ht="10.5">
      <c r="A29" s="8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36">
        <v>2619</v>
      </c>
      <c r="I29" s="43"/>
      <c r="J29" s="33"/>
      <c r="K29" s="4">
        <f t="shared" si="3"/>
        <v>2619</v>
      </c>
      <c r="L29" s="9"/>
    </row>
    <row r="30" spans="1:11" s="3" customFormat="1" ht="10.5">
      <c r="A30" s="4" t="s">
        <v>2</v>
      </c>
      <c r="B30" s="4">
        <f aca="true" t="shared" si="5" ref="B30:J30">B27-B28-B29</f>
        <v>-257513.96999999994</v>
      </c>
      <c r="C30" s="4">
        <f t="shared" si="5"/>
        <v>4848.29</v>
      </c>
      <c r="D30" s="4">
        <f t="shared" si="5"/>
        <v>11097.66</v>
      </c>
      <c r="E30" s="4">
        <f t="shared" si="5"/>
        <v>52107.19999999999</v>
      </c>
      <c r="F30" s="4">
        <f t="shared" si="5"/>
        <v>155838.12999999998</v>
      </c>
      <c r="G30" s="4">
        <f t="shared" si="5"/>
        <v>39656.8</v>
      </c>
      <c r="H30" s="22">
        <f t="shared" si="5"/>
        <v>-12354.170000000002</v>
      </c>
      <c r="I30" s="22">
        <f t="shared" si="5"/>
        <v>5474.950000000004</v>
      </c>
      <c r="J30" s="6">
        <f t="shared" si="5"/>
        <v>3707.61</v>
      </c>
      <c r="K30" s="4">
        <f t="shared" si="3"/>
        <v>2862.5000000000323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20:I20"/>
    <mergeCell ref="A1:I1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&amp;LAuxiliary Revenue and Expenses
&amp;CJune 2014
</oddHeader>
  </headerFooter>
  <ignoredErrors>
    <ignoredError sqref="E9: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L24" sqref="L24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140625" style="8" bestFit="1" customWidth="1"/>
    <col min="5" max="5" width="12.00390625" style="8" bestFit="1" customWidth="1"/>
    <col min="6" max="6" width="11.28125" style="8" bestFit="1" customWidth="1"/>
    <col min="7" max="7" width="10.7109375" style="8" bestFit="1" customWidth="1"/>
    <col min="8" max="8" width="12.00390625" style="8" bestFit="1" customWidth="1"/>
    <col min="9" max="9" width="11.28125" style="8" bestFit="1" customWidth="1"/>
    <col min="10" max="10" width="12.00390625" style="8" bestFit="1" customWidth="1"/>
    <col min="11" max="11" width="11.28125" style="8" customWidth="1"/>
    <col min="12" max="12" width="10.7109375" style="8" bestFit="1" customWidth="1"/>
    <col min="13" max="16384" width="9.140625" style="8" customWidth="1"/>
  </cols>
  <sheetData>
    <row r="1" spans="1:16" ht="12.75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17"/>
      <c r="L1" s="17"/>
      <c r="M1" s="17"/>
      <c r="N1" s="17"/>
      <c r="O1" s="17"/>
      <c r="P1" s="17"/>
    </row>
    <row r="2" spans="2:3" ht="10.5">
      <c r="B2" s="4"/>
      <c r="C2" s="4"/>
    </row>
    <row r="3" spans="2:12" ht="12.75" customHeight="1"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6"/>
      <c r="K3" s="26"/>
      <c r="L3" s="24"/>
    </row>
    <row r="4" spans="2:10" ht="10.5"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</row>
    <row r="5" spans="5:9" ht="10.5">
      <c r="E5" s="11"/>
      <c r="F5" s="7"/>
      <c r="I5" s="11"/>
    </row>
    <row r="6" spans="1:10" s="4" customFormat="1" ht="10.5">
      <c r="A6" s="4" t="s">
        <v>1</v>
      </c>
      <c r="B6" s="4">
        <v>124079.2</v>
      </c>
      <c r="C6" s="4">
        <v>-155.58</v>
      </c>
      <c r="D6" s="4">
        <v>-43619.1</v>
      </c>
      <c r="E6" s="6">
        <f aca="true" t="shared" si="0" ref="E6:E12">SUM(B6:D6)</f>
        <v>80304.51999999999</v>
      </c>
      <c r="F6" s="4">
        <v>48827.33</v>
      </c>
      <c r="G6" s="4">
        <v>65700.41</v>
      </c>
      <c r="H6" s="4">
        <v>-74164.7</v>
      </c>
      <c r="I6" s="6">
        <f aca="true" t="shared" si="1" ref="I6:I12">SUM(F6:H6)</f>
        <v>40363.04000000001</v>
      </c>
      <c r="J6" s="4">
        <f aca="true" t="shared" si="2" ref="J6:J12">E6+I6</f>
        <v>120667.56</v>
      </c>
    </row>
    <row r="7" spans="1:10" ht="10.5">
      <c r="A7" s="8" t="s">
        <v>17</v>
      </c>
      <c r="B7" s="8">
        <v>365.75</v>
      </c>
      <c r="C7" s="8">
        <v>0</v>
      </c>
      <c r="D7" s="8">
        <v>0</v>
      </c>
      <c r="E7" s="11">
        <f t="shared" si="0"/>
        <v>365.75</v>
      </c>
      <c r="F7" s="8">
        <v>506.73</v>
      </c>
      <c r="G7" s="8">
        <v>3138</v>
      </c>
      <c r="H7" s="8">
        <v>0</v>
      </c>
      <c r="I7" s="6">
        <f t="shared" si="1"/>
        <v>3644.73</v>
      </c>
      <c r="J7" s="4">
        <f t="shared" si="2"/>
        <v>4010.48</v>
      </c>
    </row>
    <row r="8" spans="1:10" ht="10.5">
      <c r="A8" s="8" t="s">
        <v>18</v>
      </c>
      <c r="B8" s="8">
        <v>0</v>
      </c>
      <c r="C8" s="8">
        <v>0</v>
      </c>
      <c r="D8" s="8">
        <v>41.47</v>
      </c>
      <c r="E8" s="11">
        <f t="shared" si="0"/>
        <v>41.47</v>
      </c>
      <c r="F8" s="8">
        <v>0</v>
      </c>
      <c r="G8" s="8">
        <v>0</v>
      </c>
      <c r="H8" s="8">
        <v>19.34</v>
      </c>
      <c r="I8" s="6">
        <f t="shared" si="1"/>
        <v>19.34</v>
      </c>
      <c r="J8" s="4">
        <f t="shared" si="2"/>
        <v>60.81</v>
      </c>
    </row>
    <row r="9" spans="1:10" ht="10.5">
      <c r="A9" s="8" t="s">
        <v>0</v>
      </c>
      <c r="B9" s="8">
        <f>SUM(B6:B8)</f>
        <v>124444.95</v>
      </c>
      <c r="C9" s="8">
        <f>SUM(C6:C8)</f>
        <v>-155.58</v>
      </c>
      <c r="D9" s="8">
        <f>SUM(D6:D8)</f>
        <v>-43577.63</v>
      </c>
      <c r="E9" s="11">
        <f t="shared" si="0"/>
        <v>80711.73999999999</v>
      </c>
      <c r="F9" s="8">
        <f>SUM(F6:F8)</f>
        <v>49334.060000000005</v>
      </c>
      <c r="G9" s="8">
        <f>SUM(G6:G8)</f>
        <v>68838.41</v>
      </c>
      <c r="H9" s="8">
        <f>SUM(H6:H8)</f>
        <v>-74145.36</v>
      </c>
      <c r="I9" s="6">
        <f t="shared" si="1"/>
        <v>44027.11</v>
      </c>
      <c r="J9" s="4">
        <f t="shared" si="2"/>
        <v>124738.84999999999</v>
      </c>
    </row>
    <row r="10" spans="1:10" ht="10.5">
      <c r="A10" s="8" t="s">
        <v>19</v>
      </c>
      <c r="B10" s="8">
        <f>106</f>
        <v>106</v>
      </c>
      <c r="C10" s="8">
        <v>0.09</v>
      </c>
      <c r="D10" s="8">
        <f>1886.55+1057.38</f>
        <v>2943.9300000000003</v>
      </c>
      <c r="E10" s="11">
        <f t="shared" si="0"/>
        <v>3050.0200000000004</v>
      </c>
      <c r="F10" s="8">
        <v>51.68</v>
      </c>
      <c r="G10" s="8">
        <f>60+134.98+457.14+80.6</f>
        <v>732.72</v>
      </c>
      <c r="H10" s="8">
        <v>1627.68</v>
      </c>
      <c r="I10" s="6">
        <f t="shared" si="1"/>
        <v>2412.08</v>
      </c>
      <c r="J10" s="4">
        <f t="shared" si="2"/>
        <v>5462.1</v>
      </c>
    </row>
    <row r="11" spans="1:10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4">
        <f t="shared" si="2"/>
        <v>1119</v>
      </c>
    </row>
    <row r="12" spans="1:10" s="4" customFormat="1" ht="10.5">
      <c r="A12" s="4" t="s">
        <v>2</v>
      </c>
      <c r="B12" s="4">
        <f>B9-B10-B11</f>
        <v>124338.95</v>
      </c>
      <c r="C12" s="4">
        <f>C9-C10-C11</f>
        <v>-155.67000000000002</v>
      </c>
      <c r="D12" s="4">
        <f>D9-D10-D11</f>
        <v>-46521.56</v>
      </c>
      <c r="E12" s="6">
        <f t="shared" si="0"/>
        <v>77661.72</v>
      </c>
      <c r="F12" s="4">
        <f>F9-F10-F11</f>
        <v>49282.380000000005</v>
      </c>
      <c r="G12" s="4">
        <f>G9-G10-G11</f>
        <v>68105.69</v>
      </c>
      <c r="H12" s="4">
        <f>H9-H10-H11</f>
        <v>-76892.04</v>
      </c>
      <c r="I12" s="6">
        <f t="shared" si="1"/>
        <v>40496.03000000001</v>
      </c>
      <c r="J12" s="4">
        <f t="shared" si="2"/>
        <v>118157.75000000001</v>
      </c>
    </row>
    <row r="13" ht="10.5">
      <c r="G13" s="10"/>
    </row>
    <row r="14" spans="1:7" ht="10.5">
      <c r="A14" s="8" t="s">
        <v>5</v>
      </c>
      <c r="B14" s="16"/>
      <c r="C14" s="16"/>
      <c r="G14" s="10"/>
    </row>
    <row r="15" spans="1:7" ht="10.5">
      <c r="A15" s="7"/>
      <c r="B15" s="16"/>
      <c r="C15" s="16"/>
      <c r="G15" s="10"/>
    </row>
    <row r="16" spans="1:7" ht="10.5">
      <c r="A16" s="7"/>
      <c r="E16" s="10"/>
      <c r="G16" s="10"/>
    </row>
    <row r="17" spans="2:7" ht="10.5">
      <c r="B17" s="14"/>
      <c r="C17" s="14"/>
      <c r="G17" s="10"/>
    </row>
    <row r="18" ht="10.5">
      <c r="G18" s="10"/>
    </row>
    <row r="20" spans="1:12" ht="12.75" customHeight="1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25"/>
      <c r="K20" s="25"/>
      <c r="L20" s="25"/>
    </row>
    <row r="22" spans="2:10" ht="10.5">
      <c r="B22" s="13" t="s">
        <v>4</v>
      </c>
      <c r="C22" s="13" t="s">
        <v>6</v>
      </c>
      <c r="D22" s="13" t="s">
        <v>7</v>
      </c>
      <c r="E22" s="13" t="s">
        <v>30</v>
      </c>
      <c r="F22" s="2" t="s">
        <v>21</v>
      </c>
      <c r="G22" s="13" t="s">
        <v>8</v>
      </c>
      <c r="H22" s="32" t="s">
        <v>9</v>
      </c>
      <c r="I22" s="15" t="s">
        <v>31</v>
      </c>
      <c r="J22" s="29" t="s">
        <v>0</v>
      </c>
    </row>
    <row r="23" spans="6:10" ht="10.5">
      <c r="F23" s="7"/>
      <c r="H23" s="10"/>
      <c r="I23" s="11"/>
      <c r="J23" s="30"/>
    </row>
    <row r="24" spans="1:10" s="4" customFormat="1" ht="10.5">
      <c r="A24" s="4" t="s">
        <v>1</v>
      </c>
      <c r="B24" s="4">
        <v>-190599.99</v>
      </c>
      <c r="C24" s="4">
        <v>3828.88</v>
      </c>
      <c r="D24" s="4">
        <v>8816.08</v>
      </c>
      <c r="E24" s="4">
        <v>46114.45</v>
      </c>
      <c r="F24" s="4">
        <v>128862.4</v>
      </c>
      <c r="G24" s="4">
        <v>27833.88</v>
      </c>
      <c r="H24" s="22">
        <v>46031.2</v>
      </c>
      <c r="I24" s="6">
        <v>50006.97</v>
      </c>
      <c r="J24" s="31">
        <f aca="true" t="shared" si="3" ref="J24:J30">SUM(B24:I24)</f>
        <v>120893.86999999998</v>
      </c>
    </row>
    <row r="25" spans="1:10" ht="10.5">
      <c r="A25" s="8" t="s">
        <v>17</v>
      </c>
      <c r="B25" s="8">
        <v>670.82</v>
      </c>
      <c r="C25" s="8">
        <v>93</v>
      </c>
      <c r="D25" s="8">
        <v>300</v>
      </c>
      <c r="E25" s="8">
        <v>357.83</v>
      </c>
      <c r="F25" s="8">
        <v>1296.74</v>
      </c>
      <c r="G25" s="8">
        <v>359</v>
      </c>
      <c r="H25" s="10">
        <v>0</v>
      </c>
      <c r="I25" s="11">
        <v>292.98</v>
      </c>
      <c r="J25" s="30">
        <f t="shared" si="3"/>
        <v>3370.3700000000003</v>
      </c>
    </row>
    <row r="26" spans="1:10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57.94</v>
      </c>
      <c r="I26" s="11">
        <v>0</v>
      </c>
      <c r="J26" s="30">
        <f t="shared" si="3"/>
        <v>57.94</v>
      </c>
    </row>
    <row r="27" spans="1:10" ht="10.5">
      <c r="A27" s="8" t="s">
        <v>0</v>
      </c>
      <c r="B27" s="8">
        <f aca="true" t="shared" si="4" ref="B27:G27">SUM(B24:B26)</f>
        <v>-189929.16999999998</v>
      </c>
      <c r="C27" s="8">
        <f t="shared" si="4"/>
        <v>3921.88</v>
      </c>
      <c r="D27" s="8">
        <f t="shared" si="4"/>
        <v>9116.08</v>
      </c>
      <c r="E27" s="8">
        <f t="shared" si="4"/>
        <v>46472.28</v>
      </c>
      <c r="F27" s="8">
        <f t="shared" si="4"/>
        <v>130159.14</v>
      </c>
      <c r="G27" s="8">
        <f t="shared" si="4"/>
        <v>28192.88</v>
      </c>
      <c r="H27" s="10">
        <f>SUM(H24:H26)</f>
        <v>46089.14</v>
      </c>
      <c r="I27" s="10">
        <f>SUM(I24:I26)</f>
        <v>50299.950000000004</v>
      </c>
      <c r="J27" s="31">
        <f t="shared" si="3"/>
        <v>124322.18000000002</v>
      </c>
    </row>
    <row r="28" spans="1:10" ht="10.5">
      <c r="A28" s="8" t="s">
        <v>19</v>
      </c>
      <c r="B28" s="8">
        <v>14078.06</v>
      </c>
      <c r="F28" s="8">
        <f>20+135.13</f>
        <v>155.13</v>
      </c>
      <c r="H28" s="10"/>
      <c r="I28" s="11">
        <v>0</v>
      </c>
      <c r="J28" s="30">
        <f t="shared" si="3"/>
        <v>14233.189999999999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11">
        <v>0</v>
      </c>
      <c r="J29" s="30">
        <f t="shared" si="3"/>
        <v>2612</v>
      </c>
    </row>
    <row r="30" spans="1:10" s="4" customFormat="1" ht="10.5">
      <c r="A30" s="4" t="s">
        <v>2</v>
      </c>
      <c r="B30" s="4">
        <f aca="true" t="shared" si="5" ref="B30:I30">B27-B28-B29</f>
        <v>-204007.22999999998</v>
      </c>
      <c r="C30" s="4">
        <f t="shared" si="5"/>
        <v>3921.88</v>
      </c>
      <c r="D30" s="4">
        <f t="shared" si="5"/>
        <v>9116.08</v>
      </c>
      <c r="E30" s="4">
        <f t="shared" si="5"/>
        <v>46472.28</v>
      </c>
      <c r="F30" s="4">
        <f t="shared" si="5"/>
        <v>130004.01</v>
      </c>
      <c r="G30" s="4">
        <f t="shared" si="5"/>
        <v>28192.88</v>
      </c>
      <c r="H30" s="22">
        <f t="shared" si="5"/>
        <v>43477.14</v>
      </c>
      <c r="I30" s="22">
        <f t="shared" si="5"/>
        <v>50299.950000000004</v>
      </c>
      <c r="J30" s="31">
        <f t="shared" si="3"/>
        <v>107476.99000000002</v>
      </c>
    </row>
    <row r="32" ht="10.5">
      <c r="A32" s="8" t="s">
        <v>5</v>
      </c>
    </row>
    <row r="34" ht="10.5">
      <c r="A34" s="8" t="s">
        <v>29</v>
      </c>
    </row>
  </sheetData>
  <sheetProtection/>
  <mergeCells count="4">
    <mergeCell ref="A20:I20"/>
    <mergeCell ref="F3:I3"/>
    <mergeCell ref="B3:E3"/>
    <mergeCell ref="A1:J1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&amp;CJuly 2013
&amp;R
</oddHeader>
  </headerFooter>
  <ignoredErrors>
    <ignoredError sqref="E9: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P28" sqref="P28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140625" style="8" bestFit="1" customWidth="1"/>
    <col min="5" max="5" width="12.57421875" style="8" bestFit="1" customWidth="1"/>
    <col min="6" max="6" width="11.421875" style="8" bestFit="1" customWidth="1"/>
    <col min="7" max="7" width="10.8515625" style="8" bestFit="1" customWidth="1"/>
    <col min="8" max="8" width="10.7109375" style="8" bestFit="1" customWidth="1"/>
    <col min="9" max="9" width="11.28125" style="8" bestFit="1" customWidth="1"/>
    <col min="10" max="10" width="12.00390625" style="8" bestFit="1" customWidth="1"/>
    <col min="11" max="12" width="10.7109375" style="8" bestFit="1" customWidth="1"/>
    <col min="13" max="13" width="9.140625" style="8" customWidth="1"/>
    <col min="14" max="14" width="9.8515625" style="8" bestFit="1" customWidth="1"/>
    <col min="15" max="16384" width="9.140625" style="8" customWidth="1"/>
  </cols>
  <sheetData>
    <row r="1" spans="1:12" ht="10.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17"/>
      <c r="K1" s="17"/>
      <c r="L1" s="17"/>
    </row>
    <row r="2" spans="2:3" ht="10.5">
      <c r="B2" s="4"/>
      <c r="C2" s="4"/>
    </row>
    <row r="3" spans="2:10" ht="12.75" customHeight="1"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</row>
    <row r="4" spans="2:10" ht="10.5"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</row>
    <row r="5" spans="5:9" ht="10.5">
      <c r="E5" s="11"/>
      <c r="F5" s="7"/>
      <c r="I5" s="11"/>
    </row>
    <row r="6" spans="1:10" s="4" customFormat="1" ht="10.5">
      <c r="A6" s="4" t="s">
        <v>1</v>
      </c>
      <c r="B6" s="4">
        <f>July!B12</f>
        <v>124338.95</v>
      </c>
      <c r="C6" s="4">
        <f>July!C12</f>
        <v>-155.67000000000002</v>
      </c>
      <c r="D6" s="4">
        <f>July!D12</f>
        <v>-46521.56</v>
      </c>
      <c r="E6" s="6">
        <f aca="true" t="shared" si="0" ref="E6:E12">SUM(B6:D6)</f>
        <v>77661.72</v>
      </c>
      <c r="F6" s="4">
        <f>July!F12</f>
        <v>49282.380000000005</v>
      </c>
      <c r="G6" s="4">
        <f>July!G12</f>
        <v>68105.69</v>
      </c>
      <c r="H6" s="4">
        <f>July!H12</f>
        <v>-76892.04</v>
      </c>
      <c r="I6" s="6">
        <f aca="true" t="shared" si="1" ref="I6:I12">SUM(F6:H6)</f>
        <v>40496.03000000001</v>
      </c>
      <c r="J6" s="4">
        <f aca="true" t="shared" si="2" ref="J6:J12">E6+I6</f>
        <v>118157.75000000001</v>
      </c>
    </row>
    <row r="7" spans="1:10" ht="10.5">
      <c r="A7" s="8" t="s">
        <v>17</v>
      </c>
      <c r="B7" s="8">
        <v>103.5</v>
      </c>
      <c r="C7" s="8">
        <v>0</v>
      </c>
      <c r="D7" s="8">
        <v>0</v>
      </c>
      <c r="E7" s="11">
        <f t="shared" si="0"/>
        <v>103.5</v>
      </c>
      <c r="F7" s="8">
        <v>1031.1</v>
      </c>
      <c r="G7" s="8">
        <v>2084</v>
      </c>
      <c r="I7" s="11">
        <f t="shared" si="1"/>
        <v>3115.1</v>
      </c>
      <c r="J7" s="4">
        <f t="shared" si="2"/>
        <v>3218.6</v>
      </c>
    </row>
    <row r="8" spans="1:10" ht="10.5">
      <c r="A8" s="8" t="s">
        <v>18</v>
      </c>
      <c r="C8" s="8">
        <v>0</v>
      </c>
      <c r="D8" s="8">
        <v>60.08</v>
      </c>
      <c r="E8" s="11">
        <f t="shared" si="0"/>
        <v>60.08</v>
      </c>
      <c r="F8" s="8">
        <v>0</v>
      </c>
      <c r="G8" s="8">
        <v>0</v>
      </c>
      <c r="H8" s="8">
        <v>31.01</v>
      </c>
      <c r="I8" s="11">
        <f t="shared" si="1"/>
        <v>31.01</v>
      </c>
      <c r="J8" s="4">
        <f t="shared" si="2"/>
        <v>91.09</v>
      </c>
    </row>
    <row r="9" spans="1:10" ht="10.5">
      <c r="A9" s="8" t="s">
        <v>0</v>
      </c>
      <c r="B9" s="8">
        <f>SUM(B6:B8)</f>
        <v>124442.45</v>
      </c>
      <c r="C9" s="8">
        <f>SUM(C6:C8)</f>
        <v>-155.67000000000002</v>
      </c>
      <c r="D9" s="8">
        <f>SUM(D6:D8)</f>
        <v>-46461.479999999996</v>
      </c>
      <c r="E9" s="11">
        <f t="shared" si="0"/>
        <v>77825.3</v>
      </c>
      <c r="F9" s="8">
        <f>SUM(F6:F8)</f>
        <v>50313.48</v>
      </c>
      <c r="G9" s="8">
        <f>SUM(G6:G8)</f>
        <v>70189.69</v>
      </c>
      <c r="H9" s="8">
        <f>SUM(H6:H8)</f>
        <v>-76861.03</v>
      </c>
      <c r="I9" s="11">
        <f t="shared" si="1"/>
        <v>43642.140000000014</v>
      </c>
      <c r="J9" s="4">
        <f t="shared" si="2"/>
        <v>121467.44000000002</v>
      </c>
    </row>
    <row r="10" spans="1:10" ht="10.5">
      <c r="A10" s="8" t="s">
        <v>19</v>
      </c>
      <c r="B10" s="8">
        <v>422.92</v>
      </c>
      <c r="D10" s="8">
        <v>13000.74</v>
      </c>
      <c r="E10" s="11">
        <f t="shared" si="0"/>
        <v>13423.66</v>
      </c>
      <c r="F10" s="8">
        <v>0</v>
      </c>
      <c r="G10" s="8">
        <v>140.3</v>
      </c>
      <c r="H10" s="8">
        <v>361.36</v>
      </c>
      <c r="I10" s="11">
        <f t="shared" si="1"/>
        <v>501.66</v>
      </c>
      <c r="J10" s="4">
        <f t="shared" si="2"/>
        <v>13925.32</v>
      </c>
    </row>
    <row r="11" spans="1:10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11">
        <f t="shared" si="1"/>
        <v>1119</v>
      </c>
      <c r="J11" s="4">
        <f t="shared" si="2"/>
        <v>1119</v>
      </c>
    </row>
    <row r="12" spans="1:10" s="4" customFormat="1" ht="10.5">
      <c r="A12" s="4" t="s">
        <v>2</v>
      </c>
      <c r="B12" s="4">
        <f>B9-B10-B11</f>
        <v>124019.53</v>
      </c>
      <c r="C12" s="4">
        <f>C9-C10-C11</f>
        <v>-155.67000000000002</v>
      </c>
      <c r="D12" s="4">
        <f>D9-D10-D11</f>
        <v>-59462.219999999994</v>
      </c>
      <c r="E12" s="6">
        <f t="shared" si="0"/>
        <v>64401.64000000001</v>
      </c>
      <c r="F12" s="4">
        <f>F9-F10-F11</f>
        <v>50313.48</v>
      </c>
      <c r="G12" s="4">
        <f>G9-G10-G11</f>
        <v>70049.39</v>
      </c>
      <c r="H12" s="4">
        <f>H9-H10-H11</f>
        <v>-78341.39</v>
      </c>
      <c r="I12" s="6">
        <f t="shared" si="1"/>
        <v>42021.479999999996</v>
      </c>
      <c r="J12" s="4">
        <f t="shared" si="2"/>
        <v>106423.12</v>
      </c>
    </row>
    <row r="13" ht="10.5">
      <c r="G13" s="10"/>
    </row>
    <row r="14" spans="1:7" ht="10.5">
      <c r="A14" s="8" t="s">
        <v>5</v>
      </c>
      <c r="B14" s="16"/>
      <c r="C14" s="16"/>
      <c r="G14" s="10"/>
    </row>
    <row r="15" spans="1:7" ht="10.5">
      <c r="A15" s="7"/>
      <c r="B15" s="16"/>
      <c r="C15" s="16"/>
      <c r="G15" s="10"/>
    </row>
    <row r="16" spans="1:7" ht="10.5">
      <c r="A16" s="7"/>
      <c r="E16" s="10"/>
      <c r="G16" s="10"/>
    </row>
    <row r="17" spans="2:7" ht="10.5">
      <c r="B17" s="14"/>
      <c r="C17" s="14"/>
      <c r="G17" s="10"/>
    </row>
    <row r="18" ht="10.5">
      <c r="G18" s="10"/>
    </row>
    <row r="20" spans="1:12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25"/>
      <c r="K20" s="25"/>
      <c r="L20" s="25"/>
    </row>
    <row r="22" spans="2:10" ht="10.5"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5" t="s">
        <v>31</v>
      </c>
      <c r="J22" s="13" t="s">
        <v>0</v>
      </c>
    </row>
    <row r="23" spans="6:9" ht="10.5">
      <c r="F23" s="7"/>
      <c r="H23" s="10"/>
      <c r="I23" s="11"/>
    </row>
    <row r="24" spans="1:10" s="4" customFormat="1" ht="10.5">
      <c r="A24" s="4" t="s">
        <v>1</v>
      </c>
      <c r="B24" s="4">
        <f>July!B30</f>
        <v>-204007.22999999998</v>
      </c>
      <c r="C24" s="4">
        <f>July!C30</f>
        <v>3921.88</v>
      </c>
      <c r="D24" s="4">
        <f>July!D30</f>
        <v>9116.08</v>
      </c>
      <c r="E24" s="4">
        <f>July!E30</f>
        <v>46472.28</v>
      </c>
      <c r="F24" s="4">
        <f>July!F30</f>
        <v>130004.01</v>
      </c>
      <c r="G24" s="4">
        <f>July!G30</f>
        <v>28192.88</v>
      </c>
      <c r="H24" s="22">
        <f>July!H30</f>
        <v>43477.14</v>
      </c>
      <c r="I24" s="6">
        <f>July!I30</f>
        <v>50299.950000000004</v>
      </c>
      <c r="J24" s="4">
        <f>SUM(B24:I24)</f>
        <v>107476.99000000002</v>
      </c>
    </row>
    <row r="25" spans="1:10" ht="10.5">
      <c r="A25" s="8" t="s">
        <v>17</v>
      </c>
      <c r="B25" s="8">
        <v>73.52</v>
      </c>
      <c r="C25" s="8">
        <v>0</v>
      </c>
      <c r="D25" s="8">
        <v>175</v>
      </c>
      <c r="E25" s="8">
        <v>90.18</v>
      </c>
      <c r="F25" s="8">
        <f>1824-0.77</f>
        <v>1823.23</v>
      </c>
      <c r="G25" s="8">
        <v>1025</v>
      </c>
      <c r="H25" s="10"/>
      <c r="I25" s="11"/>
      <c r="J25" s="4">
        <f aca="true" t="shared" si="3" ref="J25:J30">SUM(B25:I25)</f>
        <v>3186.93</v>
      </c>
    </row>
    <row r="26" spans="1:10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90.71</v>
      </c>
      <c r="I26" s="11">
        <v>0</v>
      </c>
      <c r="J26" s="4">
        <f t="shared" si="3"/>
        <v>90.71</v>
      </c>
    </row>
    <row r="27" spans="1:10" ht="10.5">
      <c r="A27" s="8" t="s">
        <v>0</v>
      </c>
      <c r="B27" s="8">
        <f aca="true" t="shared" si="4" ref="B27:I27">SUM(B24:B26)</f>
        <v>-203933.71</v>
      </c>
      <c r="C27" s="8">
        <f t="shared" si="4"/>
        <v>3921.88</v>
      </c>
      <c r="D27" s="8">
        <f t="shared" si="4"/>
        <v>9291.08</v>
      </c>
      <c r="E27" s="8">
        <f t="shared" si="4"/>
        <v>46562.46</v>
      </c>
      <c r="F27" s="8">
        <f t="shared" si="4"/>
        <v>131827.24</v>
      </c>
      <c r="G27" s="8">
        <f t="shared" si="4"/>
        <v>29217.88</v>
      </c>
      <c r="H27" s="10">
        <f t="shared" si="4"/>
        <v>43567.85</v>
      </c>
      <c r="I27" s="11">
        <f t="shared" si="4"/>
        <v>50299.950000000004</v>
      </c>
      <c r="J27" s="4">
        <f t="shared" si="3"/>
        <v>110754.62999999998</v>
      </c>
    </row>
    <row r="28" spans="1:10" ht="10.5">
      <c r="A28" s="8" t="s">
        <v>19</v>
      </c>
      <c r="B28" s="8">
        <v>6577.96</v>
      </c>
      <c r="C28" s="8">
        <v>0</v>
      </c>
      <c r="D28" s="8">
        <v>0</v>
      </c>
      <c r="E28" s="8">
        <v>0</v>
      </c>
      <c r="F28" s="8">
        <v>9261.3</v>
      </c>
      <c r="G28" s="8">
        <v>84</v>
      </c>
      <c r="H28" s="10">
        <v>274.16</v>
      </c>
      <c r="I28" s="11"/>
      <c r="J28" s="4">
        <f t="shared" si="3"/>
        <v>16197.419999999998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11">
        <v>0</v>
      </c>
      <c r="J29" s="4">
        <f t="shared" si="3"/>
        <v>2612</v>
      </c>
    </row>
    <row r="30" spans="1:10" s="4" customFormat="1" ht="10.5">
      <c r="A30" s="4" t="s">
        <v>2</v>
      </c>
      <c r="B30" s="4">
        <f aca="true" t="shared" si="5" ref="B30:I30">B27-B28-B29</f>
        <v>-210511.66999999998</v>
      </c>
      <c r="C30" s="4">
        <f t="shared" si="5"/>
        <v>3921.88</v>
      </c>
      <c r="D30" s="4">
        <f t="shared" si="5"/>
        <v>9291.08</v>
      </c>
      <c r="E30" s="4">
        <f t="shared" si="5"/>
        <v>46562.46</v>
      </c>
      <c r="F30" s="4">
        <f t="shared" si="5"/>
        <v>122565.93999999999</v>
      </c>
      <c r="G30" s="4">
        <f t="shared" si="5"/>
        <v>29133.88</v>
      </c>
      <c r="H30" s="22">
        <f t="shared" si="5"/>
        <v>40681.689999999995</v>
      </c>
      <c r="I30" s="6">
        <f t="shared" si="5"/>
        <v>50299.950000000004</v>
      </c>
      <c r="J30" s="4">
        <f t="shared" si="3"/>
        <v>91945.20999999999</v>
      </c>
    </row>
    <row r="32" ht="10.5">
      <c r="A32" s="8" t="s">
        <v>5</v>
      </c>
    </row>
    <row r="36" ht="10.5">
      <c r="H36" s="21"/>
    </row>
  </sheetData>
  <sheetProtection/>
  <mergeCells count="4">
    <mergeCell ref="A20:I20"/>
    <mergeCell ref="A1:I1"/>
    <mergeCell ref="B3:E3"/>
    <mergeCell ref="F3:I3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&amp;CAugust 2013
</oddHeader>
  </headerFooter>
  <ignoredErrors>
    <ignoredError sqref="E9: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101" workbookViewId="0" topLeftCell="A4">
      <selection activeCell="L12" sqref="L12"/>
    </sheetView>
  </sheetViews>
  <sheetFormatPr defaultColWidth="12.7109375" defaultRowHeight="12.75"/>
  <cols>
    <col min="1" max="1" width="20.8515625" style="7" customWidth="1"/>
    <col min="2" max="2" width="11.14062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28125" style="7" bestFit="1" customWidth="1"/>
    <col min="7" max="7" width="9.8515625" style="7" bestFit="1" customWidth="1"/>
    <col min="8" max="8" width="10.8515625" style="7" bestFit="1" customWidth="1"/>
    <col min="9" max="9" width="10.7109375" style="7" bestFit="1" customWidth="1"/>
    <col min="10" max="10" width="12.00390625" style="7" bestFit="1" customWidth="1"/>
    <col min="11" max="13" width="10.7109375" style="7" bestFit="1" customWidth="1"/>
    <col min="14" max="16384" width="12.7109375" style="7" customWidth="1"/>
  </cols>
  <sheetData>
    <row r="1" spans="1:11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27"/>
      <c r="K1" s="27"/>
    </row>
    <row r="2" spans="2:3" ht="10.5">
      <c r="B2" s="1"/>
      <c r="C2" s="1"/>
    </row>
    <row r="3" spans="1:12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Aug!B12</f>
        <v>124019.53</v>
      </c>
      <c r="C6" s="4">
        <f>Aug!C12</f>
        <v>-155.67000000000002</v>
      </c>
      <c r="D6" s="4">
        <f>Aug!D12</f>
        <v>-59462.219999999994</v>
      </c>
      <c r="E6" s="6">
        <f aca="true" t="shared" si="0" ref="E6:E12">SUM(B6:D6)</f>
        <v>64401.64000000001</v>
      </c>
      <c r="F6" s="4">
        <f>Aug!F12</f>
        <v>50313.48</v>
      </c>
      <c r="G6" s="4">
        <f>Aug!G12</f>
        <v>70049.39</v>
      </c>
      <c r="H6" s="4">
        <f>Aug!H12</f>
        <v>-78341.39</v>
      </c>
      <c r="I6" s="6">
        <f aca="true" t="shared" si="1" ref="I6:I12">SUM(F6:H6)</f>
        <v>42021.479999999996</v>
      </c>
      <c r="J6" s="4">
        <f aca="true" t="shared" si="2" ref="J6:J12">E6+I6</f>
        <v>106423.12</v>
      </c>
      <c r="K6" s="5"/>
    </row>
    <row r="7" spans="1:11" ht="10.5">
      <c r="A7" s="8" t="s">
        <v>17</v>
      </c>
      <c r="B7" s="8">
        <v>255.5</v>
      </c>
      <c r="C7" s="8">
        <v>419.05</v>
      </c>
      <c r="D7" s="8">
        <v>0</v>
      </c>
      <c r="E7" s="11">
        <f t="shared" si="0"/>
        <v>674.55</v>
      </c>
      <c r="F7" s="8">
        <f>1069.31-84.25</f>
        <v>985.06</v>
      </c>
      <c r="G7" s="8">
        <v>2620</v>
      </c>
      <c r="H7" s="8"/>
      <c r="I7" s="11">
        <f t="shared" si="1"/>
        <v>3605.06</v>
      </c>
      <c r="J7" s="22">
        <f t="shared" si="2"/>
        <v>4279.61</v>
      </c>
      <c r="K7" s="10"/>
    </row>
    <row r="8" spans="1:11" ht="10.5">
      <c r="A8" s="8" t="s">
        <v>18</v>
      </c>
      <c r="B8" s="8">
        <v>0</v>
      </c>
      <c r="C8" s="8">
        <v>0</v>
      </c>
      <c r="D8" s="8">
        <v>48.27</v>
      </c>
      <c r="E8" s="11">
        <f t="shared" si="0"/>
        <v>48.27</v>
      </c>
      <c r="F8" s="8">
        <v>0</v>
      </c>
      <c r="G8" s="8">
        <v>0</v>
      </c>
      <c r="H8" s="8">
        <v>25.96</v>
      </c>
      <c r="I8" s="11">
        <f t="shared" si="1"/>
        <v>25.96</v>
      </c>
      <c r="J8" s="22">
        <f t="shared" si="2"/>
        <v>74.23</v>
      </c>
      <c r="K8" s="10"/>
    </row>
    <row r="9" spans="1:11" ht="10.5">
      <c r="A9" s="8" t="s">
        <v>0</v>
      </c>
      <c r="B9" s="8">
        <f>SUM(B6:B8)</f>
        <v>124275.03</v>
      </c>
      <c r="C9" s="8">
        <f>SUM(C6:C8)</f>
        <v>263.38</v>
      </c>
      <c r="D9" s="8">
        <f>SUM(D6:D8)</f>
        <v>-59413.95</v>
      </c>
      <c r="E9" s="11">
        <f t="shared" si="0"/>
        <v>65124.46000000001</v>
      </c>
      <c r="F9" s="8">
        <f>SUM(F6:F8)</f>
        <v>51298.54</v>
      </c>
      <c r="G9" s="8">
        <f>SUM(G6:G8)</f>
        <v>72669.39</v>
      </c>
      <c r="H9" s="8">
        <f>SUM(H6:H8)</f>
        <v>-78315.43</v>
      </c>
      <c r="I9" s="11">
        <f t="shared" si="1"/>
        <v>45652.5</v>
      </c>
      <c r="J9" s="22">
        <f t="shared" si="2"/>
        <v>110776.96</v>
      </c>
      <c r="K9" s="10"/>
    </row>
    <row r="10" spans="1:11" ht="10.5">
      <c r="A10" s="8" t="s">
        <v>19</v>
      </c>
      <c r="B10" s="8">
        <v>210</v>
      </c>
      <c r="C10" s="8">
        <v>60</v>
      </c>
      <c r="D10" s="8">
        <f>2859.71+1746+989.9</f>
        <v>5595.61</v>
      </c>
      <c r="E10" s="11">
        <f t="shared" si="0"/>
        <v>5865.61</v>
      </c>
      <c r="F10" s="8">
        <v>-2.02</v>
      </c>
      <c r="G10" s="8">
        <v>354.31</v>
      </c>
      <c r="H10" s="8">
        <v>-147.5</v>
      </c>
      <c r="I10" s="11">
        <f t="shared" si="1"/>
        <v>204.79000000000002</v>
      </c>
      <c r="J10" s="22">
        <f t="shared" si="2"/>
        <v>6070.4</v>
      </c>
      <c r="K10" s="10"/>
    </row>
    <row r="11" spans="1:11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11">
        <f t="shared" si="1"/>
        <v>1119</v>
      </c>
      <c r="J11" s="22">
        <f t="shared" si="2"/>
        <v>1119</v>
      </c>
      <c r="K11" s="10"/>
    </row>
    <row r="12" spans="1:11" s="3" customFormat="1" ht="10.5">
      <c r="A12" s="4" t="s">
        <v>2</v>
      </c>
      <c r="B12" s="4">
        <f>B9-B10-B11</f>
        <v>124065.03</v>
      </c>
      <c r="C12" s="4">
        <f>C9-C10-C11</f>
        <v>203.38</v>
      </c>
      <c r="D12" s="4">
        <f>D9-D10-D11</f>
        <v>-65009.56</v>
      </c>
      <c r="E12" s="6">
        <f t="shared" si="0"/>
        <v>59258.850000000006</v>
      </c>
      <c r="F12" s="4">
        <f>F9-F10-F11</f>
        <v>51300.56</v>
      </c>
      <c r="G12" s="4">
        <f>G9-G10-G11</f>
        <v>72315.08</v>
      </c>
      <c r="H12" s="4">
        <f>H9-H10-H11</f>
        <v>-79286.93</v>
      </c>
      <c r="I12" s="6">
        <f t="shared" si="1"/>
        <v>44328.71000000001</v>
      </c>
      <c r="J12" s="4">
        <f t="shared" si="2"/>
        <v>103587.56000000001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34" t="s">
        <v>31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33"/>
      <c r="J23" s="8"/>
    </row>
    <row r="24" spans="1:10" s="3" customFormat="1" ht="10.5">
      <c r="A24" s="4" t="s">
        <v>1</v>
      </c>
      <c r="B24" s="4">
        <f>Aug!B30</f>
        <v>-210511.66999999998</v>
      </c>
      <c r="C24" s="4">
        <f>Aug!C30</f>
        <v>3921.88</v>
      </c>
      <c r="D24" s="4">
        <f>Aug!D30</f>
        <v>9291.08</v>
      </c>
      <c r="E24" s="4">
        <f>Aug!E30</f>
        <v>46562.46</v>
      </c>
      <c r="F24" s="4">
        <f>Aug!F30</f>
        <v>122565.93999999999</v>
      </c>
      <c r="G24" s="4">
        <f>Aug!G30</f>
        <v>29133.88</v>
      </c>
      <c r="H24" s="22">
        <f>Aug!H30</f>
        <v>40681.689999999995</v>
      </c>
      <c r="I24" s="35">
        <f>Aug!I30</f>
        <v>50299.950000000004</v>
      </c>
      <c r="J24" s="4">
        <f aca="true" t="shared" si="3" ref="J24:J30">SUM(B24:I24)</f>
        <v>91945.20999999999</v>
      </c>
    </row>
    <row r="25" spans="1:10" ht="10.5">
      <c r="A25" s="8" t="s">
        <v>17</v>
      </c>
      <c r="B25" s="8">
        <v>725.29</v>
      </c>
      <c r="C25" s="8">
        <v>379.5</v>
      </c>
      <c r="D25" s="8">
        <v>380</v>
      </c>
      <c r="E25" s="8">
        <v>1533.87</v>
      </c>
      <c r="F25" s="8">
        <v>3022.16</v>
      </c>
      <c r="G25" s="8"/>
      <c r="H25" s="10">
        <v>25</v>
      </c>
      <c r="I25" s="37"/>
      <c r="J25" s="38">
        <f t="shared" si="3"/>
        <v>6065.82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66.51</v>
      </c>
      <c r="I26" s="37">
        <v>0</v>
      </c>
      <c r="J26" s="38">
        <f t="shared" si="3"/>
        <v>66.51</v>
      </c>
      <c r="K26" s="9"/>
    </row>
    <row r="27" spans="1:10" ht="10.5">
      <c r="A27" s="8" t="s">
        <v>0</v>
      </c>
      <c r="B27" s="8">
        <f aca="true" t="shared" si="4" ref="B27:I27">SUM(B24:B26)</f>
        <v>-209786.37999999998</v>
      </c>
      <c r="C27" s="8">
        <f t="shared" si="4"/>
        <v>4301.38</v>
      </c>
      <c r="D27" s="8">
        <f t="shared" si="4"/>
        <v>9671.08</v>
      </c>
      <c r="E27" s="8">
        <f t="shared" si="4"/>
        <v>48096.33</v>
      </c>
      <c r="F27" s="8">
        <f t="shared" si="4"/>
        <v>125588.09999999999</v>
      </c>
      <c r="G27" s="8">
        <f t="shared" si="4"/>
        <v>29133.88</v>
      </c>
      <c r="H27" s="10">
        <f t="shared" si="4"/>
        <v>40773.2</v>
      </c>
      <c r="I27" s="39">
        <f t="shared" si="4"/>
        <v>50299.950000000004</v>
      </c>
      <c r="J27" s="38">
        <f t="shared" si="3"/>
        <v>98077.54000000004</v>
      </c>
    </row>
    <row r="28" spans="1:10" ht="10.5">
      <c r="A28" s="8" t="s">
        <v>19</v>
      </c>
      <c r="B28" s="8">
        <v>5828.44</v>
      </c>
      <c r="C28" s="8"/>
      <c r="D28" s="8"/>
      <c r="E28" s="8"/>
      <c r="F28" s="8">
        <v>159.64</v>
      </c>
      <c r="G28" s="8"/>
      <c r="H28" s="10"/>
      <c r="I28" s="37">
        <v>0</v>
      </c>
      <c r="J28" s="38">
        <f t="shared" si="3"/>
        <v>5988.08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37">
        <v>0</v>
      </c>
      <c r="J29" s="38">
        <f t="shared" si="3"/>
        <v>2612</v>
      </c>
    </row>
    <row r="30" spans="1:10" s="3" customFormat="1" ht="10.5">
      <c r="A30" s="4" t="s">
        <v>2</v>
      </c>
      <c r="B30" s="4">
        <f aca="true" t="shared" si="5" ref="B30:I30">B27-B28-B29</f>
        <v>-215614.81999999998</v>
      </c>
      <c r="C30" s="4">
        <f t="shared" si="5"/>
        <v>4301.38</v>
      </c>
      <c r="D30" s="4">
        <f t="shared" si="5"/>
        <v>9671.08</v>
      </c>
      <c r="E30" s="4">
        <f t="shared" si="5"/>
        <v>48096.33</v>
      </c>
      <c r="F30" s="4">
        <f t="shared" si="5"/>
        <v>125428.45999999999</v>
      </c>
      <c r="G30" s="4">
        <f t="shared" si="5"/>
        <v>29133.88</v>
      </c>
      <c r="H30" s="22">
        <f t="shared" si="5"/>
        <v>38161.2</v>
      </c>
      <c r="I30" s="6">
        <f t="shared" si="5"/>
        <v>50299.950000000004</v>
      </c>
      <c r="J30" s="4">
        <f t="shared" si="3"/>
        <v>89477.46000000002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B3:E3"/>
    <mergeCell ref="F3:I3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Expenses&amp;CSeptember 2013</oddHeader>
  </headerFooter>
  <ignoredErrors>
    <ignoredError sqref="E9:E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H25" sqref="H25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9.8515625" style="7" bestFit="1" customWidth="1"/>
    <col min="8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28125" style="7" bestFit="1" customWidth="1"/>
    <col min="13" max="13" width="10.7109375" style="7" bestFit="1" customWidth="1"/>
    <col min="14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Sept!B12</f>
        <v>124065.03</v>
      </c>
      <c r="C6" s="4">
        <f>Sept!C12</f>
        <v>203.38</v>
      </c>
      <c r="D6" s="4">
        <f>Sept!D12</f>
        <v>-65009.56</v>
      </c>
      <c r="E6" s="6">
        <f aca="true" t="shared" si="0" ref="E6:E12">SUM(B6:D6)</f>
        <v>59258.850000000006</v>
      </c>
      <c r="F6" s="4">
        <f>Sept!F12</f>
        <v>51300.56</v>
      </c>
      <c r="G6" s="4">
        <f>Sept!G12</f>
        <v>72315.08</v>
      </c>
      <c r="H6" s="4">
        <f>Sept!H12</f>
        <v>-79286.93</v>
      </c>
      <c r="I6" s="6">
        <f aca="true" t="shared" si="1" ref="I6:I12">SUM(F6:H6)</f>
        <v>44328.71000000001</v>
      </c>
      <c r="J6" s="22"/>
      <c r="K6" s="4">
        <f aca="true" t="shared" si="2" ref="K6:K12">E6+I6</f>
        <v>103587.56000000001</v>
      </c>
      <c r="L6" s="22"/>
    </row>
    <row r="7" spans="1:12" ht="10.5">
      <c r="A7" s="8" t="s">
        <v>17</v>
      </c>
      <c r="B7" s="8">
        <v>1254</v>
      </c>
      <c r="C7" s="8"/>
      <c r="D7" s="8"/>
      <c r="E7" s="11">
        <f t="shared" si="0"/>
        <v>1254</v>
      </c>
      <c r="F7" s="8">
        <v>1832.54</v>
      </c>
      <c r="G7" s="8">
        <v>3488.06</v>
      </c>
      <c r="H7" s="8">
        <v>0</v>
      </c>
      <c r="I7" s="11">
        <f t="shared" si="1"/>
        <v>5320.6</v>
      </c>
      <c r="J7" s="10"/>
      <c r="K7" s="22">
        <f t="shared" si="2"/>
        <v>6574.6</v>
      </c>
      <c r="L7" s="10"/>
    </row>
    <row r="8" spans="1:12" ht="10.5">
      <c r="A8" s="8" t="s">
        <v>18</v>
      </c>
      <c r="B8" s="8">
        <v>0</v>
      </c>
      <c r="C8" s="8">
        <v>0</v>
      </c>
      <c r="D8" s="8">
        <v>44.16</v>
      </c>
      <c r="E8" s="11">
        <f t="shared" si="0"/>
        <v>44.16</v>
      </c>
      <c r="F8" s="8">
        <v>0</v>
      </c>
      <c r="G8" s="8">
        <v>0</v>
      </c>
      <c r="H8" s="8">
        <v>27.19</v>
      </c>
      <c r="I8" s="6">
        <f t="shared" si="1"/>
        <v>27.19</v>
      </c>
      <c r="J8" s="22"/>
      <c r="K8" s="22">
        <f t="shared" si="2"/>
        <v>71.35</v>
      </c>
      <c r="L8" s="10"/>
    </row>
    <row r="9" spans="1:12" ht="10.5">
      <c r="A9" s="8" t="s">
        <v>0</v>
      </c>
      <c r="B9" s="8">
        <f>SUM(B6:B8)</f>
        <v>125319.03</v>
      </c>
      <c r="C9" s="8">
        <f>SUM(C6:C8)</f>
        <v>203.38</v>
      </c>
      <c r="D9" s="8">
        <f>SUM(D6:D8)</f>
        <v>-64965.399999999994</v>
      </c>
      <c r="E9" s="11">
        <f t="shared" si="0"/>
        <v>60557.01000000001</v>
      </c>
      <c r="F9" s="8">
        <f>SUM(F6:F8)</f>
        <v>53133.1</v>
      </c>
      <c r="G9" s="8">
        <f>SUM(G6:G8)</f>
        <v>75803.14</v>
      </c>
      <c r="H9" s="8">
        <f>SUM(H6:H8)</f>
        <v>-79259.73999999999</v>
      </c>
      <c r="I9" s="11">
        <f t="shared" si="1"/>
        <v>49676.5</v>
      </c>
      <c r="J9" s="10"/>
      <c r="K9" s="22">
        <f t="shared" si="2"/>
        <v>110233.51000000001</v>
      </c>
      <c r="L9" s="10"/>
    </row>
    <row r="10" spans="1:12" ht="10.5">
      <c r="A10" s="8" t="s">
        <v>19</v>
      </c>
      <c r="B10" s="8">
        <v>140</v>
      </c>
      <c r="C10" s="8"/>
      <c r="D10" s="8">
        <v>2981.56</v>
      </c>
      <c r="E10" s="11">
        <f t="shared" si="0"/>
        <v>3121.56</v>
      </c>
      <c r="F10" s="8">
        <v>122.5</v>
      </c>
      <c r="G10" s="8">
        <v>575.81</v>
      </c>
      <c r="H10" s="8">
        <v>3897.91</v>
      </c>
      <c r="I10" s="6">
        <f t="shared" si="1"/>
        <v>4596.219999999999</v>
      </c>
      <c r="J10" s="22"/>
      <c r="K10" s="22">
        <f t="shared" si="2"/>
        <v>7717.779999999999</v>
      </c>
      <c r="L10" s="10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22"/>
      <c r="K11" s="22">
        <f t="shared" si="2"/>
        <v>1119</v>
      </c>
      <c r="L11" s="10"/>
    </row>
    <row r="12" spans="1:12" s="3" customFormat="1" ht="10.5">
      <c r="A12" s="4" t="s">
        <v>2</v>
      </c>
      <c r="B12" s="4">
        <f>B9-B10-B11</f>
        <v>125179.03</v>
      </c>
      <c r="C12" s="4">
        <f>C9-C10-C11</f>
        <v>203.38</v>
      </c>
      <c r="D12" s="4">
        <f>D9-D10-D11</f>
        <v>-67946.95999999999</v>
      </c>
      <c r="E12" s="6">
        <f t="shared" si="0"/>
        <v>57435.45000000001</v>
      </c>
      <c r="F12" s="4">
        <f>F9-F10-F11</f>
        <v>53010.6</v>
      </c>
      <c r="G12" s="4">
        <f>G9-G10-G11</f>
        <v>75227.33</v>
      </c>
      <c r="H12" s="4">
        <f>H9-H10-H11</f>
        <v>-84276.65</v>
      </c>
      <c r="I12" s="6">
        <f t="shared" si="1"/>
        <v>43961.28</v>
      </c>
      <c r="J12" s="22"/>
      <c r="K12" s="4">
        <f t="shared" si="2"/>
        <v>101396.73000000001</v>
      </c>
      <c r="L12" s="22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2" t="s">
        <v>31</v>
      </c>
      <c r="J22" s="2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K23" s="8"/>
    </row>
    <row r="24" spans="1:11" s="3" customFormat="1" ht="10.5">
      <c r="A24" s="4" t="s">
        <v>1</v>
      </c>
      <c r="B24" s="4">
        <f>Sept!B30</f>
        <v>-215614.81999999998</v>
      </c>
      <c r="C24" s="4">
        <f>Sept!C30</f>
        <v>4301.38</v>
      </c>
      <c r="D24" s="4">
        <f>Sept!D30</f>
        <v>9671.08</v>
      </c>
      <c r="E24" s="4">
        <f>Sept!E30</f>
        <v>48096.33</v>
      </c>
      <c r="F24" s="4">
        <f>Sept!F30</f>
        <v>125428.45999999999</v>
      </c>
      <c r="G24" s="4">
        <f>Sept!G30</f>
        <v>29133.88</v>
      </c>
      <c r="H24" s="22">
        <f>Sept!H30</f>
        <v>38161.2</v>
      </c>
      <c r="I24" s="22">
        <f>Sept!I30</f>
        <v>50299.950000000004</v>
      </c>
      <c r="J24" s="6">
        <v>0</v>
      </c>
      <c r="K24" s="4">
        <f aca="true" t="shared" si="3" ref="K24:K30">SUM(B24:J24)</f>
        <v>89477.46000000002</v>
      </c>
    </row>
    <row r="25" spans="1:12" ht="10.5">
      <c r="A25" s="8" t="s">
        <v>17</v>
      </c>
      <c r="B25" s="8">
        <v>345.74</v>
      </c>
      <c r="C25" s="8">
        <v>54.95</v>
      </c>
      <c r="D25" s="8">
        <v>0</v>
      </c>
      <c r="E25" s="8">
        <f>890.41-2.31</f>
        <v>888.1</v>
      </c>
      <c r="F25" s="8">
        <v>4797.72</v>
      </c>
      <c r="G25" s="8">
        <v>1021</v>
      </c>
      <c r="H25" s="10"/>
      <c r="I25" s="44"/>
      <c r="J25" s="37">
        <v>626.94</v>
      </c>
      <c r="K25" s="38">
        <f t="shared" si="3"/>
        <v>7734.450000000001</v>
      </c>
      <c r="L25" s="9"/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59.58</v>
      </c>
      <c r="I26" s="44">
        <v>0</v>
      </c>
      <c r="J26" s="37"/>
      <c r="K26" s="38">
        <f t="shared" si="3"/>
        <v>59.58</v>
      </c>
    </row>
    <row r="27" spans="1:11" ht="10.5">
      <c r="A27" s="8" t="s">
        <v>0</v>
      </c>
      <c r="B27" s="8">
        <f aca="true" t="shared" si="4" ref="B27:J27">SUM(B24:B26)</f>
        <v>-215269.08</v>
      </c>
      <c r="C27" s="8">
        <f t="shared" si="4"/>
        <v>4356.33</v>
      </c>
      <c r="D27" s="8">
        <f t="shared" si="4"/>
        <v>9671.08</v>
      </c>
      <c r="E27" s="8">
        <f t="shared" si="4"/>
        <v>48984.43</v>
      </c>
      <c r="F27" s="8">
        <f t="shared" si="4"/>
        <v>130226.18</v>
      </c>
      <c r="G27" s="8">
        <f t="shared" si="4"/>
        <v>30154.88</v>
      </c>
      <c r="H27" s="10">
        <f t="shared" si="4"/>
        <v>38220.78</v>
      </c>
      <c r="I27" s="10">
        <f t="shared" si="4"/>
        <v>50299.950000000004</v>
      </c>
      <c r="J27" s="10">
        <f t="shared" si="4"/>
        <v>626.94</v>
      </c>
      <c r="K27" s="4">
        <f t="shared" si="3"/>
        <v>97271.48999999999</v>
      </c>
    </row>
    <row r="28" spans="1:11" ht="10.5">
      <c r="A28" s="8" t="s">
        <v>19</v>
      </c>
      <c r="B28" s="8">
        <v>7208.56</v>
      </c>
      <c r="C28" s="8"/>
      <c r="D28" s="8"/>
      <c r="E28" s="8"/>
      <c r="F28" s="8">
        <v>115.74</v>
      </c>
      <c r="G28" s="8"/>
      <c r="H28" s="10"/>
      <c r="I28" s="44"/>
      <c r="J28" s="37"/>
      <c r="K28" s="38">
        <f t="shared" si="3"/>
        <v>7324.3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4">
        <v>0</v>
      </c>
      <c r="J29" s="37"/>
      <c r="K29" s="38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-222477.63999999998</v>
      </c>
      <c r="C30" s="4">
        <f t="shared" si="5"/>
        <v>4356.33</v>
      </c>
      <c r="D30" s="4">
        <f t="shared" si="5"/>
        <v>9671.08</v>
      </c>
      <c r="E30" s="4">
        <f t="shared" si="5"/>
        <v>48984.43</v>
      </c>
      <c r="F30" s="4">
        <f t="shared" si="5"/>
        <v>130110.43999999999</v>
      </c>
      <c r="G30" s="4">
        <f t="shared" si="5"/>
        <v>30154.88</v>
      </c>
      <c r="H30" s="22">
        <f t="shared" si="5"/>
        <v>35608.78</v>
      </c>
      <c r="I30" s="22">
        <f t="shared" si="5"/>
        <v>50299.950000000004</v>
      </c>
      <c r="J30" s="22">
        <f t="shared" si="5"/>
        <v>626.94</v>
      </c>
      <c r="K30" s="4">
        <f t="shared" si="3"/>
        <v>87335.18999999997</v>
      </c>
    </row>
    <row r="32" spans="1:13" ht="10.5">
      <c r="A32" s="8" t="s">
        <v>5</v>
      </c>
      <c r="M32" s="9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B3:E3"/>
    <mergeCell ref="F3:I3"/>
    <mergeCell ref="A20:I20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Expenses&amp;COctober 2013</oddHeader>
  </headerFooter>
  <ignoredErrors>
    <ignoredError sqref="E9:E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D45" sqref="D45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2812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Oct!B12</f>
        <v>125179.03</v>
      </c>
      <c r="C6" s="4">
        <f>Oct!C12</f>
        <v>203.38</v>
      </c>
      <c r="D6" s="4">
        <f>Oct!D12</f>
        <v>-67946.95999999999</v>
      </c>
      <c r="E6" s="6">
        <f aca="true" t="shared" si="0" ref="E6:E12">SUM(B6:D6)</f>
        <v>57435.45000000001</v>
      </c>
      <c r="F6" s="4">
        <f>Oct!F12</f>
        <v>53010.6</v>
      </c>
      <c r="G6" s="4">
        <f>Oct!G12</f>
        <v>75227.33</v>
      </c>
      <c r="H6" s="4">
        <f>Oct!H12</f>
        <v>-84276.65</v>
      </c>
      <c r="I6" s="6">
        <f aca="true" t="shared" si="1" ref="I6:I12">SUM(F6:H6)</f>
        <v>43961.28</v>
      </c>
      <c r="J6" s="22"/>
      <c r="K6" s="4">
        <f aca="true" t="shared" si="2" ref="K6:K12">E6+I6</f>
        <v>101396.73000000001</v>
      </c>
      <c r="L6" s="5"/>
    </row>
    <row r="7" spans="1:12" ht="10.5">
      <c r="A7" s="8" t="s">
        <v>17</v>
      </c>
      <c r="B7" s="8">
        <v>1053.5</v>
      </c>
      <c r="C7" s="8">
        <v>0</v>
      </c>
      <c r="D7" s="8"/>
      <c r="E7" s="11">
        <f t="shared" si="0"/>
        <v>1053.5</v>
      </c>
      <c r="F7" s="8">
        <v>1819.42</v>
      </c>
      <c r="G7" s="8">
        <v>1281</v>
      </c>
      <c r="H7" s="8">
        <v>0</v>
      </c>
      <c r="I7" s="6">
        <f t="shared" si="1"/>
        <v>3100.42</v>
      </c>
      <c r="J7" s="22"/>
      <c r="K7" s="22">
        <f t="shared" si="2"/>
        <v>4153.92</v>
      </c>
      <c r="L7" s="9"/>
    </row>
    <row r="8" spans="1:12" ht="10.5">
      <c r="A8" s="8" t="s">
        <v>18</v>
      </c>
      <c r="B8" s="8">
        <v>54.48</v>
      </c>
      <c r="C8" s="8">
        <v>0</v>
      </c>
      <c r="D8" s="8">
        <v>0</v>
      </c>
      <c r="E8" s="11">
        <f t="shared" si="0"/>
        <v>54.48</v>
      </c>
      <c r="F8" s="8">
        <v>0</v>
      </c>
      <c r="G8" s="8">
        <v>0</v>
      </c>
      <c r="H8" s="8">
        <v>41.72</v>
      </c>
      <c r="I8" s="6">
        <f t="shared" si="1"/>
        <v>41.72</v>
      </c>
      <c r="J8" s="22"/>
      <c r="K8" s="22">
        <f t="shared" si="2"/>
        <v>96.19999999999999</v>
      </c>
      <c r="L8" s="9"/>
    </row>
    <row r="9" spans="1:12" ht="10.5">
      <c r="A9" s="8" t="s">
        <v>0</v>
      </c>
      <c r="B9" s="8">
        <f>SUM(B6:B8)</f>
        <v>126287.01</v>
      </c>
      <c r="C9" s="8">
        <f>SUM(C6:C8)</f>
        <v>203.38</v>
      </c>
      <c r="D9" s="8">
        <f>SUM(D6:D8)</f>
        <v>-67946.95999999999</v>
      </c>
      <c r="E9" s="11">
        <f t="shared" si="0"/>
        <v>58543.43000000001</v>
      </c>
      <c r="F9" s="8">
        <f>SUM(F6:F8)</f>
        <v>54830.02</v>
      </c>
      <c r="G9" s="8">
        <f>SUM(G6:G8)</f>
        <v>76508.33</v>
      </c>
      <c r="H9" s="8">
        <f>SUM(H6:H8)</f>
        <v>-84234.93</v>
      </c>
      <c r="I9" s="11">
        <f t="shared" si="1"/>
        <v>47103.42000000001</v>
      </c>
      <c r="J9" s="10"/>
      <c r="K9" s="22">
        <f t="shared" si="2"/>
        <v>105646.85000000002</v>
      </c>
      <c r="L9" s="9"/>
    </row>
    <row r="10" spans="1:12" ht="10.5">
      <c r="A10" s="8" t="s">
        <v>19</v>
      </c>
      <c r="B10" s="8">
        <v>88.5</v>
      </c>
      <c r="C10" s="8">
        <v>0.62</v>
      </c>
      <c r="D10" s="8">
        <f>2920.66+1957.05</f>
        <v>4877.71</v>
      </c>
      <c r="E10" s="11">
        <f t="shared" si="0"/>
        <v>4966.83</v>
      </c>
      <c r="F10" s="8">
        <v>501.83</v>
      </c>
      <c r="G10" s="8">
        <v>3538.94</v>
      </c>
      <c r="H10" s="8">
        <v>3734.84</v>
      </c>
      <c r="I10" s="6">
        <f t="shared" si="1"/>
        <v>7775.610000000001</v>
      </c>
      <c r="J10" s="22"/>
      <c r="K10" s="22">
        <f t="shared" si="2"/>
        <v>12742.44</v>
      </c>
      <c r="L10" s="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/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126198.51</v>
      </c>
      <c r="C12" s="4">
        <f>C9-C10-C11</f>
        <v>202.76</v>
      </c>
      <c r="D12" s="4">
        <f>D9-D10-D11</f>
        <v>-72824.67</v>
      </c>
      <c r="E12" s="6">
        <f t="shared" si="0"/>
        <v>53576.59999999999</v>
      </c>
      <c r="F12" s="4">
        <f>F9-F10-F11</f>
        <v>54328.189999999995</v>
      </c>
      <c r="G12" s="4">
        <f>G9-G10-G11</f>
        <v>72969.39</v>
      </c>
      <c r="H12" s="4">
        <f>H9-H10-H11</f>
        <v>-89088.76999999999</v>
      </c>
      <c r="I12" s="6">
        <f t="shared" si="1"/>
        <v>38208.81</v>
      </c>
      <c r="J12" s="22"/>
      <c r="K12" s="4">
        <f t="shared" si="2"/>
        <v>91785.40999999999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2.75" customHeight="1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Oct!B30</f>
        <v>-222477.63999999998</v>
      </c>
      <c r="C24" s="4">
        <f>Oct!C30</f>
        <v>4356.33</v>
      </c>
      <c r="D24" s="4">
        <f>Oct!D30</f>
        <v>9671.08</v>
      </c>
      <c r="E24" s="4">
        <f>Oct!E30</f>
        <v>48984.43</v>
      </c>
      <c r="F24" s="4">
        <f>Oct!F30</f>
        <v>130110.43999999999</v>
      </c>
      <c r="G24" s="4">
        <f>Oct!G30</f>
        <v>30154.88</v>
      </c>
      <c r="H24" s="22">
        <f>Oct!H30</f>
        <v>35608.78</v>
      </c>
      <c r="I24" s="22">
        <f>Oct!I30</f>
        <v>50299.950000000004</v>
      </c>
      <c r="J24" s="6">
        <f>Oct!J30</f>
        <v>626.94</v>
      </c>
      <c r="K24" s="4">
        <f>SUM(B24:J24)</f>
        <v>87335.18999999997</v>
      </c>
    </row>
    <row r="25" spans="1:11" ht="10.5">
      <c r="A25" s="8" t="s">
        <v>17</v>
      </c>
      <c r="B25" s="8">
        <v>105</v>
      </c>
      <c r="C25" s="8">
        <v>0</v>
      </c>
      <c r="D25" s="8">
        <v>200</v>
      </c>
      <c r="E25" s="8">
        <v>0.87</v>
      </c>
      <c r="F25" s="8">
        <v>5653.71</v>
      </c>
      <c r="G25" s="8">
        <v>1694.99</v>
      </c>
      <c r="H25" s="10">
        <v>10</v>
      </c>
      <c r="I25" s="44"/>
      <c r="J25" s="37">
        <v>212.47</v>
      </c>
      <c r="K25" s="4">
        <f aca="true" t="shared" si="3" ref="K25:K30">SUM(B25:J25)</f>
        <v>7877.04</v>
      </c>
    </row>
    <row r="26" spans="1:12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84.31</v>
      </c>
      <c r="I26" s="44">
        <v>0</v>
      </c>
      <c r="J26" s="37"/>
      <c r="K26" s="4">
        <f t="shared" si="3"/>
        <v>84.31</v>
      </c>
      <c r="L26" s="9"/>
    </row>
    <row r="27" spans="1:11" ht="10.5">
      <c r="A27" s="8" t="s">
        <v>0</v>
      </c>
      <c r="B27" s="8">
        <f aca="true" t="shared" si="4" ref="B27:J27">SUM(B24:B26)</f>
        <v>-222372.63999999998</v>
      </c>
      <c r="C27" s="8">
        <f t="shared" si="4"/>
        <v>4356.33</v>
      </c>
      <c r="D27" s="8">
        <f t="shared" si="4"/>
        <v>9871.08</v>
      </c>
      <c r="E27" s="8">
        <f t="shared" si="4"/>
        <v>48985.3</v>
      </c>
      <c r="F27" s="8">
        <f t="shared" si="4"/>
        <v>135764.15</v>
      </c>
      <c r="G27" s="8">
        <f t="shared" si="4"/>
        <v>31849.870000000003</v>
      </c>
      <c r="H27" s="10">
        <f t="shared" si="4"/>
        <v>35703.09</v>
      </c>
      <c r="I27" s="36">
        <f t="shared" si="4"/>
        <v>50299.950000000004</v>
      </c>
      <c r="J27" s="39">
        <f t="shared" si="4"/>
        <v>839.4100000000001</v>
      </c>
      <c r="K27" s="4">
        <f t="shared" si="3"/>
        <v>95296.54000000001</v>
      </c>
    </row>
    <row r="28" spans="1:11" ht="10.5">
      <c r="A28" s="8" t="s">
        <v>19</v>
      </c>
      <c r="B28" s="8">
        <v>4518.46</v>
      </c>
      <c r="C28" s="8"/>
      <c r="D28" s="8"/>
      <c r="E28" s="8"/>
      <c r="F28" s="8">
        <f>1104.82+241.38</f>
        <v>1346.1999999999998</v>
      </c>
      <c r="G28" s="8"/>
      <c r="H28" s="10"/>
      <c r="I28" s="44"/>
      <c r="J28" s="37"/>
      <c r="K28" s="4">
        <f t="shared" si="3"/>
        <v>5864.66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4">
        <v>0</v>
      </c>
      <c r="J29" s="37"/>
      <c r="K29" s="4">
        <f t="shared" si="3"/>
        <v>2612</v>
      </c>
    </row>
    <row r="30" spans="1:11" s="3" customFormat="1" ht="10.5">
      <c r="A30" s="4" t="s">
        <v>2</v>
      </c>
      <c r="B30" s="4">
        <f>B27-B28-B29</f>
        <v>-226891.09999999998</v>
      </c>
      <c r="C30" s="4">
        <f aca="true" t="shared" si="5" ref="C30:J30">C27-C28-C29</f>
        <v>4356.33</v>
      </c>
      <c r="D30" s="4">
        <f t="shared" si="5"/>
        <v>9871.08</v>
      </c>
      <c r="E30" s="4">
        <f t="shared" si="5"/>
        <v>48985.3</v>
      </c>
      <c r="F30" s="4">
        <f t="shared" si="5"/>
        <v>134417.94999999998</v>
      </c>
      <c r="G30" s="4">
        <f t="shared" si="5"/>
        <v>31849.870000000003</v>
      </c>
      <c r="H30" s="22">
        <f t="shared" si="5"/>
        <v>33091.09</v>
      </c>
      <c r="I30" s="45">
        <f t="shared" si="5"/>
        <v>50299.950000000004</v>
      </c>
      <c r="J30" s="40">
        <f t="shared" si="5"/>
        <v>839.4100000000001</v>
      </c>
      <c r="K30" s="4">
        <f t="shared" si="3"/>
        <v>86819.87999999998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Expenses&amp;CNovember 2013</oddHeader>
  </headerFooter>
  <ignoredErrors>
    <ignoredError sqref="E9:E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H27" sqref="H2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2812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Nov!B12</f>
        <v>126198.51</v>
      </c>
      <c r="C6" s="4">
        <f>Nov!C12</f>
        <v>202.76</v>
      </c>
      <c r="D6" s="4">
        <f>Nov!D12</f>
        <v>-72824.67</v>
      </c>
      <c r="E6" s="6">
        <f aca="true" t="shared" si="0" ref="E6:E12">SUM(B6:D6)</f>
        <v>53576.59999999999</v>
      </c>
      <c r="F6" s="4">
        <f>Nov!F12</f>
        <v>54328.189999999995</v>
      </c>
      <c r="G6" s="4">
        <f>Nov!G12</f>
        <v>72969.39</v>
      </c>
      <c r="H6" s="4">
        <f>Nov!H12</f>
        <v>-89088.76999999999</v>
      </c>
      <c r="I6" s="6">
        <f aca="true" t="shared" si="1" ref="I6:I12">SUM(F6:H6)</f>
        <v>38208.81</v>
      </c>
      <c r="J6" s="22"/>
      <c r="K6" s="4">
        <f aca="true" t="shared" si="2" ref="K6:K12">E6+I6</f>
        <v>91785.40999999999</v>
      </c>
      <c r="L6" s="5"/>
    </row>
    <row r="7" spans="1:12" ht="10.5">
      <c r="A7" s="8" t="s">
        <v>17</v>
      </c>
      <c r="B7" s="8">
        <v>384.25</v>
      </c>
      <c r="C7" s="8"/>
      <c r="D7" s="8"/>
      <c r="E7" s="11">
        <f t="shared" si="0"/>
        <v>384.25</v>
      </c>
      <c r="F7" s="8">
        <v>1649.14</v>
      </c>
      <c r="G7" s="8">
        <v>2349</v>
      </c>
      <c r="H7" s="8"/>
      <c r="I7" s="6">
        <f t="shared" si="1"/>
        <v>3998.1400000000003</v>
      </c>
      <c r="J7" s="22"/>
      <c r="K7" s="22">
        <f t="shared" si="2"/>
        <v>4382.39</v>
      </c>
      <c r="L7" s="9"/>
    </row>
    <row r="8" spans="1:12" ht="10.5">
      <c r="A8" s="8" t="s">
        <v>18</v>
      </c>
      <c r="B8" s="8">
        <v>43.63</v>
      </c>
      <c r="C8" s="8">
        <v>0</v>
      </c>
      <c r="D8" s="8"/>
      <c r="E8" s="11">
        <f t="shared" si="0"/>
        <v>43.63</v>
      </c>
      <c r="F8" s="8">
        <v>0</v>
      </c>
      <c r="G8" s="8">
        <v>0</v>
      </c>
      <c r="H8" s="8">
        <v>31.85</v>
      </c>
      <c r="I8" s="6">
        <f t="shared" si="1"/>
        <v>31.85</v>
      </c>
      <c r="J8" s="22"/>
      <c r="K8" s="22">
        <f t="shared" si="2"/>
        <v>75.48</v>
      </c>
      <c r="L8" s="9"/>
    </row>
    <row r="9" spans="1:12" ht="10.5">
      <c r="A9" s="8" t="s">
        <v>0</v>
      </c>
      <c r="B9" s="8">
        <f>SUM(B6:B8)</f>
        <v>126626.39</v>
      </c>
      <c r="C9" s="8">
        <f>SUM(C6:C8)</f>
        <v>202.76</v>
      </c>
      <c r="D9" s="8">
        <f>SUM(D6:D8)</f>
        <v>-72824.67</v>
      </c>
      <c r="E9" s="11">
        <f t="shared" si="0"/>
        <v>54004.479999999996</v>
      </c>
      <c r="F9" s="8">
        <f>SUM(F6:F8)</f>
        <v>55977.329999999994</v>
      </c>
      <c r="G9" s="8">
        <f>SUM(G6:G8)</f>
        <v>75318.39</v>
      </c>
      <c r="H9" s="8">
        <f>SUM(H6:H8)</f>
        <v>-89056.91999999998</v>
      </c>
      <c r="I9" s="11">
        <f t="shared" si="1"/>
        <v>42238.80000000002</v>
      </c>
      <c r="J9" s="10"/>
      <c r="K9" s="22">
        <f t="shared" si="2"/>
        <v>96243.28000000001</v>
      </c>
      <c r="L9" s="9"/>
    </row>
    <row r="10" spans="1:12" ht="10.5">
      <c r="A10" s="8" t="s">
        <v>19</v>
      </c>
      <c r="B10" s="8">
        <v>36.5</v>
      </c>
      <c r="C10" s="8"/>
      <c r="D10" s="8">
        <v>2831.73</v>
      </c>
      <c r="E10" s="11">
        <f t="shared" si="0"/>
        <v>2868.23</v>
      </c>
      <c r="F10" s="8"/>
      <c r="G10" s="8">
        <v>114.46</v>
      </c>
      <c r="H10" s="8">
        <v>1085.59</v>
      </c>
      <c r="I10" s="6">
        <f t="shared" si="1"/>
        <v>1200.05</v>
      </c>
      <c r="J10" s="22"/>
      <c r="K10" s="22">
        <f t="shared" si="2"/>
        <v>4068.2799999999997</v>
      </c>
      <c r="L10" s="9"/>
    </row>
    <row r="11" spans="1:12" ht="10.5">
      <c r="A11" s="8" t="s">
        <v>20</v>
      </c>
      <c r="B11" s="8">
        <v>0</v>
      </c>
      <c r="C11" s="8">
        <v>0</v>
      </c>
      <c r="D11" s="8">
        <v>0</v>
      </c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126589.89</v>
      </c>
      <c r="C12" s="4">
        <f>C9-C10-C11</f>
        <v>202.76</v>
      </c>
      <c r="D12" s="4">
        <f>D9-D10-D11</f>
        <v>-75656.4</v>
      </c>
      <c r="E12" s="6">
        <f t="shared" si="0"/>
        <v>51136.25</v>
      </c>
      <c r="F12" s="4">
        <f>F9-F10-F11</f>
        <v>55977.329999999994</v>
      </c>
      <c r="G12" s="4">
        <f>G9-G10-G11</f>
        <v>75203.93</v>
      </c>
      <c r="H12" s="4">
        <f>H9-H10-H11</f>
        <v>-91261.50999999998</v>
      </c>
      <c r="I12" s="6">
        <f t="shared" si="1"/>
        <v>39919.75</v>
      </c>
      <c r="J12" s="22"/>
      <c r="K12" s="4">
        <f t="shared" si="2"/>
        <v>91056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Nov!B30</f>
        <v>-226891.09999999998</v>
      </c>
      <c r="C24" s="4">
        <f>Nov!C30</f>
        <v>4356.33</v>
      </c>
      <c r="D24" s="4">
        <f>Nov!D30</f>
        <v>9871.08</v>
      </c>
      <c r="E24" s="4">
        <f>Nov!E30</f>
        <v>48985.3</v>
      </c>
      <c r="F24" s="4">
        <f>Nov!F30</f>
        <v>134417.94999999998</v>
      </c>
      <c r="G24" s="4">
        <f>Nov!G30</f>
        <v>31849.870000000003</v>
      </c>
      <c r="H24" s="22">
        <f>Nov!H30</f>
        <v>33091.09</v>
      </c>
      <c r="I24" s="45">
        <f>Nov!I30</f>
        <v>50299.950000000004</v>
      </c>
      <c r="J24" s="40">
        <f>Nov!J30</f>
        <v>839.4100000000001</v>
      </c>
      <c r="K24" s="4">
        <f>SUM(B24:J24)</f>
        <v>86819.87999999998</v>
      </c>
    </row>
    <row r="25" spans="1:11" ht="10.5">
      <c r="A25" s="8" t="s">
        <v>17</v>
      </c>
      <c r="B25" s="8">
        <v>465</v>
      </c>
      <c r="C25" s="8">
        <v>0</v>
      </c>
      <c r="D25" s="8">
        <v>75</v>
      </c>
      <c r="E25" s="8">
        <v>273.56</v>
      </c>
      <c r="F25" s="8">
        <v>4164.13</v>
      </c>
      <c r="G25" s="8">
        <v>928.93</v>
      </c>
      <c r="H25" s="10">
        <v>0</v>
      </c>
      <c r="I25" s="44">
        <v>0</v>
      </c>
      <c r="J25" s="37">
        <v>469.38</v>
      </c>
      <c r="K25" s="4">
        <f aca="true" t="shared" si="3" ref="K25:K30">SUM(B25:J25)</f>
        <v>6376.000000000001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69.53</v>
      </c>
      <c r="I26" s="44">
        <v>0</v>
      </c>
      <c r="J26" s="37"/>
      <c r="K26" s="4">
        <f t="shared" si="3"/>
        <v>69.53</v>
      </c>
    </row>
    <row r="27" spans="1:11" ht="10.5">
      <c r="A27" s="8" t="s">
        <v>0</v>
      </c>
      <c r="B27" s="8">
        <f aca="true" t="shared" si="4" ref="B27:J27">SUM(B24:B26)</f>
        <v>-226426.09999999998</v>
      </c>
      <c r="C27" s="8">
        <f t="shared" si="4"/>
        <v>4356.33</v>
      </c>
      <c r="D27" s="8">
        <f t="shared" si="4"/>
        <v>9946.08</v>
      </c>
      <c r="E27" s="8">
        <f t="shared" si="4"/>
        <v>49258.86</v>
      </c>
      <c r="F27" s="8">
        <f t="shared" si="4"/>
        <v>138582.08</v>
      </c>
      <c r="G27" s="8">
        <f t="shared" si="4"/>
        <v>32778.8</v>
      </c>
      <c r="H27" s="10">
        <f t="shared" si="4"/>
        <v>33160.619999999995</v>
      </c>
      <c r="I27" s="36">
        <f t="shared" si="4"/>
        <v>50299.950000000004</v>
      </c>
      <c r="J27" s="39">
        <f t="shared" si="4"/>
        <v>1308.79</v>
      </c>
      <c r="K27" s="4">
        <f t="shared" si="3"/>
        <v>93265.40999999996</v>
      </c>
    </row>
    <row r="28" spans="1:11" ht="10.5">
      <c r="A28" s="8" t="s">
        <v>19</v>
      </c>
      <c r="B28" s="8">
        <f>9750.17+459.99+14.4</f>
        <v>10224.56</v>
      </c>
      <c r="C28" s="8"/>
      <c r="D28" s="8"/>
      <c r="E28" s="8"/>
      <c r="F28" s="8">
        <f>300.39+62.16</f>
        <v>362.54999999999995</v>
      </c>
      <c r="G28" s="8"/>
      <c r="H28" s="10"/>
      <c r="I28" s="44">
        <v>45000</v>
      </c>
      <c r="J28" s="37"/>
      <c r="K28" s="4">
        <f t="shared" si="3"/>
        <v>55587.11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4">
        <v>0</v>
      </c>
      <c r="J29" s="37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-236650.65999999997</v>
      </c>
      <c r="C30" s="4">
        <f t="shared" si="5"/>
        <v>4356.33</v>
      </c>
      <c r="D30" s="4">
        <f t="shared" si="5"/>
        <v>9946.08</v>
      </c>
      <c r="E30" s="4">
        <f t="shared" si="5"/>
        <v>49258.86</v>
      </c>
      <c r="F30" s="4">
        <f t="shared" si="5"/>
        <v>138219.53</v>
      </c>
      <c r="G30" s="4">
        <f t="shared" si="5"/>
        <v>32778.8</v>
      </c>
      <c r="H30" s="22">
        <f t="shared" si="5"/>
        <v>30548.619999999995</v>
      </c>
      <c r="I30" s="45">
        <f t="shared" si="5"/>
        <v>5299.950000000004</v>
      </c>
      <c r="J30" s="40">
        <f t="shared" si="5"/>
        <v>1308.79</v>
      </c>
      <c r="K30" s="4">
        <f t="shared" si="3"/>
        <v>35066.29999999999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Expenses&amp;CDecember 2013</oddHeader>
  </headerFooter>
  <ignoredErrors>
    <ignoredError sqref="E9:E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C4">
      <selection activeCell="K35" sqref="K35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2812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Dec!B12</f>
        <v>126589.89</v>
      </c>
      <c r="C6" s="4">
        <f>Dec!C12</f>
        <v>202.76</v>
      </c>
      <c r="D6" s="4">
        <f>Dec!D12</f>
        <v>-75656.4</v>
      </c>
      <c r="E6" s="6">
        <f aca="true" t="shared" si="0" ref="E6:E12">SUM(B6:D6)</f>
        <v>51136.25</v>
      </c>
      <c r="F6" s="4">
        <f>Dec!F12</f>
        <v>55977.329999999994</v>
      </c>
      <c r="G6" s="4">
        <f>Dec!G12</f>
        <v>75203.93</v>
      </c>
      <c r="H6" s="4">
        <f>Dec!H12</f>
        <v>-91261.50999999998</v>
      </c>
      <c r="I6" s="6">
        <f aca="true" t="shared" si="1" ref="I6:I12">SUM(F6:H6)</f>
        <v>39919.75</v>
      </c>
      <c r="J6" s="22"/>
      <c r="K6" s="4">
        <f aca="true" t="shared" si="2" ref="K6:K12">E6+I6</f>
        <v>91056</v>
      </c>
      <c r="L6" s="5"/>
    </row>
    <row r="7" spans="1:12" ht="10.5">
      <c r="A7" s="8" t="s">
        <v>17</v>
      </c>
      <c r="B7" s="8">
        <v>1023</v>
      </c>
      <c r="C7" s="8">
        <v>0</v>
      </c>
      <c r="D7" s="8">
        <v>10</v>
      </c>
      <c r="E7" s="11">
        <f t="shared" si="0"/>
        <v>1033</v>
      </c>
      <c r="F7" s="8">
        <v>827.04</v>
      </c>
      <c r="G7" s="8">
        <v>985</v>
      </c>
      <c r="H7" s="8"/>
      <c r="I7" s="6">
        <f t="shared" si="1"/>
        <v>1812.04</v>
      </c>
      <c r="J7" s="22"/>
      <c r="K7" s="22">
        <f t="shared" si="2"/>
        <v>2845.04</v>
      </c>
      <c r="L7" s="9"/>
    </row>
    <row r="8" spans="1:12" ht="10.5">
      <c r="A8" s="8" t="s">
        <v>18</v>
      </c>
      <c r="B8" s="8">
        <v>0</v>
      </c>
      <c r="C8" s="8">
        <v>0</v>
      </c>
      <c r="D8" s="8">
        <v>34.71</v>
      </c>
      <c r="E8" s="11">
        <f t="shared" si="0"/>
        <v>34.71</v>
      </c>
      <c r="F8" s="8">
        <v>0</v>
      </c>
      <c r="G8" s="8">
        <v>0</v>
      </c>
      <c r="H8" s="8">
        <v>26.35</v>
      </c>
      <c r="I8" s="6">
        <f t="shared" si="1"/>
        <v>26.35</v>
      </c>
      <c r="J8" s="22"/>
      <c r="K8" s="22">
        <f t="shared" si="2"/>
        <v>61.06</v>
      </c>
      <c r="L8" s="9"/>
    </row>
    <row r="9" spans="1:12" ht="10.5">
      <c r="A9" s="8" t="s">
        <v>0</v>
      </c>
      <c r="B9" s="8">
        <f>SUM(B6:B8)</f>
        <v>127612.89</v>
      </c>
      <c r="C9" s="8">
        <f>SUM(C6:C8)</f>
        <v>202.76</v>
      </c>
      <c r="D9" s="8">
        <f>SUM(D6:D8)</f>
        <v>-75611.68999999999</v>
      </c>
      <c r="E9" s="11">
        <f t="shared" si="0"/>
        <v>52203.96000000001</v>
      </c>
      <c r="F9" s="8">
        <f>SUM(F6:F8)</f>
        <v>56804.369999999995</v>
      </c>
      <c r="G9" s="8">
        <f>SUM(G6:G8)</f>
        <v>76188.93</v>
      </c>
      <c r="H9" s="8">
        <f>SUM(H6:H8)</f>
        <v>-91235.15999999997</v>
      </c>
      <c r="I9" s="11">
        <f t="shared" si="1"/>
        <v>41758.140000000014</v>
      </c>
      <c r="J9" s="10"/>
      <c r="K9" s="22">
        <f t="shared" si="2"/>
        <v>93962.10000000002</v>
      </c>
      <c r="L9" s="9"/>
    </row>
    <row r="10" spans="1:12" ht="10.5">
      <c r="A10" s="8" t="s">
        <v>19</v>
      </c>
      <c r="B10" s="8">
        <v>227</v>
      </c>
      <c r="C10" s="8"/>
      <c r="D10" s="8">
        <v>3996.72</v>
      </c>
      <c r="E10" s="11">
        <f t="shared" si="0"/>
        <v>4223.719999999999</v>
      </c>
      <c r="F10" s="8">
        <v>212.48</v>
      </c>
      <c r="G10" s="8">
        <v>2160.07</v>
      </c>
      <c r="H10" s="8">
        <v>-1447.49</v>
      </c>
      <c r="I10" s="6">
        <f t="shared" si="1"/>
        <v>925.0600000000002</v>
      </c>
      <c r="J10" s="22"/>
      <c r="K10" s="22">
        <f t="shared" si="2"/>
        <v>5148.78</v>
      </c>
      <c r="L10" s="9"/>
    </row>
    <row r="11" spans="1:12" ht="10.5">
      <c r="A11" s="8" t="s">
        <v>20</v>
      </c>
      <c r="B11" s="8">
        <v>0</v>
      </c>
      <c r="C11" s="8">
        <v>0</v>
      </c>
      <c r="D11" s="8"/>
      <c r="E11" s="11">
        <f t="shared" si="0"/>
        <v>0</v>
      </c>
      <c r="F11" s="8">
        <v>0</v>
      </c>
      <c r="G11" s="8">
        <v>0</v>
      </c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127385.89</v>
      </c>
      <c r="C12" s="4">
        <f>C9-C10-C11</f>
        <v>202.76</v>
      </c>
      <c r="D12" s="4">
        <f>D9-D10-D11</f>
        <v>-79608.40999999999</v>
      </c>
      <c r="E12" s="6">
        <f t="shared" si="0"/>
        <v>47980.240000000005</v>
      </c>
      <c r="F12" s="4">
        <f>F9-F10-F11</f>
        <v>56591.88999999999</v>
      </c>
      <c r="G12" s="4">
        <f>G9-G10-G11</f>
        <v>74028.85999999999</v>
      </c>
      <c r="H12" s="4">
        <f>H9-H10-H11</f>
        <v>-90906.66999999997</v>
      </c>
      <c r="I12" s="6">
        <f t="shared" si="1"/>
        <v>39714.08</v>
      </c>
      <c r="J12" s="22"/>
      <c r="K12" s="4">
        <f t="shared" si="2"/>
        <v>87694.32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Dec!B30</f>
        <v>-236650.65999999997</v>
      </c>
      <c r="C24" s="4">
        <f>Dec!C30</f>
        <v>4356.33</v>
      </c>
      <c r="D24" s="4">
        <f>Dec!D30</f>
        <v>9946.08</v>
      </c>
      <c r="E24" s="4">
        <f>Dec!E30</f>
        <v>49258.86</v>
      </c>
      <c r="F24" s="4">
        <f>Dec!F30</f>
        <v>138219.53</v>
      </c>
      <c r="G24" s="4">
        <f>Dec!G30</f>
        <v>32778.8</v>
      </c>
      <c r="H24" s="22">
        <f>Dec!H30</f>
        <v>30548.619999999995</v>
      </c>
      <c r="I24" s="22">
        <f>Dec!I30</f>
        <v>5299.950000000004</v>
      </c>
      <c r="J24" s="6">
        <f>Dec!J30</f>
        <v>1308.79</v>
      </c>
      <c r="K24" s="4">
        <f>SUM(B24:J24)</f>
        <v>35066.29999999999</v>
      </c>
    </row>
    <row r="25" spans="1:11" ht="10.5">
      <c r="A25" s="8" t="s">
        <v>17</v>
      </c>
      <c r="B25" s="8">
        <v>205</v>
      </c>
      <c r="C25" s="8">
        <v>0</v>
      </c>
      <c r="D25" s="8">
        <v>40</v>
      </c>
      <c r="E25" s="8">
        <v>448.45</v>
      </c>
      <c r="F25" s="8">
        <v>2756.52</v>
      </c>
      <c r="G25" s="8">
        <v>400</v>
      </c>
      <c r="H25" s="10"/>
      <c r="I25" s="43">
        <v>0</v>
      </c>
      <c r="J25" s="33">
        <v>670.03</v>
      </c>
      <c r="K25" s="4">
        <f aca="true" t="shared" si="3" ref="K25:K30">SUM(B25:J25)</f>
        <v>4520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43.55</v>
      </c>
      <c r="I26" s="43"/>
      <c r="J26" s="33"/>
      <c r="K26" s="4">
        <f t="shared" si="3"/>
        <v>43.55</v>
      </c>
    </row>
    <row r="27" spans="1:11" ht="10.5">
      <c r="A27" s="8" t="s">
        <v>0</v>
      </c>
      <c r="B27" s="8">
        <f aca="true" t="shared" si="4" ref="B27:J27">SUM(B24:B26)</f>
        <v>-236445.65999999997</v>
      </c>
      <c r="C27" s="8">
        <f t="shared" si="4"/>
        <v>4356.33</v>
      </c>
      <c r="D27" s="8">
        <f t="shared" si="4"/>
        <v>9986.08</v>
      </c>
      <c r="E27" s="8">
        <f t="shared" si="4"/>
        <v>49707.31</v>
      </c>
      <c r="F27" s="8">
        <f t="shared" si="4"/>
        <v>140976.05</v>
      </c>
      <c r="G27" s="8">
        <f t="shared" si="4"/>
        <v>33178.8</v>
      </c>
      <c r="H27" s="10">
        <f t="shared" si="4"/>
        <v>30592.169999999995</v>
      </c>
      <c r="I27" s="10">
        <f t="shared" si="4"/>
        <v>5299.950000000004</v>
      </c>
      <c r="J27" s="11">
        <f t="shared" si="4"/>
        <v>1978.82</v>
      </c>
      <c r="K27" s="4">
        <f t="shared" si="3"/>
        <v>39629.849999999984</v>
      </c>
    </row>
    <row r="28" spans="1:11" ht="10.5">
      <c r="A28" s="8" t="s">
        <v>19</v>
      </c>
      <c r="B28" s="8">
        <v>5060.37</v>
      </c>
      <c r="C28" s="8">
        <v>0</v>
      </c>
      <c r="D28" s="8">
        <v>0</v>
      </c>
      <c r="E28" s="8">
        <v>0</v>
      </c>
      <c r="F28" s="8">
        <v>536.13</v>
      </c>
      <c r="G28" s="8">
        <v>525</v>
      </c>
      <c r="H28" s="10">
        <v>0</v>
      </c>
      <c r="I28" s="43">
        <v>0</v>
      </c>
      <c r="J28" s="33">
        <v>0</v>
      </c>
      <c r="K28" s="4">
        <f t="shared" si="3"/>
        <v>6121.5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3"/>
      <c r="J29" s="33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-241506.02999999997</v>
      </c>
      <c r="C30" s="4">
        <f t="shared" si="5"/>
        <v>4356.33</v>
      </c>
      <c r="D30" s="4">
        <f t="shared" si="5"/>
        <v>9986.08</v>
      </c>
      <c r="E30" s="4">
        <f t="shared" si="5"/>
        <v>49707.31</v>
      </c>
      <c r="F30" s="4">
        <f t="shared" si="5"/>
        <v>140439.91999999998</v>
      </c>
      <c r="G30" s="4">
        <f t="shared" si="5"/>
        <v>32653.800000000003</v>
      </c>
      <c r="H30" s="22">
        <f t="shared" si="5"/>
        <v>27980.169999999995</v>
      </c>
      <c r="I30" s="22">
        <f t="shared" si="5"/>
        <v>5299.950000000004</v>
      </c>
      <c r="J30" s="6">
        <f t="shared" si="5"/>
        <v>1978.82</v>
      </c>
      <c r="K30" s="4">
        <f t="shared" si="3"/>
        <v>30896.349999999988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Expenses&amp;CJanuary 2014</oddHeader>
  </headerFooter>
  <ignoredErrors>
    <ignoredError sqref="E9:E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">
      <selection activeCell="K37" sqref="K3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8" width="10.8515625" style="7" bestFit="1" customWidth="1"/>
    <col min="9" max="9" width="10.7109375" style="7" bestFit="1" customWidth="1"/>
    <col min="10" max="10" width="10.7109375" style="7" customWidth="1"/>
    <col min="11" max="11" width="12.00390625" style="7" bestFit="1" customWidth="1"/>
    <col min="12" max="12" width="11.421875" style="7" bestFit="1" customWidth="1"/>
    <col min="13" max="14" width="10.7109375" style="7" bestFit="1" customWidth="1"/>
    <col min="15" max="16384" width="12.7109375" style="7" customWidth="1"/>
  </cols>
  <sheetData>
    <row r="1" spans="1:12" ht="12.7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19"/>
      <c r="K1" s="27"/>
      <c r="L1" s="27"/>
    </row>
    <row r="2" spans="2:3" ht="10.5">
      <c r="B2" s="1"/>
      <c r="C2" s="1"/>
    </row>
    <row r="3" spans="1:13" ht="12.75" customHeight="1">
      <c r="A3" s="8"/>
      <c r="B3" s="55" t="s">
        <v>23</v>
      </c>
      <c r="C3" s="55"/>
      <c r="D3" s="55"/>
      <c r="E3" s="56"/>
      <c r="F3" s="55" t="s">
        <v>22</v>
      </c>
      <c r="G3" s="55"/>
      <c r="H3" s="55"/>
      <c r="I3" s="55"/>
      <c r="J3" s="24"/>
      <c r="K3" s="26"/>
      <c r="L3" s="26"/>
      <c r="M3" s="24"/>
    </row>
    <row r="4" spans="1:12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32"/>
      <c r="K4" s="13" t="s">
        <v>0</v>
      </c>
      <c r="L4" s="2"/>
    </row>
    <row r="5" spans="1:11" ht="10.5">
      <c r="A5" s="8"/>
      <c r="B5" s="8"/>
      <c r="C5" s="8"/>
      <c r="D5" s="8"/>
      <c r="E5" s="11"/>
      <c r="G5" s="8"/>
      <c r="H5" s="8"/>
      <c r="I5" s="11"/>
      <c r="J5" s="10"/>
      <c r="K5" s="8"/>
    </row>
    <row r="6" spans="1:12" s="3" customFormat="1" ht="10.5">
      <c r="A6" s="4" t="s">
        <v>1</v>
      </c>
      <c r="B6" s="4">
        <f>Jan!B12</f>
        <v>127385.89</v>
      </c>
      <c r="C6" s="4">
        <f>Jan!C12</f>
        <v>202.76</v>
      </c>
      <c r="D6" s="4">
        <f>Jan!D12</f>
        <v>-79608.40999999999</v>
      </c>
      <c r="E6" s="6">
        <f aca="true" t="shared" si="0" ref="E6:E12">SUM(B6:D6)</f>
        <v>47980.240000000005</v>
      </c>
      <c r="F6" s="4">
        <f>Jan!F12</f>
        <v>56591.88999999999</v>
      </c>
      <c r="G6" s="4">
        <f>Jan!G12</f>
        <v>74028.85999999999</v>
      </c>
      <c r="H6" s="4">
        <f>Jan!H12</f>
        <v>-90906.66999999997</v>
      </c>
      <c r="I6" s="6">
        <f aca="true" t="shared" si="1" ref="I6:I12">SUM(F6:H6)</f>
        <v>39714.08</v>
      </c>
      <c r="J6" s="22"/>
      <c r="K6" s="4">
        <f aca="true" t="shared" si="2" ref="K6:K12">E6+I6</f>
        <v>87694.32</v>
      </c>
      <c r="L6" s="5"/>
    </row>
    <row r="7" spans="1:12" ht="10.5">
      <c r="A7" s="8" t="s">
        <v>17</v>
      </c>
      <c r="B7" s="8">
        <v>2170.25</v>
      </c>
      <c r="C7" s="8">
        <v>0</v>
      </c>
      <c r="D7" s="8">
        <v>0</v>
      </c>
      <c r="E7" s="11">
        <f t="shared" si="0"/>
        <v>2170.25</v>
      </c>
      <c r="F7" s="8">
        <v>1555.31</v>
      </c>
      <c r="G7" s="8">
        <v>5526</v>
      </c>
      <c r="H7" s="8"/>
      <c r="I7" s="6">
        <f t="shared" si="1"/>
        <v>7081.3099999999995</v>
      </c>
      <c r="J7" s="22"/>
      <c r="K7" s="22">
        <f t="shared" si="2"/>
        <v>9251.56</v>
      </c>
      <c r="L7" s="9"/>
    </row>
    <row r="8" spans="1:12" ht="10.5">
      <c r="A8" s="8" t="s">
        <v>18</v>
      </c>
      <c r="B8" s="8">
        <v>31.14</v>
      </c>
      <c r="C8" s="8">
        <v>0</v>
      </c>
      <c r="D8" s="8"/>
      <c r="E8" s="11">
        <f t="shared" si="0"/>
        <v>31.14</v>
      </c>
      <c r="F8" s="8">
        <v>0</v>
      </c>
      <c r="G8" s="8">
        <v>0</v>
      </c>
      <c r="H8" s="8">
        <v>24.67</v>
      </c>
      <c r="I8" s="6">
        <f t="shared" si="1"/>
        <v>24.67</v>
      </c>
      <c r="J8" s="22"/>
      <c r="K8" s="22">
        <f t="shared" si="2"/>
        <v>55.81</v>
      </c>
      <c r="L8" s="9"/>
    </row>
    <row r="9" spans="1:12" ht="10.5">
      <c r="A9" s="8" t="s">
        <v>0</v>
      </c>
      <c r="B9" s="8">
        <f>SUM(B6:B8)</f>
        <v>129587.28</v>
      </c>
      <c r="C9" s="8">
        <f>SUM(C6:C8)</f>
        <v>202.76</v>
      </c>
      <c r="D9" s="8">
        <f>SUM(D6:D8)</f>
        <v>-79608.40999999999</v>
      </c>
      <c r="E9" s="11">
        <f t="shared" si="0"/>
        <v>50181.630000000005</v>
      </c>
      <c r="F9" s="8">
        <f>SUM(F6:F8)</f>
        <v>58147.19999999999</v>
      </c>
      <c r="G9" s="8">
        <f>SUM(G6:G8)</f>
        <v>79554.85999999999</v>
      </c>
      <c r="H9" s="8">
        <f>SUM(H6:H8)</f>
        <v>-90881.99999999997</v>
      </c>
      <c r="I9" s="11">
        <f t="shared" si="1"/>
        <v>46820.06</v>
      </c>
      <c r="J9" s="10"/>
      <c r="K9" s="22">
        <f t="shared" si="2"/>
        <v>97001.69</v>
      </c>
      <c r="L9" s="9"/>
    </row>
    <row r="10" spans="1:12" ht="10.5">
      <c r="A10" s="8" t="s">
        <v>19</v>
      </c>
      <c r="B10" s="8">
        <v>457.5</v>
      </c>
      <c r="C10" s="8">
        <v>21.58</v>
      </c>
      <c r="D10" s="8">
        <v>2954.89</v>
      </c>
      <c r="E10" s="11">
        <f t="shared" si="0"/>
        <v>3433.97</v>
      </c>
      <c r="F10" s="8">
        <v>22.19</v>
      </c>
      <c r="G10" s="8">
        <f>1291.4+145.09-22</f>
        <v>1414.49</v>
      </c>
      <c r="H10" s="8">
        <f>1298-20</f>
        <v>1278</v>
      </c>
      <c r="I10" s="6">
        <f t="shared" si="1"/>
        <v>2714.6800000000003</v>
      </c>
      <c r="J10" s="22"/>
      <c r="K10" s="22">
        <f t="shared" si="2"/>
        <v>6148.65</v>
      </c>
      <c r="L10" s="9"/>
    </row>
    <row r="11" spans="1:12" ht="10.5">
      <c r="A11" s="8" t="s">
        <v>20</v>
      </c>
      <c r="B11" s="8"/>
      <c r="C11" s="8">
        <v>0</v>
      </c>
      <c r="D11" s="8">
        <v>0</v>
      </c>
      <c r="E11" s="11">
        <f t="shared" si="0"/>
        <v>0</v>
      </c>
      <c r="F11" s="8">
        <v>0</v>
      </c>
      <c r="G11" s="8"/>
      <c r="H11" s="8">
        <v>1119</v>
      </c>
      <c r="I11" s="6">
        <f t="shared" si="1"/>
        <v>1119</v>
      </c>
      <c r="J11" s="22"/>
      <c r="K11" s="22">
        <f t="shared" si="2"/>
        <v>1119</v>
      </c>
      <c r="L11" s="9"/>
    </row>
    <row r="12" spans="1:12" s="3" customFormat="1" ht="10.5">
      <c r="A12" s="4" t="s">
        <v>2</v>
      </c>
      <c r="B12" s="4">
        <f>B9-B10-B11</f>
        <v>129129.78</v>
      </c>
      <c r="C12" s="4">
        <f>C9-C10-C11</f>
        <v>181.18</v>
      </c>
      <c r="D12" s="4">
        <f>D9-D10-D11</f>
        <v>-82563.29999999999</v>
      </c>
      <c r="E12" s="6">
        <f t="shared" si="0"/>
        <v>46747.66</v>
      </c>
      <c r="F12" s="4">
        <f>F9-F10-F11</f>
        <v>58125.00999999999</v>
      </c>
      <c r="G12" s="4">
        <f>G9-G10-G11</f>
        <v>78140.36999999998</v>
      </c>
      <c r="H12" s="4">
        <f>H9-H10-H11</f>
        <v>-93278.99999999997</v>
      </c>
      <c r="I12" s="6">
        <f t="shared" si="1"/>
        <v>42986.380000000005</v>
      </c>
      <c r="J12" s="22"/>
      <c r="K12" s="4">
        <f t="shared" si="2"/>
        <v>89734.04000000001</v>
      </c>
      <c r="L12" s="5"/>
    </row>
    <row r="13" spans="1:13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  <c r="M13" s="8"/>
    </row>
    <row r="14" spans="1:13" ht="10.5">
      <c r="A14" s="8" t="s">
        <v>5</v>
      </c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  <c r="M14" s="8"/>
    </row>
    <row r="15" spans="2:13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  <c r="M15" s="8"/>
    </row>
    <row r="16" spans="2:13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  <c r="M16" s="8"/>
    </row>
    <row r="17" spans="1:13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  <c r="M17" s="8"/>
    </row>
    <row r="18" spans="1:13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  <c r="M18" s="8"/>
    </row>
    <row r="19" spans="1:13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4" ht="10.5">
      <c r="A20" s="51" t="s">
        <v>10</v>
      </c>
      <c r="B20" s="51"/>
      <c r="C20" s="51"/>
      <c r="D20" s="51"/>
      <c r="E20" s="51"/>
      <c r="F20" s="51"/>
      <c r="G20" s="51"/>
      <c r="H20" s="51"/>
      <c r="I20" s="51"/>
      <c r="J20" s="42"/>
      <c r="K20" s="25"/>
      <c r="L20" s="25"/>
      <c r="M20" s="25"/>
      <c r="N20" s="19"/>
    </row>
    <row r="21" spans="1:13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1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31</v>
      </c>
      <c r="J22" s="18" t="s">
        <v>35</v>
      </c>
      <c r="K22" s="13" t="s">
        <v>0</v>
      </c>
    </row>
    <row r="23" spans="1:11" ht="10.5">
      <c r="A23" s="8"/>
      <c r="B23" s="8"/>
      <c r="C23" s="8"/>
      <c r="D23" s="8"/>
      <c r="E23" s="8"/>
      <c r="G23" s="8"/>
      <c r="H23" s="10"/>
      <c r="I23" s="43"/>
      <c r="J23" s="43"/>
      <c r="K23" s="8"/>
    </row>
    <row r="24" spans="1:11" s="3" customFormat="1" ht="10.5">
      <c r="A24" s="4" t="s">
        <v>1</v>
      </c>
      <c r="B24" s="4">
        <f>Jan!B30</f>
        <v>-241506.02999999997</v>
      </c>
      <c r="C24" s="4">
        <f>Jan!C30</f>
        <v>4356.33</v>
      </c>
      <c r="D24" s="4">
        <f>Jan!D30</f>
        <v>9986.08</v>
      </c>
      <c r="E24" s="4">
        <f>Jan!E30</f>
        <v>49707.31</v>
      </c>
      <c r="F24" s="4">
        <f>Jan!F30</f>
        <v>140439.91999999998</v>
      </c>
      <c r="G24" s="4">
        <f>Jan!G30</f>
        <v>32653.800000000003</v>
      </c>
      <c r="H24" s="22">
        <f>Jan!H30</f>
        <v>27980.169999999995</v>
      </c>
      <c r="I24" s="22">
        <f>Jan!I30</f>
        <v>5299.950000000004</v>
      </c>
      <c r="J24" s="6">
        <f>Jan!J30</f>
        <v>1978.82</v>
      </c>
      <c r="K24" s="4">
        <f>SUM(B24:J24)</f>
        <v>30896.349999999988</v>
      </c>
    </row>
    <row r="25" spans="1:11" ht="10.5">
      <c r="A25" s="8" t="s">
        <v>17</v>
      </c>
      <c r="B25" s="8">
        <v>596.92</v>
      </c>
      <c r="C25" s="8">
        <v>199.5</v>
      </c>
      <c r="D25" s="8">
        <v>250</v>
      </c>
      <c r="E25" s="8">
        <v>753.2</v>
      </c>
      <c r="F25" s="8">
        <v>3835.31</v>
      </c>
      <c r="G25" s="8">
        <v>825</v>
      </c>
      <c r="H25" s="10"/>
      <c r="I25" s="43">
        <v>175</v>
      </c>
      <c r="J25" s="33">
        <v>979.91</v>
      </c>
      <c r="K25" s="4">
        <f aca="true" t="shared" si="3" ref="K25:K30">SUM(B25:J25)</f>
        <v>7614.84</v>
      </c>
    </row>
    <row r="26" spans="1:12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21.63</v>
      </c>
      <c r="I26" s="43"/>
      <c r="J26" s="33"/>
      <c r="K26" s="4">
        <f t="shared" si="3"/>
        <v>21.63</v>
      </c>
      <c r="L26" s="9"/>
    </row>
    <row r="27" spans="1:11" ht="10.5">
      <c r="A27" s="8" t="s">
        <v>0</v>
      </c>
      <c r="B27" s="8">
        <f aca="true" t="shared" si="4" ref="B27:J27">SUM(B24:B26)</f>
        <v>-240909.10999999996</v>
      </c>
      <c r="C27" s="8">
        <f t="shared" si="4"/>
        <v>4555.83</v>
      </c>
      <c r="D27" s="8">
        <f t="shared" si="4"/>
        <v>10236.08</v>
      </c>
      <c r="E27" s="8">
        <f t="shared" si="4"/>
        <v>50460.509999999995</v>
      </c>
      <c r="F27" s="8">
        <f t="shared" si="4"/>
        <v>144275.22999999998</v>
      </c>
      <c r="G27" s="8">
        <f t="shared" si="4"/>
        <v>33478.8</v>
      </c>
      <c r="H27" s="10">
        <f t="shared" si="4"/>
        <v>28001.799999999996</v>
      </c>
      <c r="I27" s="10">
        <f t="shared" si="4"/>
        <v>5474.950000000004</v>
      </c>
      <c r="J27" s="11">
        <f t="shared" si="4"/>
        <v>2958.73</v>
      </c>
      <c r="K27" s="4">
        <f t="shared" si="3"/>
        <v>38532.819999999985</v>
      </c>
    </row>
    <row r="28" spans="1:11" ht="10.5">
      <c r="A28" s="8" t="s">
        <v>19</v>
      </c>
      <c r="B28" s="8">
        <v>8136.36</v>
      </c>
      <c r="C28" s="8"/>
      <c r="D28" s="8"/>
      <c r="E28" s="8"/>
      <c r="F28" s="8">
        <f>227.52+268.41</f>
        <v>495.93000000000006</v>
      </c>
      <c r="G28" s="8"/>
      <c r="H28" s="10">
        <v>912.21</v>
      </c>
      <c r="I28" s="43"/>
      <c r="J28" s="33"/>
      <c r="K28" s="4">
        <f t="shared" si="3"/>
        <v>9544.5</v>
      </c>
    </row>
    <row r="29" spans="1:11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2612</v>
      </c>
      <c r="I29" s="43"/>
      <c r="J29" s="33"/>
      <c r="K29" s="4">
        <f t="shared" si="3"/>
        <v>2612</v>
      </c>
    </row>
    <row r="30" spans="1:11" s="3" customFormat="1" ht="10.5">
      <c r="A30" s="4" t="s">
        <v>2</v>
      </c>
      <c r="B30" s="4">
        <f aca="true" t="shared" si="5" ref="B30:J30">B27-B28-B29</f>
        <v>-249045.46999999994</v>
      </c>
      <c r="C30" s="4">
        <f t="shared" si="5"/>
        <v>4555.83</v>
      </c>
      <c r="D30" s="4">
        <f t="shared" si="5"/>
        <v>10236.08</v>
      </c>
      <c r="E30" s="4">
        <f t="shared" si="5"/>
        <v>50460.509999999995</v>
      </c>
      <c r="F30" s="4">
        <f t="shared" si="5"/>
        <v>143779.3</v>
      </c>
      <c r="G30" s="4">
        <f t="shared" si="5"/>
        <v>33478.8</v>
      </c>
      <c r="H30" s="22">
        <f t="shared" si="5"/>
        <v>24477.589999999997</v>
      </c>
      <c r="I30" s="22">
        <f t="shared" si="5"/>
        <v>5474.950000000004</v>
      </c>
      <c r="J30" s="6">
        <f t="shared" si="5"/>
        <v>2958.73</v>
      </c>
      <c r="K30" s="4">
        <f t="shared" si="3"/>
        <v>26376.320000000003</v>
      </c>
    </row>
    <row r="32" ht="10.5">
      <c r="A32" s="8" t="s">
        <v>5</v>
      </c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Expenses&amp;CMarch 2014
</oddHeader>
  </headerFooter>
  <ignoredErrors>
    <ignoredError sqref="E9: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jenelle</dc:creator>
  <cp:keywords/>
  <dc:description/>
  <cp:lastModifiedBy>Anne-Marie</cp:lastModifiedBy>
  <cp:lastPrinted>2014-09-05T13:11:37Z</cp:lastPrinted>
  <dcterms:created xsi:type="dcterms:W3CDTF">2008-04-22T17:57:35Z</dcterms:created>
  <dcterms:modified xsi:type="dcterms:W3CDTF">2014-09-05T17:58:12Z</dcterms:modified>
  <cp:category/>
  <cp:version/>
  <cp:contentType/>
  <cp:contentStatus/>
</cp:coreProperties>
</file>