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1275" tabRatio="812" activeTab="0"/>
  </bookViews>
  <sheets>
    <sheet name="YTD" sheetId="1" r:id="rId1"/>
    <sheet name="July" sheetId="2" r:id="rId2"/>
    <sheet name="Aug" sheetId="3" r:id="rId3"/>
    <sheet name="Sept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ch" sheetId="10" r:id="rId10"/>
    <sheet name="April" sheetId="11" r:id="rId11"/>
    <sheet name="May" sheetId="12" r:id="rId12"/>
    <sheet name="June" sheetId="13" r:id="rId13"/>
  </sheets>
  <definedNames/>
  <calcPr fullCalcOnLoad="1"/>
</workbook>
</file>

<file path=xl/sharedStrings.xml><?xml version="1.0" encoding="utf-8"?>
<sst xmlns="http://schemas.openxmlformats.org/spreadsheetml/2006/main" count="473" uniqueCount="34">
  <si>
    <t>Total</t>
  </si>
  <si>
    <t>Beginning Balance</t>
  </si>
  <si>
    <t>Ending Balance</t>
  </si>
  <si>
    <t>Aux Subtotal</t>
  </si>
  <si>
    <t>ILL</t>
  </si>
  <si>
    <t>Notes:</t>
  </si>
  <si>
    <t>Spec Coll</t>
  </si>
  <si>
    <t>SP Borrower</t>
  </si>
  <si>
    <t>Room Rental</t>
  </si>
  <si>
    <t>Aux Gen</t>
  </si>
  <si>
    <t>Smathers Auxiliary Revenue and Expense (exclusive of HSCL)</t>
  </si>
  <si>
    <t>YTD Income</t>
  </si>
  <si>
    <t>YTD Interest Income</t>
  </si>
  <si>
    <t>YTD Expenses</t>
  </si>
  <si>
    <t>YTD Overhead Assessment</t>
  </si>
  <si>
    <t>Smathers Auxiliary YTD Revenue and Expense (exclusive of HSCL)</t>
  </si>
  <si>
    <t>Oper Exp</t>
  </si>
  <si>
    <t>Income</t>
  </si>
  <si>
    <t>Interest Income</t>
  </si>
  <si>
    <t>Expenses</t>
  </si>
  <si>
    <t>Overhead Assessment</t>
  </si>
  <si>
    <t>Canon</t>
  </si>
  <si>
    <t>HSC Auxiliary</t>
  </si>
  <si>
    <t>Borland Auxiliary</t>
  </si>
  <si>
    <t>HSCL Auxiliary Revenue and Expense (inclusive of Borland)</t>
  </si>
  <si>
    <t>HSCL Auxiliary YTD Revenue and Expense (inclusive of Borland)</t>
  </si>
  <si>
    <t xml:space="preserve">HSC Auxiliary </t>
  </si>
  <si>
    <t>HSC Subtotal</t>
  </si>
  <si>
    <t>Books Online</t>
  </si>
  <si>
    <t>DLC</t>
  </si>
  <si>
    <t>Smathers Libraries</t>
  </si>
  <si>
    <t>(inclusive of HSC and Borland)</t>
  </si>
  <si>
    <t>Cash Revenue and Expenses</t>
  </si>
  <si>
    <t>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</si>
</sst>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[$-409]h:mm:ss\ AM/PM"/>
    <numFmt numFmtId="172" formatCode="0.00_);[Red]\(0.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40"/>
      <name val="Arial"/>
      <family val="2"/>
    </font>
    <font>
      <b/>
      <sz val="8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B0F0"/>
      <name val="Arial"/>
      <family val="2"/>
    </font>
    <font>
      <b/>
      <sz val="8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2" fillId="0" borderId="0" xfId="0" applyNumberFormat="1" applyFont="1" applyAlignment="1">
      <alignment/>
    </xf>
    <xf numFmtId="44" fontId="2" fillId="0" borderId="10" xfId="44" applyFont="1" applyBorder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Border="1" applyAlignment="1">
      <alignment/>
    </xf>
    <xf numFmtId="44" fontId="1" fillId="0" borderId="10" xfId="44" applyFont="1" applyBorder="1" applyAlignment="1">
      <alignment/>
    </xf>
    <xf numFmtId="44" fontId="2" fillId="0" borderId="11" xfId="44" applyFont="1" applyBorder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Alignment="1">
      <alignment horizontal="left" indent="1"/>
    </xf>
    <xf numFmtId="44" fontId="2" fillId="0" borderId="10" xfId="44" applyFont="1" applyBorder="1" applyAlignment="1">
      <alignment horizontal="center"/>
    </xf>
    <xf numFmtId="44" fontId="1" fillId="0" borderId="0" xfId="44" applyFont="1" applyAlignment="1">
      <alignment horizontal="left" indent="1"/>
    </xf>
    <xf numFmtId="44" fontId="3" fillId="0" borderId="0" xfId="44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1" fillId="0" borderId="0" xfId="44" applyNumberFormat="1" applyFont="1" applyAlignment="1">
      <alignment/>
    </xf>
    <xf numFmtId="44" fontId="1" fillId="0" borderId="0" xfId="44" applyFont="1" applyAlignment="1">
      <alignment horizontal="left"/>
    </xf>
    <xf numFmtId="44" fontId="2" fillId="0" borderId="0" xfId="44" applyFont="1" applyBorder="1" applyAlignment="1">
      <alignment/>
    </xf>
    <xf numFmtId="44" fontId="1" fillId="0" borderId="12" xfId="44" applyFont="1" applyBorder="1" applyAlignment="1">
      <alignment/>
    </xf>
    <xf numFmtId="44" fontId="1" fillId="0" borderId="0" xfId="44" applyFont="1" applyBorder="1" applyAlignment="1">
      <alignment horizontal="center"/>
    </xf>
    <xf numFmtId="44" fontId="3" fillId="0" borderId="0" xfId="44" applyFont="1" applyBorder="1" applyAlignment="1">
      <alignment/>
    </xf>
    <xf numFmtId="44" fontId="1" fillId="0" borderId="0" xfId="44" applyFont="1" applyBorder="1" applyAlignment="1">
      <alignment/>
    </xf>
    <xf numFmtId="0" fontId="3" fillId="0" borderId="0" xfId="0" applyFont="1" applyAlignment="1">
      <alignment/>
    </xf>
    <xf numFmtId="44" fontId="1" fillId="0" borderId="0" xfId="44" applyFont="1" applyAlignment="1">
      <alignment horizontal="center"/>
    </xf>
    <xf numFmtId="44" fontId="2" fillId="0" borderId="13" xfId="44" applyFont="1" applyBorder="1" applyAlignment="1">
      <alignment horizontal="center"/>
    </xf>
    <xf numFmtId="44" fontId="1" fillId="0" borderId="13" xfId="44" applyFont="1" applyBorder="1" applyAlignment="1">
      <alignment/>
    </xf>
    <xf numFmtId="44" fontId="2" fillId="0" borderId="13" xfId="44" applyFont="1" applyBorder="1" applyAlignment="1">
      <alignment/>
    </xf>
    <xf numFmtId="44" fontId="2" fillId="0" borderId="0" xfId="44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4" fontId="2" fillId="0" borderId="10" xfId="0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44" fontId="1" fillId="0" borderId="10" xfId="0" applyNumberFormat="1" applyFont="1" applyBorder="1" applyAlignment="1">
      <alignment/>
    </xf>
    <xf numFmtId="44" fontId="2" fillId="0" borderId="0" xfId="44" applyNumberFormat="1" applyFont="1" applyAlignment="1">
      <alignment/>
    </xf>
    <xf numFmtId="44" fontId="1" fillId="0" borderId="10" xfId="44" applyNumberFormat="1" applyFont="1" applyBorder="1" applyAlignment="1">
      <alignment/>
    </xf>
    <xf numFmtId="170" fontId="1" fillId="0" borderId="0" xfId="44" applyNumberFormat="1" applyFont="1" applyAlignment="1">
      <alignment horizontal="center"/>
    </xf>
    <xf numFmtId="0" fontId="1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2" fillId="0" borderId="0" xfId="44" applyNumberFormat="1" applyFont="1" applyBorder="1" applyAlignment="1">
      <alignment/>
    </xf>
    <xf numFmtId="0" fontId="44" fillId="0" borderId="0" xfId="0" applyFont="1" applyAlignment="1">
      <alignment/>
    </xf>
    <xf numFmtId="44" fontId="45" fillId="0" borderId="0" xfId="0" applyNumberFormat="1" applyFont="1" applyAlignment="1">
      <alignment/>
    </xf>
    <xf numFmtId="44" fontId="44" fillId="0" borderId="0" xfId="0" applyNumberFormat="1" applyFont="1" applyAlignment="1">
      <alignment/>
    </xf>
    <xf numFmtId="44" fontId="44" fillId="0" borderId="0" xfId="44" applyFont="1" applyAlignment="1">
      <alignment/>
    </xf>
    <xf numFmtId="8" fontId="1" fillId="0" borderId="0" xfId="0" applyNumberFormat="1" applyFont="1" applyAlignment="1">
      <alignment/>
    </xf>
    <xf numFmtId="44" fontId="3" fillId="0" borderId="0" xfId="44" applyFont="1" applyBorder="1" applyAlignment="1">
      <alignment horizontal="center"/>
    </xf>
    <xf numFmtId="170" fontId="1" fillId="0" borderId="0" xfId="44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3" fillId="0" borderId="0" xfId="44" applyFont="1" applyAlignment="1">
      <alignment horizontal="center"/>
    </xf>
    <xf numFmtId="44" fontId="1" fillId="0" borderId="12" xfId="44" applyFont="1" applyBorder="1" applyAlignment="1">
      <alignment horizontal="center"/>
    </xf>
    <xf numFmtId="44" fontId="1" fillId="0" borderId="14" xfId="44" applyFont="1" applyBorder="1" applyAlignment="1">
      <alignment horizontal="center"/>
    </xf>
    <xf numFmtId="44" fontId="1" fillId="0" borderId="15" xfId="44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0" xfId="46"/>
    <cellStyle name="Currency 10 2" xfId="47"/>
    <cellStyle name="Currency 2" xfId="48"/>
    <cellStyle name="Currency 3" xfId="49"/>
    <cellStyle name="Currency 3 2" xfId="50"/>
    <cellStyle name="Currency 3 3" xfId="51"/>
    <cellStyle name="Currency 3 4" xfId="52"/>
    <cellStyle name="Currency 3 5" xfId="53"/>
    <cellStyle name="Currency 3 6" xfId="54"/>
    <cellStyle name="Currency 3 7" xfId="55"/>
    <cellStyle name="Currency 4" xfId="56"/>
    <cellStyle name="Currency 4 2" xfId="57"/>
    <cellStyle name="Currency 5" xfId="58"/>
    <cellStyle name="Currency 5 2" xfId="59"/>
    <cellStyle name="Currency 6" xfId="60"/>
    <cellStyle name="Currency 7" xfId="61"/>
    <cellStyle name="Currency 8" xfId="62"/>
    <cellStyle name="Currency 9" xfId="63"/>
    <cellStyle name="Currency 9 2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 2 2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3" xfId="84"/>
    <cellStyle name="Normal 4" xfId="85"/>
    <cellStyle name="Normal 4 2" xfId="86"/>
    <cellStyle name="Normal 5" xfId="87"/>
    <cellStyle name="Normal 5 2" xfId="88"/>
    <cellStyle name="Normal 6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selection activeCell="A5" sqref="A5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7109375" style="8" customWidth="1"/>
    <col min="5" max="5" width="12.140625" style="8" bestFit="1" customWidth="1"/>
    <col min="6" max="6" width="12.57421875" style="8" bestFit="1" customWidth="1"/>
    <col min="7" max="7" width="11.28125" style="8" bestFit="1" customWidth="1"/>
    <col min="8" max="8" width="12.00390625" style="8" bestFit="1" customWidth="1"/>
    <col min="9" max="9" width="10.421875" style="8" bestFit="1" customWidth="1"/>
    <col min="10" max="10" width="10.7109375" style="8" bestFit="1" customWidth="1"/>
    <col min="11" max="11" width="11.8515625" style="8" bestFit="1" customWidth="1"/>
    <col min="12" max="13" width="11.28125" style="8" bestFit="1" customWidth="1"/>
    <col min="14" max="14" width="10.7109375" style="8" bestFit="1" customWidth="1"/>
    <col min="15" max="16384" width="9.140625" style="8" customWidth="1"/>
  </cols>
  <sheetData>
    <row r="1" spans="1:10" ht="12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.75" customHeight="1">
      <c r="A4" s="50">
        <v>42185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12.75" customHeight="1">
      <c r="A5" s="40"/>
      <c r="B5" s="40"/>
      <c r="C5" s="40"/>
      <c r="D5" s="40"/>
      <c r="E5" s="40"/>
      <c r="F5" s="40"/>
      <c r="G5" s="40"/>
      <c r="H5" s="40"/>
      <c r="I5" s="40"/>
      <c r="J5" s="40"/>
    </row>
    <row r="6" spans="1:10" ht="12.75" customHeight="1">
      <c r="A6" s="40"/>
      <c r="B6" s="40"/>
      <c r="C6" s="40"/>
      <c r="D6" s="40"/>
      <c r="E6" s="40"/>
      <c r="F6" s="40"/>
      <c r="G6" s="40"/>
      <c r="H6" s="40"/>
      <c r="I6" s="40"/>
      <c r="J6" s="40"/>
    </row>
    <row r="8" spans="1:17" ht="12.75" customHeight="1">
      <c r="A8" s="52" t="s">
        <v>25</v>
      </c>
      <c r="B8" s="52"/>
      <c r="C8" s="52"/>
      <c r="D8" s="52"/>
      <c r="E8" s="52"/>
      <c r="F8" s="52"/>
      <c r="G8" s="52"/>
      <c r="H8" s="52"/>
      <c r="I8" s="52"/>
      <c r="J8" s="52"/>
      <c r="K8" s="17"/>
      <c r="L8" s="17"/>
      <c r="M8" s="17"/>
      <c r="N8" s="17"/>
      <c r="O8" s="17"/>
      <c r="P8" s="17"/>
      <c r="Q8" s="17"/>
    </row>
    <row r="9" spans="2:4" ht="10.5">
      <c r="B9" s="4"/>
      <c r="C9" s="4"/>
      <c r="D9" s="4"/>
    </row>
    <row r="10" spans="2:13" ht="12.75" customHeight="1">
      <c r="B10" s="53" t="s">
        <v>23</v>
      </c>
      <c r="C10" s="53"/>
      <c r="D10" s="53"/>
      <c r="E10" s="54"/>
      <c r="F10" s="55" t="s">
        <v>26</v>
      </c>
      <c r="G10" s="53"/>
      <c r="H10" s="53"/>
      <c r="I10" s="53"/>
      <c r="J10" s="23"/>
      <c r="K10" s="26"/>
      <c r="L10" s="26"/>
      <c r="M10" s="24"/>
    </row>
    <row r="11" spans="2:10" ht="10.5">
      <c r="B11" s="13" t="s">
        <v>4</v>
      </c>
      <c r="C11" s="13" t="s">
        <v>21</v>
      </c>
      <c r="D11" s="13" t="s">
        <v>16</v>
      </c>
      <c r="E11" s="15" t="s">
        <v>3</v>
      </c>
      <c r="F11" s="18" t="s">
        <v>21</v>
      </c>
      <c r="G11" s="13" t="s">
        <v>4</v>
      </c>
      <c r="H11" s="13" t="s">
        <v>16</v>
      </c>
      <c r="I11" s="12" t="s">
        <v>27</v>
      </c>
      <c r="J11" s="13" t="s">
        <v>0</v>
      </c>
    </row>
    <row r="12" spans="5:9" ht="10.5">
      <c r="E12" s="11"/>
      <c r="F12" s="7"/>
      <c r="I12" s="11"/>
    </row>
    <row r="13" spans="1:10" s="4" customFormat="1" ht="10.5">
      <c r="A13" s="4" t="s">
        <v>1</v>
      </c>
      <c r="B13" s="4">
        <f>July!B6</f>
        <v>132516.74</v>
      </c>
      <c r="C13" s="4">
        <f>July!C6</f>
        <v>172.92</v>
      </c>
      <c r="D13" s="4">
        <f>July!D6</f>
        <v>-88183.65</v>
      </c>
      <c r="E13" s="6">
        <f aca="true" t="shared" si="0" ref="E13:E19">SUM(B13:D13)</f>
        <v>44506.01000000001</v>
      </c>
      <c r="F13" s="4">
        <f>July!F6</f>
        <v>63288.17</v>
      </c>
      <c r="G13" s="4">
        <f>July!G6</f>
        <v>90330.2</v>
      </c>
      <c r="H13" s="8">
        <f>July!H6</f>
        <v>-108955.15</v>
      </c>
      <c r="I13" s="6">
        <v>40496.03</v>
      </c>
      <c r="J13" s="4">
        <f aca="true" t="shared" si="1" ref="J13:J19">E13+I13</f>
        <v>85002.04000000001</v>
      </c>
    </row>
    <row r="14" spans="1:10" ht="10.5">
      <c r="A14" s="21" t="s">
        <v>11</v>
      </c>
      <c r="B14" s="8">
        <f>July!B7+Aug!B7+Sept!B7+Oct!B7+Nov!B7+Dec!B7+Jan!B7+Feb!B7+March!B7+April!B7+May!B7+June!B7</f>
        <v>10046.94</v>
      </c>
      <c r="C14" s="8">
        <f>July!C7+Aug!C7+Sept!C7+Oct!C7+Nov!C7+Dec!C7+Jan!C7+Feb!C7+March!C7+April!C7+May!C7+June!C7</f>
        <v>501.96000000000004</v>
      </c>
      <c r="D14" s="8">
        <f>July!D7+Aug!D7+Sept!D7+Oct!D7+Nov!D7+Dec!D7+Jan!D7+Feb!D7+March!D7+April!D7+May!D7+June!D7</f>
        <v>0</v>
      </c>
      <c r="E14" s="6">
        <f t="shared" si="0"/>
        <v>10548.900000000001</v>
      </c>
      <c r="F14" s="8">
        <f>July!F7+Aug!F7+Sept!F7+Oct!F7+Nov!F7+Dec!F7+Jan!F7+Feb!F7+March!F7+April!F7+May!F7+June!F7</f>
        <v>13880.380000000001</v>
      </c>
      <c r="G14" s="8">
        <f>July!G7+Aug!G7+Sept!G7+Oct!G7+Nov!G7+Dec!G7+Jan!G7+Feb!G7+March!G7+April!G7+May!G7+June!G7</f>
        <v>45874.7</v>
      </c>
      <c r="H14" s="8">
        <f>July!H7+Aug!H7+Sept!H7+Oct!H7+Nov!H7+Dec!H7+Jan!H7+Feb!H7+March!H7+April!H7+May!H7+June!H7</f>
        <v>66.92</v>
      </c>
      <c r="I14" s="11">
        <f aca="true" t="shared" si="2" ref="I14:I19">SUM(F14:H14)</f>
        <v>59822</v>
      </c>
      <c r="J14" s="4">
        <f t="shared" si="1"/>
        <v>70370.9</v>
      </c>
    </row>
    <row r="15" spans="1:10" ht="10.5">
      <c r="A15" s="8" t="s">
        <v>12</v>
      </c>
      <c r="B15" s="8">
        <f>July!B8+Aug!B8+Sept!B8+Oct!B8+Nov!B8+Dec!B8+Jan!B8+Feb!B8+March!B8+April!B8+May!B8+June!B8</f>
        <v>0</v>
      </c>
      <c r="C15" s="8">
        <f>July!C8+Aug!C8+Sept!C8+Oct!C8+Nov!C8+Dec!C8+Jan!C8+Feb!C8+March!C8+April!C8+May!C8+June!C8</f>
        <v>0</v>
      </c>
      <c r="D15" s="8">
        <f>July!D8+Aug!D8+Sept!D8+Oct!D8+Nov!D8+Dec!D8+Jan!D8+Feb!D8+March!D8+April!D8+May!D8+June!D8</f>
        <v>54.13</v>
      </c>
      <c r="E15" s="6">
        <f t="shared" si="0"/>
        <v>54.13</v>
      </c>
      <c r="F15" s="8">
        <f>July!F8+Aug!F8+Sept!F8+Oct!F8+Nov!F8+Dec!F8+Jan!F8+Feb!F8+March!F8+April!F8+May!F8+June!F8</f>
        <v>0</v>
      </c>
      <c r="G15" s="8">
        <f>July!G8+Aug!G8+Sept!G8+Oct!G8+Nov!G8+Dec!G8+Jan!G8+Feb!G8+March!G8+April!G8+May!G8+June!G8</f>
        <v>0</v>
      </c>
      <c r="H15" s="8">
        <f>July!H8+Aug!H8+Sept!H8+Oct!H8+Nov!H8+Dec!H8+Jan!H8+Feb!H8+March!H8+April!H8+May!H8+June!H8</f>
        <v>47</v>
      </c>
      <c r="I15" s="11">
        <f t="shared" si="2"/>
        <v>47</v>
      </c>
      <c r="J15" s="4">
        <f t="shared" si="1"/>
        <v>101.13</v>
      </c>
    </row>
    <row r="16" spans="1:10" ht="10.5">
      <c r="A16" s="8" t="s">
        <v>0</v>
      </c>
      <c r="B16" s="8">
        <f>B13+B14+B15</f>
        <v>142563.68</v>
      </c>
      <c r="C16" s="8">
        <f>C13+C14+C15</f>
        <v>674.88</v>
      </c>
      <c r="D16" s="8">
        <f>D13+D14+D15</f>
        <v>-88129.51999999999</v>
      </c>
      <c r="E16" s="6">
        <f t="shared" si="0"/>
        <v>55109.04000000001</v>
      </c>
      <c r="F16" s="8">
        <f>F13+F14+F15</f>
        <v>77168.55</v>
      </c>
      <c r="G16" s="8">
        <f>G13+G14+G15</f>
        <v>136204.9</v>
      </c>
      <c r="H16" s="8">
        <f>H13+H14+H15</f>
        <v>-108841.23</v>
      </c>
      <c r="I16" s="11">
        <f t="shared" si="2"/>
        <v>104532.22000000002</v>
      </c>
      <c r="J16" s="4">
        <f t="shared" si="1"/>
        <v>159641.26</v>
      </c>
    </row>
    <row r="17" spans="1:10" ht="10.5">
      <c r="A17" s="8" t="s">
        <v>13</v>
      </c>
      <c r="B17" s="8">
        <f>July!B10+Aug!B10+Sept!B10+Oct!B10+Nov!B10+Dec!B10+Jan!B10+Feb!B10+March!B10+April!B10+May!B10+June!B10</f>
        <v>1405.45</v>
      </c>
      <c r="C17" s="8">
        <f>July!C10+Aug!C10+Sept!C10+Oct!C10+Nov!C10+Dec!C10+Jan!C10+Feb!C10+March!C10+April!C10+May!C10+June!C10</f>
        <v>28.78</v>
      </c>
      <c r="D17" s="8">
        <f>July!D10+Aug!D10+Sept!D10+Oct!D10+Nov!D10+Dec!D10+Jan!D10+Feb!D10+March!D10+April!D10+May!D10+June!D10</f>
        <v>43516.96000000001</v>
      </c>
      <c r="E17" s="6">
        <f t="shared" si="0"/>
        <v>44951.19000000001</v>
      </c>
      <c r="F17" s="8">
        <f>July!F10+Aug!F10+Sept!F10+Oct!F10+Nov!F10+Dec!F10+Jan!F10+Feb!F10+March!F10+April!F10+May!F10+June!F10</f>
        <v>1173.0600000000002</v>
      </c>
      <c r="G17" s="8">
        <f>July!G10+Aug!G10+Sept!G10+Oct!G10+Nov!G10+Dec!G10+Jan!G10+Feb!G10+March!G10+April!G10+May!G10+June!G10</f>
        <v>17962.76</v>
      </c>
      <c r="H17" s="8">
        <f>July!H10+Aug!H10+Sept!H10+Oct!H10+Nov!H10+Dec!H10+Jan!H10+Feb!H10+March!H10+April!H10+May!H10+June!H10</f>
        <v>23484.850000000002</v>
      </c>
      <c r="I17" s="11">
        <f t="shared" si="2"/>
        <v>42620.67</v>
      </c>
      <c r="J17" s="4">
        <f t="shared" si="1"/>
        <v>87571.86000000002</v>
      </c>
    </row>
    <row r="18" spans="1:10" ht="10.5">
      <c r="A18" s="8" t="s">
        <v>14</v>
      </c>
      <c r="B18" s="8">
        <f>July!B11+Aug!B11+Sept!B11+Oct!B11+Nov!B11+Dec!B11+Jan!B11+Feb!B11+March!B11+April!B11+May!B11+June!B11</f>
        <v>0</v>
      </c>
      <c r="C18" s="8">
        <f>July!C11+Aug!C11+Sept!C11+Oct!C11+Nov!C11+Dec!C11+Jan!C11+Feb!C11+March!C11+April!C11+May!C11+June!C11</f>
        <v>0</v>
      </c>
      <c r="D18" s="8">
        <f>July!D11+Aug!D11+Sept!D11+Oct!D11+Nov!D11+Dec!D11+Jan!D11+Feb!D11+March!D11+April!D11+May!D11+June!D11</f>
        <v>7446</v>
      </c>
      <c r="E18" s="6">
        <f t="shared" si="0"/>
        <v>7446</v>
      </c>
      <c r="F18" s="8">
        <f>July!F11+Aug!F11+Sept!F11+Oct!F11+Nov!F11+Dec!F11+Jan!F11+Feb!F11+March!F11+April!F11+May!F11+June!F11</f>
        <v>0</v>
      </c>
      <c r="G18" s="8">
        <f>July!G11+Aug!G11+Sept!G11+Oct!G11+Nov!G11+Dec!G11+Jan!G11+Feb!G11+March!G11+April!G11+May!G11+June!G11</f>
        <v>0</v>
      </c>
      <c r="H18" s="8">
        <f>July!H11+Aug!H11+Sept!H11+Oct!H11+Nov!H11+Dec!H11+Jan!H11+Feb!H11+March!H11+April!H11+May!H11+June!H11</f>
        <v>6280</v>
      </c>
      <c r="I18" s="11">
        <f t="shared" si="2"/>
        <v>6280</v>
      </c>
      <c r="J18" s="4">
        <f t="shared" si="1"/>
        <v>13726</v>
      </c>
    </row>
    <row r="19" spans="1:10" s="4" customFormat="1" ht="10.5">
      <c r="A19" s="4" t="s">
        <v>2</v>
      </c>
      <c r="B19" s="4">
        <f aca="true" t="shared" si="3" ref="B19:H19">B16-B17-B18</f>
        <v>141158.22999999998</v>
      </c>
      <c r="C19" s="4">
        <f>C16-C17-C18</f>
        <v>646.1</v>
      </c>
      <c r="D19" s="4">
        <f>D16-D17-D18</f>
        <v>-139092.47999999998</v>
      </c>
      <c r="E19" s="6">
        <f t="shared" si="0"/>
        <v>2711.850000000006</v>
      </c>
      <c r="F19" s="4">
        <f t="shared" si="3"/>
        <v>75995.49</v>
      </c>
      <c r="G19" s="4">
        <f t="shared" si="3"/>
        <v>118242.14</v>
      </c>
      <c r="H19" s="4">
        <f t="shared" si="3"/>
        <v>-138606.08</v>
      </c>
      <c r="I19" s="6">
        <f t="shared" si="2"/>
        <v>55631.55000000002</v>
      </c>
      <c r="J19" s="4">
        <f t="shared" si="1"/>
        <v>58343.40000000002</v>
      </c>
    </row>
    <row r="20" ht="10.5">
      <c r="H20" s="10"/>
    </row>
    <row r="21" spans="2:8" ht="10.5">
      <c r="B21" s="16"/>
      <c r="C21" s="16"/>
      <c r="D21" s="16"/>
      <c r="H21" s="10"/>
    </row>
    <row r="22" spans="1:8" ht="10.5">
      <c r="A22" s="7"/>
      <c r="B22" s="16"/>
      <c r="C22" s="16"/>
      <c r="D22" s="16"/>
      <c r="H22" s="10"/>
    </row>
    <row r="24" spans="2:8" ht="10.5">
      <c r="B24" s="14"/>
      <c r="C24" s="14"/>
      <c r="D24" s="14"/>
      <c r="H24" s="10"/>
    </row>
    <row r="25" ht="10.5">
      <c r="H25" s="10"/>
    </row>
    <row r="27" spans="1:13" ht="12.75" customHeight="1">
      <c r="A27" s="49" t="s">
        <v>15</v>
      </c>
      <c r="B27" s="49"/>
      <c r="C27" s="49"/>
      <c r="D27" s="49"/>
      <c r="E27" s="49"/>
      <c r="F27" s="49"/>
      <c r="G27" s="49"/>
      <c r="H27" s="49"/>
      <c r="I27" s="49"/>
      <c r="J27" s="49"/>
      <c r="K27" s="25"/>
      <c r="L27" s="25"/>
      <c r="M27" s="25"/>
    </row>
    <row r="29" spans="2:10" ht="10.5">
      <c r="B29" s="13" t="s">
        <v>4</v>
      </c>
      <c r="C29" s="13" t="s">
        <v>6</v>
      </c>
      <c r="D29" s="13" t="s">
        <v>7</v>
      </c>
      <c r="E29" s="13" t="s">
        <v>28</v>
      </c>
      <c r="F29" s="2" t="s">
        <v>21</v>
      </c>
      <c r="G29" s="13" t="s">
        <v>8</v>
      </c>
      <c r="H29" s="13" t="s">
        <v>9</v>
      </c>
      <c r="I29" s="13" t="s">
        <v>29</v>
      </c>
      <c r="J29" s="13" t="s">
        <v>0</v>
      </c>
    </row>
    <row r="30" ht="10.5">
      <c r="F30" s="7"/>
    </row>
    <row r="31" spans="1:10" s="4" customFormat="1" ht="10.5">
      <c r="A31" s="4" t="s">
        <v>1</v>
      </c>
      <c r="B31" s="4">
        <f>July!B24</f>
        <v>-257513.97</v>
      </c>
      <c r="C31" s="4">
        <f>July!C24</f>
        <v>4848.29</v>
      </c>
      <c r="D31" s="4">
        <f>July!D24</f>
        <v>11097.66</v>
      </c>
      <c r="E31" s="4">
        <f>July!E24</f>
        <v>52107.2</v>
      </c>
      <c r="F31" s="4">
        <f>July!F24</f>
        <v>155838.13</v>
      </c>
      <c r="G31" s="4">
        <f>July!G24</f>
        <v>39656.8</v>
      </c>
      <c r="H31" s="4">
        <f>July!H24</f>
        <v>-8646.56</v>
      </c>
      <c r="I31" s="4">
        <f>July!I24</f>
        <v>5474.95</v>
      </c>
      <c r="J31" s="4">
        <f aca="true" t="shared" si="4" ref="J31:J37">SUM(B31:I31)</f>
        <v>2862.500000000001</v>
      </c>
    </row>
    <row r="32" spans="1:10" ht="10.5">
      <c r="A32" s="8" t="s">
        <v>11</v>
      </c>
      <c r="B32" s="8">
        <f>July!B25+Aug!B25+Sept!B25+Oct!B25+Nov!B25+Dec!B25+Jan!B25+Feb!B25+March!B25+April!B25+May!B25+June!B25</f>
        <v>2721.24</v>
      </c>
      <c r="C32" s="8">
        <f>July!C25+Aug!C25+Sept!C25+Oct!C25+Nov!C25+Dec!C25+Jan!C25+Feb!C25+March!C25+April!C25+May!C25+June!C25</f>
        <v>1816.87</v>
      </c>
      <c r="D32" s="8">
        <f>July!D25+Aug!D25+Sept!D25+Oct!D25+Nov!D25+Dec!D25+Jan!D25+Feb!D25+March!D25+April!D25+May!D25+June!D25</f>
        <v>2050</v>
      </c>
      <c r="E32" s="8">
        <f>July!E25+Aug!E25+Sept!E25+Oct!E25+Nov!E25+Dec!E25+Jan!E25+Feb!E25+March!E25+April!E25+May!E25+June!E25</f>
        <v>4653.79</v>
      </c>
      <c r="F32" s="8">
        <f>July!F25+Aug!F25+Sept!F25+Oct!F25+Nov!F25+Dec!F25+Jan!F25+Feb!F25+March!F25+April!F25+May!F25+June!F25</f>
        <v>31532.500000000004</v>
      </c>
      <c r="G32" s="8">
        <f>July!G25+Aug!G25+Sept!G25+Oct!G25+Nov!G25+Dec!G25+Jan!G25+Feb!G25+March!G25+April!G25+May!G25+June!G25</f>
        <v>12220.44</v>
      </c>
      <c r="H32" s="8">
        <f>July!H25+Aug!H25+Sept!H25+Oct!H25+Nov!H25+Dec!H25+Jan!H25+Feb!H25+March!H25+April!H25+May!H25+June!H25</f>
        <v>29228.8</v>
      </c>
      <c r="I32" s="8">
        <f>July!I25+Aug!I25+Sept!I25+Oct!I25+Nov!I25+Dec!I25+Jan!I25+Feb!I25+March!I25+April!I25+May!I25+June!I25</f>
        <v>2000</v>
      </c>
      <c r="J32" s="4">
        <f t="shared" si="4"/>
        <v>86223.64</v>
      </c>
    </row>
    <row r="33" spans="1:10" ht="10.5">
      <c r="A33" s="8" t="s">
        <v>12</v>
      </c>
      <c r="B33" s="8">
        <f>July!B26+Aug!B26+Sept!B26+Oct!B26+Nov!B26+Dec!B26+Jan!B26+Feb!B26+March!B26+April!B26+May!B26+June!B26</f>
        <v>0</v>
      </c>
      <c r="C33" s="8">
        <f>July!C26+Aug!C26+Sept!C26+Oct!C26+Nov!C26+Dec!C26+Jan!C26+Feb!C26+March!C26+April!C26+May!C26+June!C26</f>
        <v>0</v>
      </c>
      <c r="D33" s="8">
        <f>July!D26+Aug!D26+Sept!D26+Oct!D26+Nov!D26+Dec!D26+Jan!D26+Feb!D26+March!D26+April!D26+May!D26+June!D26</f>
        <v>0</v>
      </c>
      <c r="E33" s="8">
        <f>July!E26+Aug!E26+Sept!E26+Oct!E26+Nov!E26+Dec!E26+Jan!E26+Feb!E26+March!E26+April!E26+May!E26+June!E26</f>
        <v>0</v>
      </c>
      <c r="F33" s="8">
        <f>July!F26+Aug!F26+Sept!F26+Oct!F26+Nov!F26+Dec!F26+Jan!F26+Feb!F26+March!F26+April!F26+May!F26+June!F26</f>
        <v>0</v>
      </c>
      <c r="G33" s="8">
        <f>July!G26+Aug!G26+Sept!G26+Oct!G26+Nov!G26+Dec!G26+Jan!G26+Feb!G26+March!G26+April!G26+May!G26+June!G26</f>
        <v>0</v>
      </c>
      <c r="H33" s="8">
        <f>July!H26+Aug!H26+Sept!H26+Oct!H26+Nov!H26+Dec!H26+Jan!H26+Feb!H26+March!H26+April!H26+May!H26+June!H26</f>
        <v>9.34</v>
      </c>
      <c r="I33" s="8">
        <f>July!I26+Aug!I26+Sept!I26+Oct!I26+Nov!I26+Dec!I26+Jan!I26+Feb!I26+March!I26+April!I26+May!I26+June!I26</f>
        <v>0</v>
      </c>
      <c r="J33" s="4">
        <f t="shared" si="4"/>
        <v>9.34</v>
      </c>
    </row>
    <row r="34" spans="1:10" ht="10.5">
      <c r="A34" s="8" t="s">
        <v>0</v>
      </c>
      <c r="B34" s="8">
        <f>B31+B32+B33</f>
        <v>-254792.73</v>
      </c>
      <c r="C34" s="8">
        <f aca="true" t="shared" si="5" ref="C34:I34">C31+C32+C33</f>
        <v>6665.16</v>
      </c>
      <c r="D34" s="8">
        <f t="shared" si="5"/>
        <v>13147.66</v>
      </c>
      <c r="E34" s="8">
        <f t="shared" si="5"/>
        <v>56760.99</v>
      </c>
      <c r="F34" s="8">
        <f t="shared" si="5"/>
        <v>187370.63</v>
      </c>
      <c r="G34" s="8">
        <f t="shared" si="5"/>
        <v>51877.240000000005</v>
      </c>
      <c r="H34" s="8">
        <f t="shared" si="5"/>
        <v>20591.579999999998</v>
      </c>
      <c r="I34" s="8">
        <f t="shared" si="5"/>
        <v>7474.95</v>
      </c>
      <c r="J34" s="4">
        <f t="shared" si="4"/>
        <v>89095.48</v>
      </c>
    </row>
    <row r="35" spans="1:10" ht="10.5">
      <c r="A35" s="8" t="s">
        <v>13</v>
      </c>
      <c r="B35" s="8">
        <f>July!B28+Aug!B28+Sept!B28+Oct!B28+Nov!B28+Dec!B28+Jan!B28+Feb!B28+March!B28+April!B28+May!B28+June!B28</f>
        <v>18669.59</v>
      </c>
      <c r="C35" s="8">
        <f>July!C28+Aug!C28+Sept!C28+Oct!C28+Nov!C28+Dec!C28+Jan!C28+Feb!C28+March!C28+April!C28+May!C28+June!C28</f>
        <v>0</v>
      </c>
      <c r="D35" s="8">
        <f>July!D28+Aug!D28+Sept!D28+Oct!D28+Nov!D28+Dec!D28+Jan!D28+Feb!D28+March!D28+April!D28+May!D28+June!D28</f>
        <v>0</v>
      </c>
      <c r="E35" s="8">
        <f>July!E28+Aug!E28+Sept!E28+Oct!E28+Nov!E28+Dec!E28+Jan!E28+Feb!E28+March!E28+April!E28+May!E28+June!E28</f>
        <v>0</v>
      </c>
      <c r="F35" s="8">
        <f>July!F28+Aug!F28+Sept!F28+Oct!F28+Nov!F28+Dec!F28+Jan!F28+Feb!F28+March!F28+April!F28+May!F28+June!F28</f>
        <v>3511.25</v>
      </c>
      <c r="G35" s="8">
        <f>July!G28+Aug!G28+Sept!G28+Oct!G28+Nov!G28+Dec!G28+Jan!G28+Feb!G28+March!G28+April!G28+May!G28+June!G28</f>
        <v>25.98</v>
      </c>
      <c r="H35" s="8">
        <f>July!H28+Aug!H28+Sept!H28+Oct!H28+Nov!H28+Dec!H28+Jan!H28+Feb!H28+March!H28+April!H28+May!H28+June!H28</f>
        <v>11473.04</v>
      </c>
      <c r="I35" s="8">
        <f>July!I28+Aug!I28+Sept!I28+Oct!I28+Nov!I28+Dec!I28+Jan!I28+Feb!I28+March!I28+April!I28+May!I28+June!I28</f>
        <v>9532.64</v>
      </c>
      <c r="J35" s="4">
        <f t="shared" si="4"/>
        <v>43212.5</v>
      </c>
    </row>
    <row r="36" spans="1:10" ht="10.5">
      <c r="A36" s="8" t="s">
        <v>14</v>
      </c>
      <c r="B36" s="8">
        <f>July!B29+Aug!B29+Sept!B29+Oct!B29+Nov!B29+Dec!B29+Jan!B29+Feb!B29+March!B29+April!B29+May!B29+June!B29</f>
        <v>0</v>
      </c>
      <c r="C36" s="8">
        <f>July!C29+Aug!C29+Sept!C29+Oct!C29+Nov!C29+Dec!C29+Jan!C29+Feb!C29+March!C29+April!C29+May!C29+June!C29</f>
        <v>0</v>
      </c>
      <c r="D36" s="8">
        <f>July!D29+Aug!D29+Sept!D29+Oct!D29+Nov!D29+Dec!D29+Jan!D29+Feb!D29+March!D29+April!D29+May!D29+June!D29</f>
        <v>0</v>
      </c>
      <c r="E36" s="8">
        <f>July!E29+Aug!E29+Sept!E29+Oct!E29+Nov!E29+Dec!E29+Jan!E29+Feb!E29+March!E29+April!E29+May!E29+June!E29</f>
        <v>0</v>
      </c>
      <c r="F36" s="8">
        <f>July!F29+Aug!F29+Sept!F29+Oct!F29+Nov!F29+Dec!F29+Jan!F29+Feb!F29+March!F29+April!F29+May!F29+June!F29</f>
        <v>0</v>
      </c>
      <c r="G36" s="8">
        <f>July!G29+Aug!G29+Sept!G29+Oct!G29+Nov!G29+Dec!G29+Jan!G29+Feb!G29+March!G29+April!G29+May!G29+June!G29</f>
        <v>0</v>
      </c>
      <c r="H36" s="8">
        <f>July!H29+Aug!H29+Sept!H29+Oct!H29+Nov!H29+Dec!H29+Jan!H29+Feb!H29+March!H29+April!H29+May!H29+June!H29</f>
        <v>28852</v>
      </c>
      <c r="I36" s="8">
        <f>July!I29+Aug!I29+Sept!I29+Oct!I29+Nov!I29+Dec!I29+Jan!I29+Feb!I29+March!I29+April!I29+May!I29+June!I29</f>
        <v>0</v>
      </c>
      <c r="J36" s="4">
        <f t="shared" si="4"/>
        <v>28852</v>
      </c>
    </row>
    <row r="37" spans="1:10" s="4" customFormat="1" ht="10.5">
      <c r="A37" s="4" t="s">
        <v>2</v>
      </c>
      <c r="B37" s="4">
        <f aca="true" t="shared" si="6" ref="B37:I37">B34-B35-B36</f>
        <v>-273462.32</v>
      </c>
      <c r="C37" s="4">
        <f t="shared" si="6"/>
        <v>6665.16</v>
      </c>
      <c r="D37" s="4">
        <f>D34-D35-D36</f>
        <v>13147.66</v>
      </c>
      <c r="E37" s="4">
        <f t="shared" si="6"/>
        <v>56760.99</v>
      </c>
      <c r="F37" s="4">
        <f t="shared" si="6"/>
        <v>183859.38</v>
      </c>
      <c r="G37" s="4">
        <f t="shared" si="6"/>
        <v>51851.26</v>
      </c>
      <c r="H37" s="4">
        <f t="shared" si="6"/>
        <v>-19733.460000000003</v>
      </c>
      <c r="I37" s="4">
        <f t="shared" si="6"/>
        <v>-2057.6899999999996</v>
      </c>
      <c r="J37" s="4">
        <f t="shared" si="4"/>
        <v>17030.979999999967</v>
      </c>
    </row>
    <row r="42" spans="6:8" ht="10.5">
      <c r="F42" s="10"/>
      <c r="H42" s="10"/>
    </row>
  </sheetData>
  <sheetProtection/>
  <mergeCells count="8">
    <mergeCell ref="A27:J27"/>
    <mergeCell ref="A4:J4"/>
    <mergeCell ref="A3:J3"/>
    <mergeCell ref="A2:J2"/>
    <mergeCell ref="A1:J1"/>
    <mergeCell ref="A8:J8"/>
    <mergeCell ref="B10:E10"/>
    <mergeCell ref="F10:I10"/>
  </mergeCells>
  <printOptions/>
  <pageMargins left="0.5" right="0.5" top="1" bottom="1" header="0.5" footer="0.5"/>
  <pageSetup fitToHeight="1" fitToWidth="1" horizontalDpi="600" verticalDpi="600" orientation="landscape" r:id="rId1"/>
  <headerFooter alignWithMargins="0">
    <oddHeader>&amp;L
&amp;C
</oddHeader>
  </headerFooter>
  <ignoredErrors>
    <ignoredError sqref="E19 E1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B40" sqref="B40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2.7109375" style="7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Feb!B12</f>
        <v>137718.47999999998</v>
      </c>
      <c r="C6" s="4">
        <f>Feb!C12</f>
        <v>566.4200000000001</v>
      </c>
      <c r="D6" s="4">
        <f>Feb!D12</f>
        <v>-134752.87</v>
      </c>
      <c r="E6" s="6">
        <f aca="true" t="shared" si="0" ref="E6:E12">SUM(B6:D6)</f>
        <v>3532.029999999999</v>
      </c>
      <c r="F6" s="4">
        <f>Feb!F12</f>
        <v>72257.77999999998</v>
      </c>
      <c r="G6" s="4">
        <f>Feb!G12</f>
        <v>116069.12</v>
      </c>
      <c r="H6" s="4">
        <f>Feb!H12</f>
        <v>-120214.85</v>
      </c>
      <c r="I6" s="6">
        <f aca="true" t="shared" si="1" ref="I6:I12">SUM(F6:H6)</f>
        <v>68112.04999999996</v>
      </c>
      <c r="J6" s="4">
        <f aca="true" t="shared" si="2" ref="J6:J12">E6+I6</f>
        <v>71644.07999999996</v>
      </c>
      <c r="K6" s="5"/>
    </row>
    <row r="7" spans="1:11" ht="10.5">
      <c r="A7" s="8" t="s">
        <v>17</v>
      </c>
      <c r="B7" s="8">
        <v>1172</v>
      </c>
      <c r="C7" s="8"/>
      <c r="D7" s="8"/>
      <c r="E7" s="11">
        <f t="shared" si="0"/>
        <v>1172</v>
      </c>
      <c r="F7" s="8">
        <v>1502.47</v>
      </c>
      <c r="G7" s="8">
        <v>3227</v>
      </c>
      <c r="H7" s="8"/>
      <c r="I7" s="6">
        <f t="shared" si="1"/>
        <v>4729.47</v>
      </c>
      <c r="J7" s="22">
        <f t="shared" si="2"/>
        <v>5901.47</v>
      </c>
      <c r="K7" s="9"/>
    </row>
    <row r="8" spans="1:11" ht="10.5">
      <c r="A8" s="8" t="s">
        <v>18</v>
      </c>
      <c r="B8" s="8">
        <v>0</v>
      </c>
      <c r="C8" s="8">
        <v>0</v>
      </c>
      <c r="D8" s="8"/>
      <c r="E8" s="11">
        <f t="shared" si="0"/>
        <v>0</v>
      </c>
      <c r="F8" s="8">
        <v>0</v>
      </c>
      <c r="G8" s="8"/>
      <c r="H8" s="8"/>
      <c r="I8" s="6">
        <f t="shared" si="1"/>
        <v>0</v>
      </c>
      <c r="J8" s="22">
        <f t="shared" si="2"/>
        <v>0</v>
      </c>
      <c r="K8" s="9"/>
    </row>
    <row r="9" spans="1:11" ht="10.5">
      <c r="A9" s="8" t="s">
        <v>0</v>
      </c>
      <c r="B9" s="8">
        <f>SUM(B6:B8)</f>
        <v>138890.47999999998</v>
      </c>
      <c r="C9" s="8">
        <f>SUM(C6:C8)</f>
        <v>566.4200000000001</v>
      </c>
      <c r="D9" s="8">
        <f>SUM(D6:D8)</f>
        <v>-134752.87</v>
      </c>
      <c r="E9" s="11">
        <f t="shared" si="0"/>
        <v>4704.029999999999</v>
      </c>
      <c r="F9" s="8">
        <f>SUM(F6:F8)</f>
        <v>73760.24999999999</v>
      </c>
      <c r="G9" s="8">
        <f>SUM(G6:G8)</f>
        <v>119296.12</v>
      </c>
      <c r="H9" s="8">
        <f>SUM(H6:H8)</f>
        <v>-120214.85</v>
      </c>
      <c r="I9" s="11">
        <f t="shared" si="1"/>
        <v>72841.51999999999</v>
      </c>
      <c r="J9" s="22">
        <f t="shared" si="2"/>
        <v>77545.54999999999</v>
      </c>
      <c r="K9" s="9"/>
    </row>
    <row r="10" spans="1:11" ht="10.5">
      <c r="A10" s="8" t="s">
        <v>19</v>
      </c>
      <c r="B10" s="8">
        <f>215</f>
        <v>215</v>
      </c>
      <c r="C10" s="8"/>
      <c r="D10" s="8">
        <f>1162.9</f>
        <v>1162.9</v>
      </c>
      <c r="E10" s="11">
        <f t="shared" si="0"/>
        <v>1377.9</v>
      </c>
      <c r="F10" s="8">
        <f>372.35</f>
        <v>372.35</v>
      </c>
      <c r="G10" s="8">
        <f>75+9393.74+113.28</f>
        <v>9582.02</v>
      </c>
      <c r="H10" s="8">
        <f>345</f>
        <v>345</v>
      </c>
      <c r="I10" s="6">
        <f t="shared" si="1"/>
        <v>10299.37</v>
      </c>
      <c r="J10" s="22">
        <f t="shared" si="2"/>
        <v>11677.27</v>
      </c>
      <c r="K10" s="9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>
        <v>0</v>
      </c>
      <c r="G11" s="8">
        <v>0</v>
      </c>
      <c r="H11" s="8">
        <v>524</v>
      </c>
      <c r="I11" s="6">
        <f t="shared" si="1"/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138675.47999999998</v>
      </c>
      <c r="C12" s="4">
        <f>C9-C10-C11</f>
        <v>566.4200000000001</v>
      </c>
      <c r="D12" s="4">
        <f>D9-D10-D11</f>
        <v>-136535.77</v>
      </c>
      <c r="E12" s="6">
        <f t="shared" si="0"/>
        <v>2706.1300000000047</v>
      </c>
      <c r="F12" s="4">
        <f>F9-F10-F11</f>
        <v>73387.89999999998</v>
      </c>
      <c r="G12" s="4">
        <f>G9-G10-G11</f>
        <v>109714.09999999999</v>
      </c>
      <c r="H12" s="4">
        <f>H9-H10-H11</f>
        <v>-121083.85</v>
      </c>
      <c r="I12" s="6">
        <f t="shared" si="1"/>
        <v>62018.149999999965</v>
      </c>
      <c r="J12" s="4">
        <f t="shared" si="2"/>
        <v>64724.27999999997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Feb!B30</f>
        <v>-265592.43000000005</v>
      </c>
      <c r="C24" s="4">
        <f>Feb!C30</f>
        <v>5391.09</v>
      </c>
      <c r="D24" s="4">
        <f>Feb!D30</f>
        <v>12402.66</v>
      </c>
      <c r="E24" s="4">
        <f>Feb!E30</f>
        <v>55400.42999999999</v>
      </c>
      <c r="F24" s="4">
        <f>Feb!F30</f>
        <v>174715.42000000004</v>
      </c>
      <c r="G24" s="4">
        <f>Feb!G30</f>
        <v>46690.26</v>
      </c>
      <c r="H24" s="22">
        <f>Feb!H30</f>
        <v>-15708.649999999998</v>
      </c>
      <c r="I24" s="22">
        <f>Feb!I30</f>
        <v>-2057.6899999999996</v>
      </c>
      <c r="J24" s="4">
        <f aca="true" t="shared" si="3" ref="J24:J29">SUM(B24:I24)</f>
        <v>11241.08999999999</v>
      </c>
    </row>
    <row r="25" spans="1:10" ht="10.5">
      <c r="A25" s="8" t="s">
        <v>17</v>
      </c>
      <c r="B25" s="8">
        <v>174</v>
      </c>
      <c r="C25" s="8">
        <v>253</v>
      </c>
      <c r="D25" s="8">
        <v>405</v>
      </c>
      <c r="E25" s="8">
        <v>301.69</v>
      </c>
      <c r="F25" s="8">
        <v>3396.7</v>
      </c>
      <c r="G25" s="8">
        <v>1661</v>
      </c>
      <c r="H25" s="10">
        <f>4228.8+5000</f>
        <v>9228.8</v>
      </c>
      <c r="I25" s="42">
        <v>0</v>
      </c>
      <c r="J25" s="4">
        <f t="shared" si="3"/>
        <v>15420.189999999999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/>
      <c r="I26" s="41"/>
      <c r="J26" s="4">
        <f t="shared" si="3"/>
        <v>0</v>
      </c>
      <c r="K26" s="9"/>
    </row>
    <row r="27" spans="1:10" ht="10.5">
      <c r="A27" s="8" t="s">
        <v>0</v>
      </c>
      <c r="B27" s="8">
        <f aca="true" t="shared" si="4" ref="B27:J27">SUM(B24:B26)</f>
        <v>-265418.43000000005</v>
      </c>
      <c r="C27" s="8">
        <f t="shared" si="4"/>
        <v>5644.09</v>
      </c>
      <c r="D27" s="8">
        <f t="shared" si="4"/>
        <v>12807.66</v>
      </c>
      <c r="E27" s="8">
        <f t="shared" si="4"/>
        <v>55702.119999999995</v>
      </c>
      <c r="F27" s="8">
        <f t="shared" si="4"/>
        <v>178112.12000000005</v>
      </c>
      <c r="G27" s="8">
        <f t="shared" si="4"/>
        <v>48351.26</v>
      </c>
      <c r="H27" s="8">
        <f t="shared" si="4"/>
        <v>-6479.8499999999985</v>
      </c>
      <c r="I27" s="8">
        <f t="shared" si="4"/>
        <v>-2057.6899999999996</v>
      </c>
      <c r="J27" s="8">
        <f t="shared" si="4"/>
        <v>26661.279999999988</v>
      </c>
    </row>
    <row r="28" spans="1:10" ht="10.5">
      <c r="A28" s="8" t="s">
        <v>19</v>
      </c>
      <c r="B28" s="8">
        <f>1337.65+5.05</f>
        <v>1342.7</v>
      </c>
      <c r="C28" s="8"/>
      <c r="D28" s="8"/>
      <c r="E28" s="8"/>
      <c r="F28" s="8">
        <f>41.88+158.8</f>
        <v>200.68</v>
      </c>
      <c r="G28" s="8"/>
      <c r="H28" s="10">
        <v>762.61</v>
      </c>
      <c r="I28" s="41"/>
      <c r="J28" s="4">
        <f t="shared" si="3"/>
        <v>2305.9900000000002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2623</v>
      </c>
      <c r="I29" s="41"/>
      <c r="J29" s="4">
        <f t="shared" si="3"/>
        <v>2623</v>
      </c>
    </row>
    <row r="30" spans="1:10" s="3" customFormat="1" ht="10.5">
      <c r="A30" s="4" t="s">
        <v>2</v>
      </c>
      <c r="B30" s="4">
        <f aca="true" t="shared" si="5" ref="B30:J30">B27-B28-B29</f>
        <v>-266761.13000000006</v>
      </c>
      <c r="C30" s="4">
        <f t="shared" si="5"/>
        <v>5644.09</v>
      </c>
      <c r="D30" s="4">
        <f t="shared" si="5"/>
        <v>12807.66</v>
      </c>
      <c r="E30" s="4">
        <f t="shared" si="5"/>
        <v>55702.119999999995</v>
      </c>
      <c r="F30" s="4">
        <f t="shared" si="5"/>
        <v>177911.44000000006</v>
      </c>
      <c r="G30" s="4">
        <f t="shared" si="5"/>
        <v>48351.26</v>
      </c>
      <c r="H30" s="4">
        <f t="shared" si="5"/>
        <v>-9865.46</v>
      </c>
      <c r="I30" s="4">
        <f t="shared" si="5"/>
        <v>-2057.6899999999996</v>
      </c>
      <c r="J30" s="4">
        <f t="shared" si="5"/>
        <v>21732.289999999986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&amp;LAuxiliary Revenue and Expenses&amp;CMarch 2015</oddHeader>
  </headerFooter>
  <ignoredErrors>
    <ignoredError sqref="E9:E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4">
      <selection activeCell="K17" sqref="K17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2.7109375" style="7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March!B12</f>
        <v>138675.47999999998</v>
      </c>
      <c r="C6" s="4">
        <f>March!C12</f>
        <v>566.4200000000001</v>
      </c>
      <c r="D6" s="4">
        <f>March!D12</f>
        <v>-136535.77</v>
      </c>
      <c r="E6" s="6">
        <f aca="true" t="shared" si="0" ref="E6:E12">SUM(B6:D6)</f>
        <v>2706.1300000000047</v>
      </c>
      <c r="F6" s="4">
        <f>March!F12</f>
        <v>73387.89999999998</v>
      </c>
      <c r="G6" s="4">
        <f>March!G12</f>
        <v>109714.09999999999</v>
      </c>
      <c r="H6" s="4">
        <f>March!H12</f>
        <v>-121083.85</v>
      </c>
      <c r="I6" s="6">
        <f aca="true" t="shared" si="1" ref="I6:I12">SUM(F6:H6)</f>
        <v>62018.149999999965</v>
      </c>
      <c r="J6" s="4">
        <f aca="true" t="shared" si="2" ref="J6:J12">E6+I6</f>
        <v>64724.27999999997</v>
      </c>
      <c r="K6" s="5"/>
    </row>
    <row r="7" spans="1:11" ht="10.5">
      <c r="A7" s="8" t="s">
        <v>17</v>
      </c>
      <c r="B7" s="8">
        <v>723.25</v>
      </c>
      <c r="C7" s="8"/>
      <c r="D7" s="8"/>
      <c r="E7" s="11">
        <f t="shared" si="0"/>
        <v>723.25</v>
      </c>
      <c r="F7" s="8">
        <v>1356.11</v>
      </c>
      <c r="G7" s="8">
        <v>5414</v>
      </c>
      <c r="H7" s="8"/>
      <c r="I7" s="6">
        <f t="shared" si="1"/>
        <v>6770.11</v>
      </c>
      <c r="J7" s="22">
        <f t="shared" si="2"/>
        <v>7493.36</v>
      </c>
      <c r="K7" s="9"/>
    </row>
    <row r="8" spans="1:11" ht="10.5">
      <c r="A8" s="8" t="s">
        <v>18</v>
      </c>
      <c r="B8" s="8">
        <v>0</v>
      </c>
      <c r="C8" s="8">
        <v>0</v>
      </c>
      <c r="D8" s="8"/>
      <c r="E8" s="11">
        <f t="shared" si="0"/>
        <v>0</v>
      </c>
      <c r="F8" s="8">
        <v>0</v>
      </c>
      <c r="G8" s="8">
        <v>0</v>
      </c>
      <c r="H8" s="8"/>
      <c r="I8" s="6">
        <f t="shared" si="1"/>
        <v>0</v>
      </c>
      <c r="J8" s="22">
        <f t="shared" si="2"/>
        <v>0</v>
      </c>
      <c r="K8" s="9"/>
    </row>
    <row r="9" spans="1:11" ht="10.5">
      <c r="A9" s="8" t="s">
        <v>0</v>
      </c>
      <c r="B9" s="8">
        <f>SUM(B6:B8)</f>
        <v>139398.72999999998</v>
      </c>
      <c r="C9" s="8">
        <f>SUM(C6:C8)</f>
        <v>566.4200000000001</v>
      </c>
      <c r="D9" s="8">
        <f>SUM(D6:D8)</f>
        <v>-136535.77</v>
      </c>
      <c r="E9" s="11">
        <f t="shared" si="0"/>
        <v>3429.3800000000047</v>
      </c>
      <c r="F9" s="8">
        <f>SUM(F6:F8)</f>
        <v>74744.00999999998</v>
      </c>
      <c r="G9" s="8">
        <f>SUM(G6:G8)</f>
        <v>115128.09999999999</v>
      </c>
      <c r="H9" s="8">
        <f>SUM(H6:H8)</f>
        <v>-121083.85</v>
      </c>
      <c r="I9" s="11">
        <f t="shared" si="1"/>
        <v>68788.25999999998</v>
      </c>
      <c r="J9" s="22">
        <f t="shared" si="2"/>
        <v>72217.63999999998</v>
      </c>
      <c r="K9" s="9"/>
    </row>
    <row r="10" spans="1:11" ht="10.5">
      <c r="A10" s="8" t="s">
        <v>19</v>
      </c>
      <c r="B10" s="8">
        <v>266</v>
      </c>
      <c r="C10" s="8"/>
      <c r="D10" s="8">
        <f>1355.1</f>
        <v>1355.1</v>
      </c>
      <c r="E10" s="11">
        <f t="shared" si="0"/>
        <v>1621.1</v>
      </c>
      <c r="F10" s="8">
        <f>481.64+184.65</f>
        <v>666.29</v>
      </c>
      <c r="G10" s="8">
        <f>127.7+95+125.79</f>
        <v>348.49</v>
      </c>
      <c r="H10" s="8">
        <f>490.78+2268.6+833.34</f>
        <v>3592.7200000000003</v>
      </c>
      <c r="I10" s="6">
        <f>SUM(F10:H10)</f>
        <v>4607.5</v>
      </c>
      <c r="J10" s="22">
        <f t="shared" si="2"/>
        <v>6228.6</v>
      </c>
      <c r="K10" s="9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>
        <v>0</v>
      </c>
      <c r="G11" s="8">
        <v>0</v>
      </c>
      <c r="H11" s="8">
        <v>524</v>
      </c>
      <c r="I11" s="6">
        <f>SUM(F11:H11)</f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139132.72999999998</v>
      </c>
      <c r="C12" s="4">
        <f>C9-C10-C11</f>
        <v>566.4200000000001</v>
      </c>
      <c r="D12" s="4">
        <f>D9-D10-D11</f>
        <v>-138510.87</v>
      </c>
      <c r="E12" s="6">
        <f t="shared" si="0"/>
        <v>1188.2799999999988</v>
      </c>
      <c r="F12" s="4">
        <f>F9-F10-F11</f>
        <v>74077.71999999999</v>
      </c>
      <c r="G12" s="4">
        <f>G9-G10-G11</f>
        <v>114779.60999999999</v>
      </c>
      <c r="H12" s="4">
        <f>H9-H10-H11</f>
        <v>-125200.57</v>
      </c>
      <c r="I12" s="6">
        <f t="shared" si="1"/>
        <v>63656.75999999995</v>
      </c>
      <c r="J12" s="4">
        <f t="shared" si="2"/>
        <v>64845.03999999995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March!B30</f>
        <v>-266761.13000000006</v>
      </c>
      <c r="C24" s="4">
        <f>March!C30</f>
        <v>5644.09</v>
      </c>
      <c r="D24" s="4">
        <f>March!D30</f>
        <v>12807.66</v>
      </c>
      <c r="E24" s="4">
        <f>March!E30</f>
        <v>55702.119999999995</v>
      </c>
      <c r="F24" s="4">
        <f>March!F30</f>
        <v>177911.44000000006</v>
      </c>
      <c r="G24" s="4">
        <f>March!G30</f>
        <v>48351.26</v>
      </c>
      <c r="H24" s="22">
        <f>March!H30</f>
        <v>-9865.46</v>
      </c>
      <c r="I24" s="22">
        <f>March!I30</f>
        <v>-2057.6899999999996</v>
      </c>
      <c r="J24" s="4">
        <f aca="true" t="shared" si="3" ref="J24:J30">SUM(B24:I24)</f>
        <v>21732.289999999997</v>
      </c>
    </row>
    <row r="25" spans="1:11" ht="10.5">
      <c r="A25" s="8" t="s">
        <v>17</v>
      </c>
      <c r="B25" s="8">
        <v>153</v>
      </c>
      <c r="C25" s="8">
        <v>0</v>
      </c>
      <c r="D25" s="8">
        <v>100</v>
      </c>
      <c r="E25" s="8">
        <v>233.04</v>
      </c>
      <c r="F25" s="8">
        <v>3071.65</v>
      </c>
      <c r="G25" s="8">
        <v>2475</v>
      </c>
      <c r="H25" s="10">
        <v>0</v>
      </c>
      <c r="I25" s="42">
        <v>0</v>
      </c>
      <c r="J25" s="4">
        <f t="shared" si="3"/>
        <v>6032.6900000000005</v>
      </c>
      <c r="K25" s="9"/>
    </row>
    <row r="26" spans="1:10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/>
      <c r="I26" s="41"/>
      <c r="J26" s="4">
        <f t="shared" si="3"/>
        <v>0</v>
      </c>
    </row>
    <row r="27" spans="1:10" ht="10.5">
      <c r="A27" s="8" t="s">
        <v>0</v>
      </c>
      <c r="B27" s="8">
        <f aca="true" t="shared" si="4" ref="B27:I27">SUM(B24:B26)</f>
        <v>-266608.13000000006</v>
      </c>
      <c r="C27" s="8">
        <f t="shared" si="4"/>
        <v>5644.09</v>
      </c>
      <c r="D27" s="8">
        <f t="shared" si="4"/>
        <v>12907.66</v>
      </c>
      <c r="E27" s="8">
        <f t="shared" si="4"/>
        <v>55935.159999999996</v>
      </c>
      <c r="F27" s="8">
        <f t="shared" si="4"/>
        <v>180983.09000000005</v>
      </c>
      <c r="G27" s="8">
        <f t="shared" si="4"/>
        <v>50826.26</v>
      </c>
      <c r="H27" s="10">
        <f t="shared" si="4"/>
        <v>-9865.46</v>
      </c>
      <c r="I27" s="10">
        <f t="shared" si="4"/>
        <v>-2057.6899999999996</v>
      </c>
      <c r="J27" s="4">
        <f t="shared" si="3"/>
        <v>27764.98</v>
      </c>
    </row>
    <row r="28" spans="1:10" ht="10.5">
      <c r="A28" s="8" t="s">
        <v>19</v>
      </c>
      <c r="B28" s="8">
        <f>110.07+2558.5+3.46+2270.2</f>
        <v>4942.23</v>
      </c>
      <c r="C28" s="8"/>
      <c r="D28" s="8"/>
      <c r="E28" s="8"/>
      <c r="F28" s="8">
        <f>521.97+183.9</f>
        <v>705.87</v>
      </c>
      <c r="G28" s="8"/>
      <c r="H28" s="10"/>
      <c r="I28" s="41"/>
      <c r="J28" s="4">
        <f t="shared" si="3"/>
        <v>5648.099999999999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2623</v>
      </c>
      <c r="I29" s="41"/>
      <c r="J29" s="4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-271550.36000000004</v>
      </c>
      <c r="C30" s="4">
        <f t="shared" si="5"/>
        <v>5644.09</v>
      </c>
      <c r="D30" s="4">
        <f t="shared" si="5"/>
        <v>12907.66</v>
      </c>
      <c r="E30" s="4">
        <f t="shared" si="5"/>
        <v>55935.159999999996</v>
      </c>
      <c r="F30" s="4">
        <f t="shared" si="5"/>
        <v>180277.22000000006</v>
      </c>
      <c r="G30" s="4">
        <f t="shared" si="5"/>
        <v>50826.26</v>
      </c>
      <c r="H30" s="22">
        <f t="shared" si="5"/>
        <v>-12488.46</v>
      </c>
      <c r="I30" s="22">
        <f t="shared" si="5"/>
        <v>-2057.6899999999996</v>
      </c>
      <c r="J30" s="4">
        <f t="shared" si="3"/>
        <v>19493.880000000052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&amp;LAuxiliary Revenue and Expenses&amp;CApril 2014
</oddHeader>
  </headerFooter>
  <ignoredErrors>
    <ignoredError sqref="D13 E9:E1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G17" sqref="G17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1.8515625" style="7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April!B12</f>
        <v>139132.72999999998</v>
      </c>
      <c r="C6" s="4">
        <f>April!C12</f>
        <v>566.4200000000001</v>
      </c>
      <c r="D6" s="4">
        <f>April!D12</f>
        <v>-138510.87</v>
      </c>
      <c r="E6" s="6">
        <f aca="true" t="shared" si="0" ref="E6:E12">SUM(B6:D6)</f>
        <v>1188.2799999999988</v>
      </c>
      <c r="F6" s="4">
        <f>April!F12</f>
        <v>74077.71999999999</v>
      </c>
      <c r="G6" s="4">
        <f>April!G12</f>
        <v>114779.60999999999</v>
      </c>
      <c r="H6" s="4">
        <f>April!H12</f>
        <v>-125200.57</v>
      </c>
      <c r="I6" s="6">
        <f aca="true" t="shared" si="1" ref="I6:I12">SUM(F6:H6)</f>
        <v>63656.75999999995</v>
      </c>
      <c r="J6" s="4">
        <f aca="true" t="shared" si="2" ref="J6:J12">E6+I6</f>
        <v>64845.03999999995</v>
      </c>
      <c r="K6" s="5"/>
    </row>
    <row r="7" spans="1:11" ht="10.5">
      <c r="A7" s="8" t="s">
        <v>17</v>
      </c>
      <c r="B7" s="8">
        <v>1499</v>
      </c>
      <c r="C7" s="8">
        <v>105.28</v>
      </c>
      <c r="D7" s="8">
        <v>0</v>
      </c>
      <c r="E7" s="11">
        <f t="shared" si="0"/>
        <v>1604.28</v>
      </c>
      <c r="F7" s="8">
        <v>1276.01</v>
      </c>
      <c r="G7" s="8">
        <v>4305</v>
      </c>
      <c r="H7" s="8">
        <v>0</v>
      </c>
      <c r="I7" s="6">
        <f t="shared" si="1"/>
        <v>5581.01</v>
      </c>
      <c r="J7" s="22">
        <f t="shared" si="2"/>
        <v>7185.29</v>
      </c>
      <c r="K7" s="9"/>
    </row>
    <row r="8" spans="1:11" ht="10.5">
      <c r="A8" s="8" t="s">
        <v>18</v>
      </c>
      <c r="B8" s="8"/>
      <c r="C8" s="8"/>
      <c r="D8" s="8"/>
      <c r="E8" s="11"/>
      <c r="F8" s="8"/>
      <c r="G8" s="8"/>
      <c r="H8" s="8"/>
      <c r="I8" s="6"/>
      <c r="J8" s="22"/>
      <c r="K8" s="9"/>
    </row>
    <row r="9" spans="1:11" ht="10.5">
      <c r="A9" s="8" t="s">
        <v>0</v>
      </c>
      <c r="B9" s="8">
        <f>SUM(B6:B8)</f>
        <v>140631.72999999998</v>
      </c>
      <c r="C9" s="8">
        <f>SUM(C6:C8)</f>
        <v>671.7</v>
      </c>
      <c r="D9" s="8">
        <f>SUM(D6:D8)</f>
        <v>-138510.87</v>
      </c>
      <c r="E9" s="11">
        <f t="shared" si="0"/>
        <v>2792.5599999999977</v>
      </c>
      <c r="F9" s="8">
        <f>SUM(F6:F8)</f>
        <v>75353.72999999998</v>
      </c>
      <c r="G9" s="8">
        <f>SUM(G6:G8)</f>
        <v>119084.60999999999</v>
      </c>
      <c r="H9" s="8">
        <f>SUM(H6:H8)</f>
        <v>-125200.57</v>
      </c>
      <c r="I9" s="11">
        <f t="shared" si="1"/>
        <v>69237.76999999996</v>
      </c>
      <c r="J9" s="22">
        <f t="shared" si="2"/>
        <v>72030.32999999996</v>
      </c>
      <c r="K9" s="9"/>
    </row>
    <row r="10" spans="1:11" ht="10.5">
      <c r="A10" s="8" t="s">
        <v>19</v>
      </c>
      <c r="B10" s="8">
        <v>11</v>
      </c>
      <c r="C10" s="8">
        <v>0</v>
      </c>
      <c r="D10" s="8">
        <f>-664.39</f>
        <v>-664.39</v>
      </c>
      <c r="E10" s="11">
        <f t="shared" si="0"/>
        <v>-653.39</v>
      </c>
      <c r="F10" s="8">
        <v>0</v>
      </c>
      <c r="G10" s="8">
        <f>1684.66+179.95+202.7+73.83</f>
        <v>2141.14</v>
      </c>
      <c r="H10" s="8">
        <f>981.04+161.42+1958.26</f>
        <v>3100.7200000000003</v>
      </c>
      <c r="I10" s="6">
        <f t="shared" si="1"/>
        <v>5241.860000000001</v>
      </c>
      <c r="J10" s="22">
        <f t="shared" si="2"/>
        <v>4588.47</v>
      </c>
      <c r="K10" s="9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>
        <v>0</v>
      </c>
      <c r="G11" s="8">
        <v>0</v>
      </c>
      <c r="H11" s="8">
        <v>524</v>
      </c>
      <c r="I11" s="6">
        <f t="shared" si="1"/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140620.72999999998</v>
      </c>
      <c r="C12" s="4">
        <f>C9-C10-C11</f>
        <v>671.7</v>
      </c>
      <c r="D12" s="4">
        <f>D9-D10-D11</f>
        <v>-138466.47999999998</v>
      </c>
      <c r="E12" s="6">
        <f t="shared" si="0"/>
        <v>2825.9500000000116</v>
      </c>
      <c r="F12" s="4">
        <f>F9-F10-F11</f>
        <v>75353.72999999998</v>
      </c>
      <c r="G12" s="4">
        <f>G9-G10-G11</f>
        <v>116943.46999999999</v>
      </c>
      <c r="H12" s="4">
        <f>H9-H10-H11</f>
        <v>-128825.29000000001</v>
      </c>
      <c r="I12" s="6">
        <f t="shared" si="1"/>
        <v>63471.909999999945</v>
      </c>
      <c r="J12" s="4">
        <f t="shared" si="2"/>
        <v>66297.85999999996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April!B30</f>
        <v>-271550.36000000004</v>
      </c>
      <c r="C24" s="4">
        <f>April!C30</f>
        <v>5644.09</v>
      </c>
      <c r="D24" s="4">
        <f>April!D30</f>
        <v>12907.66</v>
      </c>
      <c r="E24" s="4">
        <f>April!E30</f>
        <v>55935.159999999996</v>
      </c>
      <c r="F24" s="4">
        <f>April!F30</f>
        <v>180277.22000000006</v>
      </c>
      <c r="G24" s="4">
        <f>April!G30</f>
        <v>50826.26</v>
      </c>
      <c r="H24" s="22">
        <f>April!H30</f>
        <v>-12488.46</v>
      </c>
      <c r="I24" s="22">
        <f>April!I30</f>
        <v>-2057.6899999999996</v>
      </c>
      <c r="J24" s="4">
        <f aca="true" t="shared" si="3" ref="J24:J30">SUM(B24:I24)</f>
        <v>19493.880000000052</v>
      </c>
    </row>
    <row r="25" spans="1:10" ht="10.5">
      <c r="A25" s="8" t="s">
        <v>17</v>
      </c>
      <c r="B25" s="8">
        <v>160</v>
      </c>
      <c r="C25" s="8">
        <v>149.17</v>
      </c>
      <c r="D25" s="8">
        <v>100</v>
      </c>
      <c r="E25" s="8">
        <v>470.02</v>
      </c>
      <c r="F25" s="8">
        <v>3559.86</v>
      </c>
      <c r="G25" s="8">
        <v>825</v>
      </c>
      <c r="H25" s="10">
        <v>0</v>
      </c>
      <c r="I25" s="42">
        <v>0</v>
      </c>
      <c r="J25" s="4">
        <f t="shared" si="3"/>
        <v>5264.05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0</v>
      </c>
      <c r="I26" s="42">
        <v>0</v>
      </c>
      <c r="J26" s="4">
        <v>0</v>
      </c>
      <c r="K26" s="9" t="s">
        <v>33</v>
      </c>
    </row>
    <row r="27" spans="1:10" ht="10.5">
      <c r="A27" s="8" t="s">
        <v>0</v>
      </c>
      <c r="B27" s="8">
        <f aca="true" t="shared" si="4" ref="B27:I27">SUM(B24:B26)</f>
        <v>-271390.36000000004</v>
      </c>
      <c r="C27" s="8">
        <f t="shared" si="4"/>
        <v>5793.26</v>
      </c>
      <c r="D27" s="8">
        <f t="shared" si="4"/>
        <v>13007.66</v>
      </c>
      <c r="E27" s="8">
        <f t="shared" si="4"/>
        <v>56405.17999999999</v>
      </c>
      <c r="F27" s="8">
        <f t="shared" si="4"/>
        <v>183837.08000000005</v>
      </c>
      <c r="G27" s="8">
        <f t="shared" si="4"/>
        <v>51651.26</v>
      </c>
      <c r="H27" s="10">
        <f t="shared" si="4"/>
        <v>-12488.46</v>
      </c>
      <c r="I27" s="10">
        <f t="shared" si="4"/>
        <v>-2057.6899999999996</v>
      </c>
      <c r="J27" s="4">
        <f t="shared" si="3"/>
        <v>24757.93000000001</v>
      </c>
    </row>
    <row r="28" spans="1:10" ht="10.5">
      <c r="A28" s="8" t="s">
        <v>19</v>
      </c>
      <c r="B28" s="8">
        <f>374.2+806.5+1.73+20.14</f>
        <v>1202.5700000000002</v>
      </c>
      <c r="C28" s="8"/>
      <c r="D28" s="8"/>
      <c r="E28" s="8"/>
      <c r="F28" s="8">
        <f>125.64+443.86</f>
        <v>569.5</v>
      </c>
      <c r="G28" s="8"/>
      <c r="H28" s="10"/>
      <c r="I28" s="41"/>
      <c r="J28" s="4">
        <f t="shared" si="3"/>
        <v>1772.0700000000002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2623</v>
      </c>
      <c r="I29" s="41">
        <v>0</v>
      </c>
      <c r="J29" s="4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-272592.93000000005</v>
      </c>
      <c r="C30" s="4">
        <f t="shared" si="5"/>
        <v>5793.26</v>
      </c>
      <c r="D30" s="4">
        <f t="shared" si="5"/>
        <v>13007.66</v>
      </c>
      <c r="E30" s="4">
        <f t="shared" si="5"/>
        <v>56405.17999999999</v>
      </c>
      <c r="F30" s="4">
        <f t="shared" si="5"/>
        <v>183267.58000000005</v>
      </c>
      <c r="G30" s="4">
        <f t="shared" si="5"/>
        <v>51651.26</v>
      </c>
      <c r="H30" s="22">
        <f t="shared" si="5"/>
        <v>-15111.46</v>
      </c>
      <c r="I30" s="22">
        <f t="shared" si="5"/>
        <v>-2057.6899999999996</v>
      </c>
      <c r="J30" s="4">
        <f t="shared" si="3"/>
        <v>20362.860000000004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0" r:id="rId1"/>
  <headerFooter alignWithMargins="0">
    <oddHeader>&amp;LAuxiliary Revenue and Expenses&amp;CMay 2014
</oddHeader>
  </headerFooter>
  <ignoredErrors>
    <ignoredError sqref="E9:E1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J43" sqref="J43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1.421875" style="7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1" ht="10.5">
      <c r="A5" s="8"/>
      <c r="B5" s="8"/>
      <c r="C5" s="8"/>
      <c r="D5" s="8"/>
      <c r="E5" s="11"/>
      <c r="G5" s="8"/>
      <c r="H5" s="8"/>
      <c r="I5" s="11"/>
      <c r="J5" s="8"/>
      <c r="K5" s="44"/>
    </row>
    <row r="6" spans="1:11" s="3" customFormat="1" ht="10.5">
      <c r="A6" s="4" t="s">
        <v>1</v>
      </c>
      <c r="B6" s="4">
        <f>May!B12</f>
        <v>140620.72999999998</v>
      </c>
      <c r="C6" s="4">
        <f>May!C12</f>
        <v>671.7</v>
      </c>
      <c r="D6" s="4">
        <f>May!D12</f>
        <v>-138466.47999999998</v>
      </c>
      <c r="E6" s="6">
        <f>SUM(B6:D6)</f>
        <v>2825.9500000000116</v>
      </c>
      <c r="F6" s="4">
        <f>May!F12</f>
        <v>75353.72999999998</v>
      </c>
      <c r="G6" s="4">
        <f>May!G12</f>
        <v>116943.46999999999</v>
      </c>
      <c r="H6" s="4">
        <f>May!H12</f>
        <v>-128825.29000000001</v>
      </c>
      <c r="I6" s="6">
        <f aca="true" t="shared" si="0" ref="I6:I12">SUM(F6:H6)</f>
        <v>63471.909999999945</v>
      </c>
      <c r="J6" s="4">
        <f aca="true" t="shared" si="1" ref="J6:J12">E6+I6</f>
        <v>66297.85999999996</v>
      </c>
      <c r="K6" s="45"/>
    </row>
    <row r="7" spans="1:11" ht="10.5">
      <c r="A7" s="8" t="s">
        <v>17</v>
      </c>
      <c r="B7" s="8">
        <v>654.5</v>
      </c>
      <c r="C7" s="8"/>
      <c r="D7" s="8"/>
      <c r="E7" s="11">
        <f aca="true" t="shared" si="2" ref="E7:E12">SUM(B7:D7)</f>
        <v>654.5</v>
      </c>
      <c r="F7" s="8">
        <v>653.94</v>
      </c>
      <c r="G7" s="8">
        <v>1364.7</v>
      </c>
      <c r="H7" s="8">
        <v>0</v>
      </c>
      <c r="I7" s="6">
        <f t="shared" si="0"/>
        <v>2018.64</v>
      </c>
      <c r="J7" s="22">
        <f t="shared" si="1"/>
        <v>2673.1400000000003</v>
      </c>
      <c r="K7" s="46"/>
    </row>
    <row r="8" spans="1:11" ht="10.5">
      <c r="A8" s="8" t="s">
        <v>18</v>
      </c>
      <c r="B8" s="8"/>
      <c r="C8" s="8">
        <v>0</v>
      </c>
      <c r="D8" s="8"/>
      <c r="E8" s="11">
        <f t="shared" si="2"/>
        <v>0</v>
      </c>
      <c r="F8" s="8">
        <v>0</v>
      </c>
      <c r="G8" s="8">
        <v>0</v>
      </c>
      <c r="H8" s="8"/>
      <c r="I8" s="6">
        <f t="shared" si="0"/>
        <v>0</v>
      </c>
      <c r="J8" s="22">
        <f t="shared" si="1"/>
        <v>0</v>
      </c>
      <c r="K8" s="46"/>
    </row>
    <row r="9" spans="1:11" ht="10.5">
      <c r="A9" s="8" t="s">
        <v>0</v>
      </c>
      <c r="B9" s="8">
        <f>SUM(B6:B8)</f>
        <v>141275.22999999998</v>
      </c>
      <c r="C9" s="8">
        <f>SUM(C6:C8)</f>
        <v>671.7</v>
      </c>
      <c r="D9" s="8">
        <f>SUM(D6:D8)</f>
        <v>-138466.47999999998</v>
      </c>
      <c r="E9" s="11">
        <f t="shared" si="2"/>
        <v>3480.4500000000116</v>
      </c>
      <c r="F9" s="8">
        <f>SUM(F6:F8)</f>
        <v>76007.66999999998</v>
      </c>
      <c r="G9" s="8">
        <f>SUM(G6:G8)</f>
        <v>118308.16999999998</v>
      </c>
      <c r="H9" s="8">
        <f>SUM(H6:H8)</f>
        <v>-128825.29000000001</v>
      </c>
      <c r="I9" s="11">
        <f t="shared" si="0"/>
        <v>65490.54999999996</v>
      </c>
      <c r="J9" s="22">
        <f t="shared" si="1"/>
        <v>68970.99999999997</v>
      </c>
      <c r="K9" s="46"/>
    </row>
    <row r="10" spans="1:11" ht="10.5">
      <c r="A10" s="8" t="s">
        <v>19</v>
      </c>
      <c r="B10" s="8">
        <f>117</f>
        <v>117</v>
      </c>
      <c r="C10" s="28">
        <f>25.6</f>
        <v>25.6</v>
      </c>
      <c r="D10" s="8"/>
      <c r="E10" s="11">
        <f t="shared" si="2"/>
        <v>142.6</v>
      </c>
      <c r="F10" s="8">
        <v>12.18</v>
      </c>
      <c r="G10" s="8">
        <f>-14.99+81.02</f>
        <v>66.03</v>
      </c>
      <c r="H10" s="8">
        <f>1783.49+329.03+7152.27</f>
        <v>9264.79</v>
      </c>
      <c r="I10" s="6">
        <f t="shared" si="0"/>
        <v>9343</v>
      </c>
      <c r="J10" s="22">
        <f t="shared" si="1"/>
        <v>9485.6</v>
      </c>
      <c r="K10" s="46"/>
    </row>
    <row r="11" spans="1:11" ht="10.5">
      <c r="A11" s="8" t="s">
        <v>20</v>
      </c>
      <c r="B11" s="8">
        <v>0</v>
      </c>
      <c r="C11" s="8">
        <v>0</v>
      </c>
      <c r="D11" s="8">
        <v>626</v>
      </c>
      <c r="E11" s="11">
        <f t="shared" si="2"/>
        <v>626</v>
      </c>
      <c r="F11" s="8">
        <v>0</v>
      </c>
      <c r="G11" s="8">
        <v>0</v>
      </c>
      <c r="H11" s="8">
        <f>516</f>
        <v>516</v>
      </c>
      <c r="I11" s="6">
        <f t="shared" si="0"/>
        <v>516</v>
      </c>
      <c r="J11" s="22">
        <f t="shared" si="1"/>
        <v>1142</v>
      </c>
      <c r="K11" s="46"/>
    </row>
    <row r="12" spans="1:11" s="3" customFormat="1" ht="10.5">
      <c r="A12" s="4" t="s">
        <v>2</v>
      </c>
      <c r="B12" s="4">
        <f>B9-B10-B11</f>
        <v>141158.22999999998</v>
      </c>
      <c r="C12" s="4">
        <f>C9-C10-C11</f>
        <v>646.1</v>
      </c>
      <c r="D12" s="4">
        <f>D9-D10-D11</f>
        <v>-139092.47999999998</v>
      </c>
      <c r="E12" s="6">
        <f t="shared" si="2"/>
        <v>2711.850000000006</v>
      </c>
      <c r="F12" s="4">
        <f>F9-F10-F11</f>
        <v>75995.48999999999</v>
      </c>
      <c r="G12" s="4">
        <f>G9-G10-G11</f>
        <v>118242.13999999998</v>
      </c>
      <c r="H12" s="4">
        <f>H9-H10-H11</f>
        <v>-138606.08000000002</v>
      </c>
      <c r="I12" s="6">
        <f t="shared" si="0"/>
        <v>55631.54999999996</v>
      </c>
      <c r="J12" s="4">
        <f t="shared" si="1"/>
        <v>58343.399999999965</v>
      </c>
      <c r="K12" s="4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47"/>
      <c r="L13" s="8"/>
    </row>
    <row r="14" spans="1:12" ht="10.5">
      <c r="A14" s="8"/>
      <c r="B14" s="16"/>
      <c r="C14" s="16"/>
      <c r="D14" s="4"/>
      <c r="E14" s="8"/>
      <c r="F14" s="8"/>
      <c r="G14" s="10"/>
      <c r="H14" s="8"/>
      <c r="I14" s="8"/>
      <c r="J14" s="8"/>
      <c r="K14" s="47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47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47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May!B30</f>
        <v>-272592.93000000005</v>
      </c>
      <c r="C24" s="4">
        <f>May!C30</f>
        <v>5793.26</v>
      </c>
      <c r="D24" s="4">
        <f>May!D30</f>
        <v>13007.66</v>
      </c>
      <c r="E24" s="4">
        <f>May!E30</f>
        <v>56405.17999999999</v>
      </c>
      <c r="F24" s="4">
        <f>May!F30</f>
        <v>183267.58000000005</v>
      </c>
      <c r="G24" s="4">
        <f>May!G30</f>
        <v>51651.26</v>
      </c>
      <c r="H24" s="10">
        <f>May!H30</f>
        <v>-15111.46</v>
      </c>
      <c r="I24" s="10">
        <f>May!I30</f>
        <v>-2057.6899999999996</v>
      </c>
      <c r="J24" s="4">
        <f aca="true" t="shared" si="3" ref="J24:J30">SUM(B24:I24)</f>
        <v>20362.860000000004</v>
      </c>
    </row>
    <row r="25" spans="1:10" ht="10.5">
      <c r="A25" s="8" t="s">
        <v>17</v>
      </c>
      <c r="B25" s="20">
        <v>45</v>
      </c>
      <c r="C25" s="20">
        <f>930-58.1</f>
        <v>871.9</v>
      </c>
      <c r="D25" s="20">
        <v>140</v>
      </c>
      <c r="E25" s="20">
        <v>355.81</v>
      </c>
      <c r="F25" s="20">
        <f>830.2-49.81</f>
        <v>780.3900000000001</v>
      </c>
      <c r="G25" s="20">
        <v>200</v>
      </c>
      <c r="H25" s="36"/>
      <c r="I25" s="42"/>
      <c r="J25" s="4">
        <f t="shared" si="3"/>
        <v>2393.1000000000004</v>
      </c>
    </row>
    <row r="26" spans="1:12" ht="10.5">
      <c r="A26" s="8" t="s">
        <v>18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36"/>
      <c r="I26" s="41"/>
      <c r="J26" s="4">
        <f t="shared" si="3"/>
        <v>0</v>
      </c>
      <c r="K26" s="9"/>
      <c r="L26" s="9"/>
    </row>
    <row r="27" spans="1:10" ht="10.5">
      <c r="A27" s="8" t="s">
        <v>0</v>
      </c>
      <c r="B27" s="8">
        <f aca="true" t="shared" si="4" ref="B27:I27">SUM(B24:B26)</f>
        <v>-272547.93000000005</v>
      </c>
      <c r="C27" s="8">
        <f t="shared" si="4"/>
        <v>6665.16</v>
      </c>
      <c r="D27" s="8">
        <f t="shared" si="4"/>
        <v>13147.66</v>
      </c>
      <c r="E27" s="8">
        <f t="shared" si="4"/>
        <v>56760.98999999999</v>
      </c>
      <c r="F27" s="8">
        <f t="shared" si="4"/>
        <v>184047.97000000006</v>
      </c>
      <c r="G27" s="8">
        <f t="shared" si="4"/>
        <v>51851.26</v>
      </c>
      <c r="H27" s="10">
        <f t="shared" si="4"/>
        <v>-15111.46</v>
      </c>
      <c r="I27" s="10">
        <f t="shared" si="4"/>
        <v>-2057.6899999999996</v>
      </c>
      <c r="J27" s="4">
        <f t="shared" si="3"/>
        <v>22755.95999999998</v>
      </c>
    </row>
    <row r="28" spans="1:10" ht="10.5">
      <c r="A28" s="8" t="s">
        <v>19</v>
      </c>
      <c r="B28" s="20">
        <f>275.8+3.99+42+592.6</f>
        <v>914.3900000000001</v>
      </c>
      <c r="C28" s="20"/>
      <c r="D28" s="20"/>
      <c r="E28" s="20"/>
      <c r="F28" s="20">
        <f>41.88+146.71</f>
        <v>188.59</v>
      </c>
      <c r="G28" s="20"/>
      <c r="H28" s="36">
        <f>2000</f>
        <v>2000</v>
      </c>
      <c r="I28" s="41"/>
      <c r="J28" s="4">
        <f t="shared" si="3"/>
        <v>3102.98</v>
      </c>
    </row>
    <row r="29" spans="1:11" ht="10.5">
      <c r="A29" s="8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36">
        <v>2622</v>
      </c>
      <c r="I29" s="41"/>
      <c r="J29" s="4">
        <f t="shared" si="3"/>
        <v>2622</v>
      </c>
      <c r="K29" s="9"/>
    </row>
    <row r="30" spans="1:10" s="3" customFormat="1" ht="10.5">
      <c r="A30" s="4" t="s">
        <v>2</v>
      </c>
      <c r="B30" s="4">
        <f aca="true" t="shared" si="5" ref="B30:I30">B27-B28-B29</f>
        <v>-273462.32000000007</v>
      </c>
      <c r="C30" s="4">
        <f t="shared" si="5"/>
        <v>6665.16</v>
      </c>
      <c r="D30" s="4">
        <f t="shared" si="5"/>
        <v>13147.66</v>
      </c>
      <c r="E30" s="4">
        <f t="shared" si="5"/>
        <v>56760.98999999999</v>
      </c>
      <c r="F30" s="4">
        <f t="shared" si="5"/>
        <v>183859.38000000006</v>
      </c>
      <c r="G30" s="4">
        <f t="shared" si="5"/>
        <v>51851.26</v>
      </c>
      <c r="H30" s="22">
        <f t="shared" si="5"/>
        <v>-19733.46</v>
      </c>
      <c r="I30" s="22">
        <f t="shared" si="5"/>
        <v>-2057.6899999999996</v>
      </c>
      <c r="J30" s="4">
        <f t="shared" si="3"/>
        <v>17030.97999999997</v>
      </c>
    </row>
    <row r="31" ht="10.5">
      <c r="K31" s="9"/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20:I20"/>
    <mergeCell ref="A1:I1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&amp;LAuxiliary Revenue and Expenses
&amp;CJune 2014
</oddHeader>
  </headerFooter>
  <ignoredErrors>
    <ignoredError sqref="E9: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selection activeCell="F44" sqref="F44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140625" style="8" bestFit="1" customWidth="1"/>
    <col min="5" max="5" width="12.00390625" style="8" bestFit="1" customWidth="1"/>
    <col min="6" max="6" width="11.28125" style="8" bestFit="1" customWidth="1"/>
    <col min="7" max="7" width="10.7109375" style="8" bestFit="1" customWidth="1"/>
    <col min="8" max="8" width="12.8515625" style="8" customWidth="1"/>
    <col min="9" max="9" width="11.28125" style="8" bestFit="1" customWidth="1"/>
    <col min="10" max="10" width="12.00390625" style="8" bestFit="1" customWidth="1"/>
    <col min="11" max="11" width="11.28125" style="8" customWidth="1"/>
    <col min="12" max="12" width="10.7109375" style="8" bestFit="1" customWidth="1"/>
    <col min="13" max="16384" width="9.140625" style="8" customWidth="1"/>
  </cols>
  <sheetData>
    <row r="1" spans="1:16" ht="12.75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17"/>
      <c r="L1" s="17"/>
      <c r="M1" s="17"/>
      <c r="N1" s="17"/>
      <c r="O1" s="17"/>
      <c r="P1" s="17"/>
    </row>
    <row r="2" spans="2:3" ht="10.5">
      <c r="B2" s="4"/>
      <c r="C2" s="4"/>
    </row>
    <row r="3" spans="2:12" ht="12.75" customHeight="1"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2:10" ht="10.5"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</row>
    <row r="5" spans="5:9" ht="10.5">
      <c r="E5" s="11"/>
      <c r="F5" s="7"/>
      <c r="I5" s="11"/>
    </row>
    <row r="6" spans="1:10" s="4" customFormat="1" ht="10.5">
      <c r="A6" s="4" t="s">
        <v>1</v>
      </c>
      <c r="B6" s="4">
        <v>132516.74</v>
      </c>
      <c r="C6" s="4">
        <v>172.92</v>
      </c>
      <c r="D6" s="4">
        <v>-88183.65</v>
      </c>
      <c r="E6" s="6">
        <f aca="true" t="shared" si="0" ref="E6:E12">SUM(B6:D6)</f>
        <v>44506.01000000001</v>
      </c>
      <c r="F6" s="4">
        <v>63288.17</v>
      </c>
      <c r="G6" s="4">
        <v>90330.2</v>
      </c>
      <c r="H6" s="4">
        <v>-108955.15</v>
      </c>
      <c r="I6" s="6">
        <f aca="true" t="shared" si="1" ref="I6:I12">SUM(F6:H6)</f>
        <v>44663.22</v>
      </c>
      <c r="J6" s="4">
        <f aca="true" t="shared" si="2" ref="J6:J12">E6+I6</f>
        <v>89169.23000000001</v>
      </c>
    </row>
    <row r="7" spans="1:10" ht="10.5">
      <c r="A7" s="8" t="s">
        <v>17</v>
      </c>
      <c r="B7" s="8">
        <v>548.99</v>
      </c>
      <c r="E7" s="11">
        <f t="shared" si="0"/>
        <v>548.99</v>
      </c>
      <c r="F7" s="8">
        <v>693.94</v>
      </c>
      <c r="G7" s="8">
        <v>3565</v>
      </c>
      <c r="I7" s="6">
        <f t="shared" si="1"/>
        <v>4258.9400000000005</v>
      </c>
      <c r="J7" s="4">
        <f t="shared" si="2"/>
        <v>4807.93</v>
      </c>
    </row>
    <row r="8" spans="1:10" ht="10.5">
      <c r="A8" s="8" t="s">
        <v>18</v>
      </c>
      <c r="D8" s="8">
        <v>54.13</v>
      </c>
      <c r="E8" s="11">
        <f t="shared" si="0"/>
        <v>54.13</v>
      </c>
      <c r="H8" s="8">
        <v>47</v>
      </c>
      <c r="I8" s="6">
        <f t="shared" si="1"/>
        <v>47</v>
      </c>
      <c r="J8" s="4">
        <f t="shared" si="2"/>
        <v>101.13</v>
      </c>
    </row>
    <row r="9" spans="1:10" ht="10.5">
      <c r="A9" s="8" t="s">
        <v>0</v>
      </c>
      <c r="B9" s="8">
        <f>SUM(B6:B8)</f>
        <v>133065.72999999998</v>
      </c>
      <c r="C9" s="8">
        <f>SUM(C6:C8)</f>
        <v>172.92</v>
      </c>
      <c r="D9" s="8">
        <f>SUM(D6:D8)</f>
        <v>-88129.51999999999</v>
      </c>
      <c r="E9" s="11">
        <f t="shared" si="0"/>
        <v>45109.130000000005</v>
      </c>
      <c r="F9" s="8">
        <f>SUM(F6:F8)</f>
        <v>63982.11</v>
      </c>
      <c r="G9" s="8">
        <f>SUM(G6:G8)</f>
        <v>93895.2</v>
      </c>
      <c r="H9" s="8">
        <f>SUM(H6:H8)</f>
        <v>-108908.15</v>
      </c>
      <c r="I9" s="6">
        <f t="shared" si="1"/>
        <v>48969.16</v>
      </c>
      <c r="J9" s="4">
        <f t="shared" si="2"/>
        <v>94078.29000000001</v>
      </c>
    </row>
    <row r="10" spans="1:10" ht="10.5">
      <c r="A10" s="8" t="s">
        <v>19</v>
      </c>
      <c r="B10" s="8">
        <v>62.5</v>
      </c>
      <c r="C10" s="8">
        <v>0.5</v>
      </c>
      <c r="D10" s="8">
        <v>4261.07</v>
      </c>
      <c r="E10" s="11">
        <f t="shared" si="0"/>
        <v>4324.07</v>
      </c>
      <c r="F10" s="8">
        <v>69.16</v>
      </c>
      <c r="G10" s="8">
        <v>167.82</v>
      </c>
      <c r="H10" s="8">
        <v>225.88</v>
      </c>
      <c r="I10" s="6">
        <f t="shared" si="1"/>
        <v>462.86</v>
      </c>
      <c r="J10" s="4">
        <f t="shared" si="2"/>
        <v>4786.929999999999</v>
      </c>
    </row>
    <row r="11" spans="1:10" ht="10.5">
      <c r="A11" s="8" t="s">
        <v>20</v>
      </c>
      <c r="D11" s="8">
        <v>620</v>
      </c>
      <c r="E11" s="11">
        <f t="shared" si="0"/>
        <v>620</v>
      </c>
      <c r="H11" s="8">
        <v>524</v>
      </c>
      <c r="I11" s="6">
        <f t="shared" si="1"/>
        <v>524</v>
      </c>
      <c r="J11" s="4">
        <f t="shared" si="2"/>
        <v>1144</v>
      </c>
    </row>
    <row r="12" spans="1:10" s="4" customFormat="1" ht="10.5">
      <c r="A12" s="4" t="s">
        <v>2</v>
      </c>
      <c r="B12" s="4">
        <f>B9-B10-B11</f>
        <v>133003.22999999998</v>
      </c>
      <c r="C12" s="4">
        <f>C9-C10-C11</f>
        <v>172.42</v>
      </c>
      <c r="D12" s="4">
        <f>D9-D10-D11</f>
        <v>-93010.59</v>
      </c>
      <c r="E12" s="6">
        <f t="shared" si="0"/>
        <v>40165.06</v>
      </c>
      <c r="F12" s="4">
        <f>F9-F10-F11</f>
        <v>63912.95</v>
      </c>
      <c r="G12" s="4">
        <f>G9-G10-G11</f>
        <v>93727.37999999999</v>
      </c>
      <c r="H12" s="4">
        <f>H9-H10-H11</f>
        <v>-109658.03</v>
      </c>
      <c r="I12" s="6">
        <f t="shared" si="1"/>
        <v>47982.29999999999</v>
      </c>
      <c r="J12" s="4">
        <f t="shared" si="2"/>
        <v>88147.35999999999</v>
      </c>
    </row>
    <row r="13" ht="10.5">
      <c r="G13" s="10"/>
    </row>
    <row r="14" spans="2:7" ht="10.5">
      <c r="B14" s="16"/>
      <c r="C14" s="16"/>
      <c r="G14" s="10"/>
    </row>
    <row r="15" spans="1:7" ht="10.5">
      <c r="A15" s="7"/>
      <c r="B15" s="16"/>
      <c r="C15" s="16"/>
      <c r="G15" s="10"/>
    </row>
    <row r="16" spans="1:7" ht="10.5">
      <c r="A16" s="7"/>
      <c r="E16" s="10"/>
      <c r="G16" s="10"/>
    </row>
    <row r="17" spans="2:7" ht="10.5">
      <c r="B17" s="14"/>
      <c r="C17" s="14"/>
      <c r="G17" s="10"/>
    </row>
    <row r="18" ht="10.5">
      <c r="G18" s="10"/>
    </row>
    <row r="20" spans="1:12" ht="12.75" customHeight="1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</row>
    <row r="22" spans="2:10" ht="10.5"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5" t="s">
        <v>29</v>
      </c>
      <c r="J22" s="29" t="s">
        <v>0</v>
      </c>
    </row>
    <row r="23" spans="6:10" ht="10.5">
      <c r="F23" s="7"/>
      <c r="H23" s="10"/>
      <c r="I23" s="11"/>
      <c r="J23" s="30"/>
    </row>
    <row r="24" spans="1:10" s="4" customFormat="1" ht="10.5">
      <c r="A24" s="4" t="s">
        <v>1</v>
      </c>
      <c r="B24" s="4">
        <v>-257513.97</v>
      </c>
      <c r="C24" s="4">
        <v>4848.29</v>
      </c>
      <c r="D24" s="4">
        <v>11097.66</v>
      </c>
      <c r="E24" s="4">
        <v>52107.2</v>
      </c>
      <c r="F24" s="4">
        <v>155838.13</v>
      </c>
      <c r="G24" s="4">
        <v>39656.8</v>
      </c>
      <c r="H24" s="22">
        <v>-8646.56</v>
      </c>
      <c r="I24" s="6">
        <v>5474.95</v>
      </c>
      <c r="J24" s="31">
        <f aca="true" t="shared" si="3" ref="J24:J30">SUM(B24:I24)</f>
        <v>2862.500000000001</v>
      </c>
    </row>
    <row r="25" spans="1:10" ht="10.5">
      <c r="A25" s="8" t="s">
        <v>17</v>
      </c>
      <c r="B25" s="8">
        <v>310</v>
      </c>
      <c r="C25" s="8">
        <v>32.5</v>
      </c>
      <c r="D25" s="8">
        <v>270</v>
      </c>
      <c r="E25" s="8">
        <v>633.64</v>
      </c>
      <c r="F25" s="8">
        <v>1078.7</v>
      </c>
      <c r="G25" s="8">
        <v>534.44</v>
      </c>
      <c r="H25" s="10">
        <v>0</v>
      </c>
      <c r="I25" s="11">
        <v>0</v>
      </c>
      <c r="J25" s="30">
        <f t="shared" si="3"/>
        <v>2859.28</v>
      </c>
    </row>
    <row r="26" spans="1:10" ht="10.5">
      <c r="A26" s="8" t="s">
        <v>18</v>
      </c>
      <c r="H26" s="10">
        <v>9.34</v>
      </c>
      <c r="I26" s="11"/>
      <c r="J26" s="30">
        <f t="shared" si="3"/>
        <v>9.34</v>
      </c>
    </row>
    <row r="27" spans="1:10" ht="10.5">
      <c r="A27" s="8" t="s">
        <v>0</v>
      </c>
      <c r="B27" s="8">
        <f aca="true" t="shared" si="4" ref="B27:G27">SUM(B24:B26)</f>
        <v>-257203.97</v>
      </c>
      <c r="C27" s="8">
        <f t="shared" si="4"/>
        <v>4880.79</v>
      </c>
      <c r="D27" s="8">
        <f t="shared" si="4"/>
        <v>11367.66</v>
      </c>
      <c r="E27" s="8">
        <f t="shared" si="4"/>
        <v>52740.84</v>
      </c>
      <c r="F27" s="8">
        <f t="shared" si="4"/>
        <v>156916.83000000002</v>
      </c>
      <c r="G27" s="8">
        <f t="shared" si="4"/>
        <v>40191.240000000005</v>
      </c>
      <c r="H27" s="10">
        <f>SUM(H24:H26)</f>
        <v>-8637.22</v>
      </c>
      <c r="I27" s="10">
        <f>SUM(I24:I26)</f>
        <v>5474.95</v>
      </c>
      <c r="J27" s="31">
        <f t="shared" si="3"/>
        <v>5731.120000000029</v>
      </c>
    </row>
    <row r="28" spans="1:10" ht="10.5">
      <c r="A28" s="8" t="s">
        <v>19</v>
      </c>
      <c r="B28" s="8">
        <v>15.27</v>
      </c>
      <c r="F28" s="8">
        <v>503.62</v>
      </c>
      <c r="H28" s="10"/>
      <c r="I28" s="11"/>
      <c r="J28" s="30">
        <f t="shared" si="3"/>
        <v>518.89</v>
      </c>
    </row>
    <row r="29" spans="1:10" ht="10.5">
      <c r="A29" s="8" t="s">
        <v>20</v>
      </c>
      <c r="H29" s="10">
        <v>2623</v>
      </c>
      <c r="I29" s="11"/>
      <c r="J29" s="30">
        <f t="shared" si="3"/>
        <v>2623</v>
      </c>
    </row>
    <row r="30" spans="1:10" s="4" customFormat="1" ht="10.5">
      <c r="A30" s="4" t="s">
        <v>2</v>
      </c>
      <c r="B30" s="4">
        <f aca="true" t="shared" si="5" ref="B30:I30">B27-B28-B29</f>
        <v>-257219.24</v>
      </c>
      <c r="C30" s="4">
        <f t="shared" si="5"/>
        <v>4880.79</v>
      </c>
      <c r="D30" s="4">
        <f t="shared" si="5"/>
        <v>11367.66</v>
      </c>
      <c r="E30" s="4">
        <f t="shared" si="5"/>
        <v>52740.84</v>
      </c>
      <c r="F30" s="4">
        <f t="shared" si="5"/>
        <v>156413.21000000002</v>
      </c>
      <c r="G30" s="4">
        <f t="shared" si="5"/>
        <v>40191.240000000005</v>
      </c>
      <c r="H30" s="22">
        <f t="shared" si="5"/>
        <v>-11260.22</v>
      </c>
      <c r="I30" s="22">
        <f t="shared" si="5"/>
        <v>5474.95</v>
      </c>
      <c r="J30" s="31">
        <f t="shared" si="3"/>
        <v>2589.230000000044</v>
      </c>
    </row>
  </sheetData>
  <sheetProtection/>
  <mergeCells count="4">
    <mergeCell ref="A20:I20"/>
    <mergeCell ref="F3:I3"/>
    <mergeCell ref="B3:E3"/>
    <mergeCell ref="A1:J1"/>
  </mergeCells>
  <printOptions/>
  <pageMargins left="0" right="0" top="1" bottom="1" header="0.5" footer="0.5"/>
  <pageSetup fitToHeight="1" fitToWidth="1" horizontalDpi="600" verticalDpi="600" orientation="landscape" r:id="rId1"/>
  <headerFooter alignWithMargins="0">
    <oddHeader>&amp;LAuxiliary Revenue and Expenses
&amp;CJuly 2013
&amp;R
</oddHeader>
  </headerFooter>
  <ignoredErrors>
    <ignoredError sqref="E9:E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A1">
      <selection activeCell="J38" sqref="J38"/>
    </sheetView>
  </sheetViews>
  <sheetFormatPr defaultColWidth="9.140625" defaultRowHeight="12.75"/>
  <cols>
    <col min="1" max="1" width="20.8515625" style="8" customWidth="1"/>
    <col min="2" max="2" width="11.28125" style="8" bestFit="1" customWidth="1"/>
    <col min="3" max="3" width="12.57421875" style="8" bestFit="1" customWidth="1"/>
    <col min="4" max="4" width="12.140625" style="8" bestFit="1" customWidth="1"/>
    <col min="5" max="5" width="12.57421875" style="8" bestFit="1" customWidth="1"/>
    <col min="6" max="6" width="11.421875" style="8" bestFit="1" customWidth="1"/>
    <col min="7" max="7" width="10.8515625" style="8" bestFit="1" customWidth="1"/>
    <col min="8" max="8" width="13.57421875" style="8" customWidth="1"/>
    <col min="9" max="9" width="11.28125" style="8" bestFit="1" customWidth="1"/>
    <col min="10" max="10" width="12.00390625" style="8" bestFit="1" customWidth="1"/>
    <col min="11" max="12" width="10.7109375" style="8" bestFit="1" customWidth="1"/>
    <col min="13" max="13" width="9.140625" style="8" customWidth="1"/>
    <col min="14" max="14" width="9.8515625" style="8" bestFit="1" customWidth="1"/>
    <col min="15" max="16384" width="9.140625" style="8" customWidth="1"/>
  </cols>
  <sheetData>
    <row r="1" spans="1:12" ht="10.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17"/>
      <c r="K1" s="17"/>
      <c r="L1" s="17"/>
    </row>
    <row r="2" spans="2:3" ht="10.5">
      <c r="B2" s="4"/>
      <c r="C2" s="4"/>
    </row>
    <row r="3" spans="2:10" ht="12.75" customHeight="1"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4"/>
    </row>
    <row r="4" spans="2:10" ht="10.5"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</row>
    <row r="5" spans="5:9" ht="10.5">
      <c r="E5" s="11"/>
      <c r="F5" s="7"/>
      <c r="I5" s="11"/>
    </row>
    <row r="6" spans="1:10" s="4" customFormat="1" ht="10.5">
      <c r="A6" s="4" t="s">
        <v>1</v>
      </c>
      <c r="B6" s="4">
        <f>July!B12</f>
        <v>133003.22999999998</v>
      </c>
      <c r="C6" s="4">
        <f>July!C12</f>
        <v>172.42</v>
      </c>
      <c r="D6" s="4">
        <f>July!D12</f>
        <v>-93010.59</v>
      </c>
      <c r="E6" s="6">
        <f aca="true" t="shared" si="0" ref="E6:E12">SUM(B6:D6)</f>
        <v>40165.06</v>
      </c>
      <c r="F6" s="4">
        <f>July!F12</f>
        <v>63912.95</v>
      </c>
      <c r="G6" s="4">
        <f>July!G12</f>
        <v>93727.37999999999</v>
      </c>
      <c r="H6" s="4">
        <f>July!H12</f>
        <v>-109658.03</v>
      </c>
      <c r="I6" s="6">
        <f aca="true" t="shared" si="1" ref="I6:I12">SUM(F6:H6)</f>
        <v>47982.29999999999</v>
      </c>
      <c r="J6" s="4">
        <f aca="true" t="shared" si="2" ref="J6:J12">E6+I6</f>
        <v>88147.35999999999</v>
      </c>
    </row>
    <row r="7" spans="1:10" ht="10.5">
      <c r="A7" s="8" t="s">
        <v>17</v>
      </c>
      <c r="B7" s="8">
        <v>980.2</v>
      </c>
      <c r="E7" s="11">
        <f t="shared" si="0"/>
        <v>980.2</v>
      </c>
      <c r="F7" s="8">
        <v>1037.6</v>
      </c>
      <c r="G7" s="8">
        <v>6530</v>
      </c>
      <c r="I7" s="11">
        <f t="shared" si="1"/>
        <v>7567.6</v>
      </c>
      <c r="J7" s="4">
        <f t="shared" si="2"/>
        <v>8547.800000000001</v>
      </c>
    </row>
    <row r="8" spans="1:10" ht="10.5">
      <c r="A8" s="8" t="s">
        <v>18</v>
      </c>
      <c r="E8" s="11">
        <f t="shared" si="0"/>
        <v>0</v>
      </c>
      <c r="I8" s="11">
        <f t="shared" si="1"/>
        <v>0</v>
      </c>
      <c r="J8" s="4">
        <f t="shared" si="2"/>
        <v>0</v>
      </c>
    </row>
    <row r="9" spans="1:10" ht="10.5">
      <c r="A9" s="8" t="s">
        <v>0</v>
      </c>
      <c r="B9" s="8">
        <f>SUM(B6:B8)</f>
        <v>133983.43</v>
      </c>
      <c r="C9" s="8">
        <f>SUM(C6:C8)</f>
        <v>172.42</v>
      </c>
      <c r="D9" s="8">
        <f>SUM(D6:D8)</f>
        <v>-93010.59</v>
      </c>
      <c r="E9" s="11">
        <f t="shared" si="0"/>
        <v>41145.26000000001</v>
      </c>
      <c r="F9" s="8">
        <f>SUM(F6:F8)</f>
        <v>64950.549999999996</v>
      </c>
      <c r="G9" s="8">
        <f>SUM(G6:G8)</f>
        <v>100257.37999999999</v>
      </c>
      <c r="H9" s="8">
        <f>SUM(H6:H8)</f>
        <v>-109658.03</v>
      </c>
      <c r="I9" s="11">
        <f t="shared" si="1"/>
        <v>55549.899999999994</v>
      </c>
      <c r="J9" s="4">
        <f t="shared" si="2"/>
        <v>96695.16</v>
      </c>
    </row>
    <row r="10" spans="1:10" ht="10.5">
      <c r="A10" s="8" t="s">
        <v>19</v>
      </c>
      <c r="B10" s="8">
        <v>409.95</v>
      </c>
      <c r="D10" s="8">
        <v>3192.69</v>
      </c>
      <c r="E10" s="11">
        <f t="shared" si="0"/>
        <v>3602.64</v>
      </c>
      <c r="G10" s="8">
        <v>209.19</v>
      </c>
      <c r="H10" s="8">
        <v>2644.07</v>
      </c>
      <c r="I10" s="11">
        <f t="shared" si="1"/>
        <v>2853.26</v>
      </c>
      <c r="J10" s="4">
        <f t="shared" si="2"/>
        <v>6455.9</v>
      </c>
    </row>
    <row r="11" spans="1:10" ht="10.5">
      <c r="A11" s="8" t="s">
        <v>20</v>
      </c>
      <c r="D11" s="8">
        <v>620</v>
      </c>
      <c r="E11" s="11">
        <f t="shared" si="0"/>
        <v>620</v>
      </c>
      <c r="H11" s="8">
        <v>524</v>
      </c>
      <c r="I11" s="11">
        <f t="shared" si="1"/>
        <v>524</v>
      </c>
      <c r="J11" s="4">
        <f t="shared" si="2"/>
        <v>1144</v>
      </c>
    </row>
    <row r="12" spans="1:10" s="4" customFormat="1" ht="10.5">
      <c r="A12" s="4" t="s">
        <v>2</v>
      </c>
      <c r="B12" s="4">
        <f>B9-B10-B11</f>
        <v>133573.47999999998</v>
      </c>
      <c r="C12" s="4">
        <f>C9-C10-C11</f>
        <v>172.42</v>
      </c>
      <c r="D12" s="4">
        <f>D9-D10-D11</f>
        <v>-96823.28</v>
      </c>
      <c r="E12" s="6">
        <f t="shared" si="0"/>
        <v>36922.619999999995</v>
      </c>
      <c r="F12" s="4">
        <f>F9-F10-F11</f>
        <v>64950.549999999996</v>
      </c>
      <c r="G12" s="4">
        <f>G9-G10-G11</f>
        <v>100048.18999999999</v>
      </c>
      <c r="H12" s="4">
        <f>H9-H10-H11</f>
        <v>-112826.1</v>
      </c>
      <c r="I12" s="6">
        <f t="shared" si="1"/>
        <v>52172.639999999985</v>
      </c>
      <c r="J12" s="4">
        <f t="shared" si="2"/>
        <v>89095.25999999998</v>
      </c>
    </row>
    <row r="13" ht="10.5">
      <c r="G13" s="10"/>
    </row>
    <row r="14" spans="1:7" ht="10.5">
      <c r="A14" s="8" t="s">
        <v>5</v>
      </c>
      <c r="B14" s="16"/>
      <c r="C14" s="16"/>
      <c r="G14" s="10"/>
    </row>
    <row r="15" spans="1:7" ht="10.5">
      <c r="A15" s="7"/>
      <c r="B15" s="16"/>
      <c r="C15" s="16"/>
      <c r="G15" s="10"/>
    </row>
    <row r="16" spans="1:7" ht="10.5">
      <c r="A16" s="7"/>
      <c r="E16" s="10"/>
      <c r="G16" s="10"/>
    </row>
    <row r="17" spans="2:7" ht="10.5">
      <c r="B17" s="14"/>
      <c r="C17" s="14"/>
      <c r="G17" s="10"/>
    </row>
    <row r="18" ht="10.5">
      <c r="G18" s="10"/>
    </row>
    <row r="20" spans="1:12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</row>
    <row r="22" spans="2:10" ht="10.5"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5" t="s">
        <v>29</v>
      </c>
      <c r="J22" s="13" t="s">
        <v>0</v>
      </c>
    </row>
    <row r="23" spans="6:9" ht="10.5">
      <c r="F23" s="7"/>
      <c r="H23" s="10"/>
      <c r="I23" s="11"/>
    </row>
    <row r="24" spans="1:10" s="4" customFormat="1" ht="10.5">
      <c r="A24" s="4" t="s">
        <v>1</v>
      </c>
      <c r="B24" s="4">
        <f>July!B30</f>
        <v>-257219.24</v>
      </c>
      <c r="C24" s="4">
        <f>July!C30</f>
        <v>4880.79</v>
      </c>
      <c r="D24" s="4">
        <f>July!D30</f>
        <v>11367.66</v>
      </c>
      <c r="E24" s="4">
        <f>July!E30</f>
        <v>52740.84</v>
      </c>
      <c r="F24" s="4">
        <f>July!F30</f>
        <v>156413.21000000002</v>
      </c>
      <c r="G24" s="4">
        <f>July!G30</f>
        <v>40191.240000000005</v>
      </c>
      <c r="H24" s="22">
        <f>July!H30</f>
        <v>-11260.22</v>
      </c>
      <c r="I24" s="6">
        <f>July!I30</f>
        <v>5474.95</v>
      </c>
      <c r="J24" s="4">
        <f>SUM(B24:I24)</f>
        <v>2589.230000000044</v>
      </c>
    </row>
    <row r="25" spans="1:10" ht="10.5">
      <c r="A25" s="8" t="s">
        <v>17</v>
      </c>
      <c r="B25" s="8">
        <v>135</v>
      </c>
      <c r="C25" s="8">
        <v>28.3</v>
      </c>
      <c r="D25" s="8">
        <v>340</v>
      </c>
      <c r="E25" s="8">
        <v>365.08</v>
      </c>
      <c r="F25" s="8">
        <v>1556.11</v>
      </c>
      <c r="G25" s="8">
        <v>275</v>
      </c>
      <c r="H25" s="10"/>
      <c r="I25" s="11"/>
      <c r="J25" s="4">
        <f aca="true" t="shared" si="3" ref="J25:J30">SUM(B25:I25)</f>
        <v>2699.49</v>
      </c>
    </row>
    <row r="26" spans="1:10" ht="10.5">
      <c r="A26" s="8" t="s">
        <v>18</v>
      </c>
      <c r="H26" s="10"/>
      <c r="I26" s="11"/>
      <c r="J26" s="4">
        <f t="shared" si="3"/>
        <v>0</v>
      </c>
    </row>
    <row r="27" spans="1:10" ht="10.5">
      <c r="A27" s="8" t="s">
        <v>0</v>
      </c>
      <c r="B27" s="8">
        <f aca="true" t="shared" si="4" ref="B27:I27">SUM(B24:B26)</f>
        <v>-257084.24</v>
      </c>
      <c r="C27" s="8">
        <f t="shared" si="4"/>
        <v>4909.09</v>
      </c>
      <c r="D27" s="8">
        <f t="shared" si="4"/>
        <v>11707.66</v>
      </c>
      <c r="E27" s="8">
        <f t="shared" si="4"/>
        <v>53105.92</v>
      </c>
      <c r="F27" s="8">
        <f t="shared" si="4"/>
        <v>157969.32</v>
      </c>
      <c r="G27" s="8">
        <f t="shared" si="4"/>
        <v>40466.240000000005</v>
      </c>
      <c r="H27" s="10">
        <f t="shared" si="4"/>
        <v>-11260.22</v>
      </c>
      <c r="I27" s="11">
        <f t="shared" si="4"/>
        <v>5474.95</v>
      </c>
      <c r="J27" s="4">
        <f t="shared" si="3"/>
        <v>5288.720000000006</v>
      </c>
    </row>
    <row r="28" spans="1:10" ht="10.5">
      <c r="A28" s="8" t="s">
        <v>19</v>
      </c>
      <c r="B28" s="8">
        <v>2223.16</v>
      </c>
      <c r="F28" s="8">
        <v>61.4</v>
      </c>
      <c r="H28" s="10">
        <v>-1723.36</v>
      </c>
      <c r="I28" s="11"/>
      <c r="J28" s="4">
        <f t="shared" si="3"/>
        <v>561.2</v>
      </c>
    </row>
    <row r="29" spans="1:10" ht="10.5">
      <c r="A29" s="8" t="s">
        <v>20</v>
      </c>
      <c r="H29" s="10"/>
      <c r="I29" s="11"/>
      <c r="J29" s="4">
        <f t="shared" si="3"/>
        <v>0</v>
      </c>
    </row>
    <row r="30" spans="1:10" s="4" customFormat="1" ht="10.5">
      <c r="A30" s="4" t="s">
        <v>2</v>
      </c>
      <c r="B30" s="4">
        <f aca="true" t="shared" si="5" ref="B30:I30">B27-B28-B29</f>
        <v>-259307.4</v>
      </c>
      <c r="C30" s="4">
        <f t="shared" si="5"/>
        <v>4909.09</v>
      </c>
      <c r="D30" s="4">
        <f t="shared" si="5"/>
        <v>11707.66</v>
      </c>
      <c r="E30" s="4">
        <f t="shared" si="5"/>
        <v>53105.92</v>
      </c>
      <c r="F30" s="4">
        <f t="shared" si="5"/>
        <v>157907.92</v>
      </c>
      <c r="G30" s="4">
        <f t="shared" si="5"/>
        <v>40466.240000000005</v>
      </c>
      <c r="H30" s="22">
        <f t="shared" si="5"/>
        <v>-9536.859999999999</v>
      </c>
      <c r="I30" s="6">
        <f t="shared" si="5"/>
        <v>5474.95</v>
      </c>
      <c r="J30" s="4">
        <f t="shared" si="3"/>
        <v>4727.520000000038</v>
      </c>
    </row>
    <row r="36" ht="10.5">
      <c r="H36" s="21"/>
    </row>
  </sheetData>
  <sheetProtection/>
  <mergeCells count="4">
    <mergeCell ref="A20:I20"/>
    <mergeCell ref="A1:I1"/>
    <mergeCell ref="B3:E3"/>
    <mergeCell ref="F3:I3"/>
  </mergeCells>
  <printOptions/>
  <pageMargins left="0" right="0" top="1" bottom="1" header="0.5" footer="0.5"/>
  <pageSetup fitToHeight="1" fitToWidth="1" horizontalDpi="600" verticalDpi="600" orientation="landscape" r:id="rId1"/>
  <headerFooter alignWithMargins="0">
    <oddHeader>&amp;LAuxiliary Revenue and Expenses
&amp;CAugust 2013
</oddHeader>
  </headerFooter>
  <ignoredErrors>
    <ignoredError sqref="E9:E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101" workbookViewId="0" topLeftCell="A1">
      <selection activeCell="I43" sqref="I43"/>
    </sheetView>
  </sheetViews>
  <sheetFormatPr defaultColWidth="12.7109375" defaultRowHeight="12.75"/>
  <cols>
    <col min="1" max="1" width="20.8515625" style="7" customWidth="1"/>
    <col min="2" max="2" width="11.14062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28125" style="7" bestFit="1" customWidth="1"/>
    <col min="7" max="7" width="11.28125" style="7" customWidth="1"/>
    <col min="8" max="8" width="13.00390625" style="7" customWidth="1"/>
    <col min="9" max="9" width="10.7109375" style="7" bestFit="1" customWidth="1"/>
    <col min="10" max="10" width="12.00390625" style="7" bestFit="1" customWidth="1"/>
    <col min="11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Aug!B12</f>
        <v>133573.47999999998</v>
      </c>
      <c r="C6" s="4">
        <f>Aug!C12</f>
        <v>172.42</v>
      </c>
      <c r="D6" s="4">
        <f>Aug!D12</f>
        <v>-96823.28</v>
      </c>
      <c r="E6" s="6">
        <f aca="true" t="shared" si="0" ref="E6:E12">SUM(B6:D6)</f>
        <v>36922.619999999995</v>
      </c>
      <c r="F6" s="4">
        <f>Aug!F12</f>
        <v>64950.549999999996</v>
      </c>
      <c r="G6" s="4">
        <f>Aug!G12</f>
        <v>100048.18999999999</v>
      </c>
      <c r="H6" s="4">
        <f>Aug!H12</f>
        <v>-112826.1</v>
      </c>
      <c r="I6" s="6">
        <f aca="true" t="shared" si="1" ref="I6:I12">SUM(F6:H6)</f>
        <v>52172.639999999985</v>
      </c>
      <c r="J6" s="4">
        <f aca="true" t="shared" si="2" ref="J6:J12">E6+I6</f>
        <v>89095.25999999998</v>
      </c>
      <c r="K6" s="5"/>
    </row>
    <row r="7" spans="1:11" ht="10.5">
      <c r="A7" s="8" t="s">
        <v>17</v>
      </c>
      <c r="B7" s="8">
        <v>2981.5</v>
      </c>
      <c r="C7" s="8">
        <v>396.68</v>
      </c>
      <c r="D7" s="8"/>
      <c r="E7" s="11">
        <f t="shared" si="0"/>
        <v>3378.18</v>
      </c>
      <c r="F7" s="8">
        <v>409.07</v>
      </c>
      <c r="G7" s="8">
        <v>3350</v>
      </c>
      <c r="H7" s="8"/>
      <c r="I7" s="11">
        <f t="shared" si="1"/>
        <v>3759.07</v>
      </c>
      <c r="J7" s="22">
        <f t="shared" si="2"/>
        <v>7137.25</v>
      </c>
      <c r="K7" s="10"/>
    </row>
    <row r="8" spans="1:11" ht="10.5">
      <c r="A8" s="8" t="s">
        <v>18</v>
      </c>
      <c r="B8" s="8"/>
      <c r="C8" s="8"/>
      <c r="D8" s="8"/>
      <c r="E8" s="11">
        <f t="shared" si="0"/>
        <v>0</v>
      </c>
      <c r="F8" s="8"/>
      <c r="G8" s="8"/>
      <c r="H8" s="8"/>
      <c r="I8" s="11">
        <f t="shared" si="1"/>
        <v>0</v>
      </c>
      <c r="J8" s="22">
        <f t="shared" si="2"/>
        <v>0</v>
      </c>
      <c r="K8" s="10"/>
    </row>
    <row r="9" spans="1:11" ht="10.5">
      <c r="A9" s="8" t="s">
        <v>0</v>
      </c>
      <c r="B9" s="8">
        <f>SUM(B6:B8)</f>
        <v>136554.97999999998</v>
      </c>
      <c r="C9" s="8">
        <f>SUM(C6:C8)</f>
        <v>569.1</v>
      </c>
      <c r="D9" s="8">
        <f>SUM(D6:D8)</f>
        <v>-96823.28</v>
      </c>
      <c r="E9" s="11">
        <f t="shared" si="0"/>
        <v>40300.79999999999</v>
      </c>
      <c r="F9" s="8">
        <f>SUM(F6:F8)</f>
        <v>65359.619999999995</v>
      </c>
      <c r="G9" s="8">
        <f>SUM(G6:G8)</f>
        <v>103398.18999999999</v>
      </c>
      <c r="H9" s="8">
        <f>SUM(H6:H8)</f>
        <v>-112826.1</v>
      </c>
      <c r="I9" s="11">
        <f t="shared" si="1"/>
        <v>55931.70999999999</v>
      </c>
      <c r="J9" s="22">
        <f t="shared" si="2"/>
        <v>96232.50999999998</v>
      </c>
      <c r="K9" s="10"/>
    </row>
    <row r="10" spans="1:11" ht="10.5">
      <c r="A10" s="8" t="s">
        <v>19</v>
      </c>
      <c r="B10" s="8">
        <v>101</v>
      </c>
      <c r="C10" s="8"/>
      <c r="D10" s="8">
        <f>3164.09+109.99+599.99</f>
        <v>3874.0699999999997</v>
      </c>
      <c r="E10" s="11">
        <f t="shared" si="0"/>
        <v>3975.0699999999997</v>
      </c>
      <c r="F10" s="8"/>
      <c r="G10" s="8">
        <v>2028.59</v>
      </c>
      <c r="H10" s="8">
        <v>-261.47</v>
      </c>
      <c r="I10" s="11">
        <f t="shared" si="1"/>
        <v>1767.12</v>
      </c>
      <c r="J10" s="22">
        <f t="shared" si="2"/>
        <v>5742.19</v>
      </c>
      <c r="K10" s="10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/>
      <c r="G11" s="8"/>
      <c r="H11" s="8">
        <v>524</v>
      </c>
      <c r="I11" s="11">
        <f t="shared" si="1"/>
        <v>524</v>
      </c>
      <c r="J11" s="22">
        <f t="shared" si="2"/>
        <v>1144</v>
      </c>
      <c r="K11" s="10"/>
    </row>
    <row r="12" spans="1:11" s="3" customFormat="1" ht="10.5">
      <c r="A12" s="4" t="s">
        <v>2</v>
      </c>
      <c r="B12" s="4">
        <f>B9-B10-B11</f>
        <v>136453.97999999998</v>
      </c>
      <c r="C12" s="4">
        <f>C9-C10-C11</f>
        <v>569.1</v>
      </c>
      <c r="D12" s="4">
        <f>D9-D10-D11</f>
        <v>-101317.35</v>
      </c>
      <c r="E12" s="6">
        <f t="shared" si="0"/>
        <v>35705.72999999998</v>
      </c>
      <c r="F12" s="4">
        <f>F9-F10-F11</f>
        <v>65359.619999999995</v>
      </c>
      <c r="G12" s="4">
        <f>G9-G10-G11</f>
        <v>101369.59999999999</v>
      </c>
      <c r="H12" s="4">
        <f>H9-H10-H11</f>
        <v>-113088.63</v>
      </c>
      <c r="I12" s="6">
        <f t="shared" si="1"/>
        <v>53640.58999999997</v>
      </c>
      <c r="J12" s="4">
        <f t="shared" si="2"/>
        <v>89346.31999999995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34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33"/>
      <c r="J23" s="8"/>
    </row>
    <row r="24" spans="1:10" s="3" customFormat="1" ht="10.5">
      <c r="A24" s="4" t="s">
        <v>1</v>
      </c>
      <c r="B24" s="4">
        <f>Aug!B30</f>
        <v>-259307.4</v>
      </c>
      <c r="C24" s="4">
        <f>Aug!C30</f>
        <v>4909.09</v>
      </c>
      <c r="D24" s="4">
        <f>Aug!D30</f>
        <v>11707.66</v>
      </c>
      <c r="E24" s="4">
        <f>Aug!E30</f>
        <v>53105.92</v>
      </c>
      <c r="F24" s="4">
        <f>Aug!F30</f>
        <v>157907.92</v>
      </c>
      <c r="G24" s="4">
        <f>Aug!G30</f>
        <v>40466.240000000005</v>
      </c>
      <c r="H24" s="22">
        <f>Aug!H30</f>
        <v>-9536.859999999999</v>
      </c>
      <c r="I24" s="35">
        <f>Aug!I30</f>
        <v>5474.95</v>
      </c>
      <c r="J24" s="4">
        <f aca="true" t="shared" si="3" ref="J24:J30">SUM(B24:I24)</f>
        <v>4727.520000000038</v>
      </c>
    </row>
    <row r="25" spans="1:10" ht="10.5">
      <c r="A25" s="8" t="s">
        <v>17</v>
      </c>
      <c r="B25" s="8">
        <v>503</v>
      </c>
      <c r="C25" s="8">
        <v>0</v>
      </c>
      <c r="D25" s="8">
        <v>140</v>
      </c>
      <c r="E25" s="8">
        <v>948.33</v>
      </c>
      <c r="F25" s="8">
        <v>1600.76</v>
      </c>
      <c r="G25" s="8">
        <v>2050</v>
      </c>
      <c r="H25" s="10">
        <v>0</v>
      </c>
      <c r="I25" s="37">
        <v>0</v>
      </c>
      <c r="J25" s="38">
        <f t="shared" si="3"/>
        <v>5242.09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/>
      <c r="I26" s="37">
        <v>0</v>
      </c>
      <c r="J26" s="38">
        <f t="shared" si="3"/>
        <v>0</v>
      </c>
      <c r="K26" s="9"/>
    </row>
    <row r="27" spans="1:10" ht="10.5">
      <c r="A27" s="8" t="s">
        <v>0</v>
      </c>
      <c r="B27" s="8">
        <f aca="true" t="shared" si="4" ref="B27:I27">SUM(B24:B26)</f>
        <v>-258804.4</v>
      </c>
      <c r="C27" s="8">
        <f t="shared" si="4"/>
        <v>4909.09</v>
      </c>
      <c r="D27" s="8">
        <f t="shared" si="4"/>
        <v>11847.66</v>
      </c>
      <c r="E27" s="8">
        <f t="shared" si="4"/>
        <v>54054.25</v>
      </c>
      <c r="F27" s="8">
        <f t="shared" si="4"/>
        <v>159508.68000000002</v>
      </c>
      <c r="G27" s="8">
        <f t="shared" si="4"/>
        <v>42516.240000000005</v>
      </c>
      <c r="H27" s="10">
        <f t="shared" si="4"/>
        <v>-9536.859999999999</v>
      </c>
      <c r="I27" s="39">
        <f t="shared" si="4"/>
        <v>5474.95</v>
      </c>
      <c r="J27" s="38">
        <f t="shared" si="3"/>
        <v>9969.610000000033</v>
      </c>
    </row>
    <row r="28" spans="1:10" ht="10.5">
      <c r="A28" s="8" t="s">
        <v>19</v>
      </c>
      <c r="B28" s="8">
        <v>1192.51</v>
      </c>
      <c r="C28" s="8"/>
      <c r="D28" s="8"/>
      <c r="E28" s="8"/>
      <c r="F28" s="8">
        <v>83.76</v>
      </c>
      <c r="G28" s="8"/>
      <c r="H28" s="10"/>
      <c r="I28" s="37"/>
      <c r="J28" s="38">
        <f t="shared" si="3"/>
        <v>1276.27</v>
      </c>
    </row>
    <row r="29" spans="1:10" ht="10.5">
      <c r="A29" s="8" t="s">
        <v>20</v>
      </c>
      <c r="B29" s="8"/>
      <c r="C29" s="8"/>
      <c r="D29" s="8"/>
      <c r="E29" s="8"/>
      <c r="F29" s="8"/>
      <c r="G29" s="8"/>
      <c r="H29" s="10">
        <v>2623</v>
      </c>
      <c r="I29" s="37"/>
      <c r="J29" s="38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-259996.91</v>
      </c>
      <c r="C30" s="4">
        <f t="shared" si="5"/>
        <v>4909.09</v>
      </c>
      <c r="D30" s="4">
        <f t="shared" si="5"/>
        <v>11847.66</v>
      </c>
      <c r="E30" s="4">
        <f t="shared" si="5"/>
        <v>54054.25</v>
      </c>
      <c r="F30" s="4">
        <f t="shared" si="5"/>
        <v>159424.92</v>
      </c>
      <c r="G30" s="4">
        <f t="shared" si="5"/>
        <v>42516.240000000005</v>
      </c>
      <c r="H30" s="22">
        <f t="shared" si="5"/>
        <v>-12159.859999999999</v>
      </c>
      <c r="I30" s="6">
        <f t="shared" si="5"/>
        <v>5474.95</v>
      </c>
      <c r="J30" s="4">
        <f t="shared" si="3"/>
        <v>6070.340000000016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B3:E3"/>
    <mergeCell ref="F3:I3"/>
    <mergeCell ref="A20:I20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&amp;LAuxiliary Revenue and Expenses&amp;CSeptember 2013</oddHeader>
  </headerFooter>
  <ignoredErrors>
    <ignoredError sqref="E9:E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E41" sqref="E41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1.421875" style="7" customWidth="1"/>
    <col min="8" max="8" width="12.7109375" style="7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2" width="10.7109375" style="7" bestFit="1" customWidth="1"/>
    <col min="13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Sept!B12</f>
        <v>136453.97999999998</v>
      </c>
      <c r="C6" s="4">
        <f>Sept!C12</f>
        <v>569.1</v>
      </c>
      <c r="D6" s="4">
        <f>Sept!D12</f>
        <v>-101317.35</v>
      </c>
      <c r="E6" s="6">
        <f aca="true" t="shared" si="0" ref="E6:E12">SUM(B6:D6)</f>
        <v>35705.72999999998</v>
      </c>
      <c r="F6" s="4">
        <f>Sept!F12</f>
        <v>65359.619999999995</v>
      </c>
      <c r="G6" s="4">
        <f>Sept!G12</f>
        <v>101369.59999999999</v>
      </c>
      <c r="H6" s="4">
        <f>Sept!H12</f>
        <v>-113088.63</v>
      </c>
      <c r="I6" s="6">
        <f aca="true" t="shared" si="1" ref="I6:I12">SUM(F6:H6)</f>
        <v>53640.58999999997</v>
      </c>
      <c r="J6" s="4">
        <f aca="true" t="shared" si="2" ref="J6:J12">E6+I6</f>
        <v>89346.31999999995</v>
      </c>
      <c r="K6" s="22"/>
    </row>
    <row r="7" spans="1:11" ht="10.5">
      <c r="A7" s="8" t="s">
        <v>17</v>
      </c>
      <c r="B7" s="8">
        <v>289.25</v>
      </c>
      <c r="C7" s="8">
        <v>0</v>
      </c>
      <c r="D7" s="8"/>
      <c r="E7" s="11">
        <f t="shared" si="0"/>
        <v>289.25</v>
      </c>
      <c r="F7" s="8">
        <v>1754.63</v>
      </c>
      <c r="G7" s="8">
        <v>1639</v>
      </c>
      <c r="H7" s="8"/>
      <c r="I7" s="11">
        <f t="shared" si="1"/>
        <v>3393.63</v>
      </c>
      <c r="J7" s="22">
        <f t="shared" si="2"/>
        <v>3682.88</v>
      </c>
      <c r="K7" s="10"/>
    </row>
    <row r="8" spans="1:11" ht="10.5">
      <c r="A8" s="8" t="s">
        <v>18</v>
      </c>
      <c r="B8" s="8">
        <v>0</v>
      </c>
      <c r="C8" s="8">
        <v>0</v>
      </c>
      <c r="D8" s="8"/>
      <c r="E8" s="11">
        <f t="shared" si="0"/>
        <v>0</v>
      </c>
      <c r="F8" s="8"/>
      <c r="G8" s="8"/>
      <c r="H8" s="8"/>
      <c r="I8" s="6">
        <f t="shared" si="1"/>
        <v>0</v>
      </c>
      <c r="J8" s="22">
        <f t="shared" si="2"/>
        <v>0</v>
      </c>
      <c r="K8" s="10"/>
    </row>
    <row r="9" spans="1:11" ht="10.5">
      <c r="A9" s="8" t="s">
        <v>0</v>
      </c>
      <c r="B9" s="8">
        <f>SUM(B6:B8)</f>
        <v>136743.22999999998</v>
      </c>
      <c r="C9" s="8">
        <f>SUM(C6:C8)</f>
        <v>569.1</v>
      </c>
      <c r="D9" s="8">
        <f>SUM(D6:D8)</f>
        <v>-101317.35</v>
      </c>
      <c r="E9" s="11">
        <f t="shared" si="0"/>
        <v>35994.97999999998</v>
      </c>
      <c r="F9" s="8">
        <f>SUM(F6:F8)</f>
        <v>67114.25</v>
      </c>
      <c r="G9" s="8">
        <f>SUM(G6:G8)</f>
        <v>103008.59999999999</v>
      </c>
      <c r="H9" s="8">
        <f>SUM(H6:H8)</f>
        <v>-113088.63</v>
      </c>
      <c r="I9" s="11">
        <f t="shared" si="1"/>
        <v>57034.21999999997</v>
      </c>
      <c r="J9" s="22">
        <f t="shared" si="2"/>
        <v>93029.19999999995</v>
      </c>
      <c r="K9" s="10"/>
    </row>
    <row r="10" spans="1:11" ht="10.5">
      <c r="A10" s="8" t="s">
        <v>19</v>
      </c>
      <c r="B10" s="8">
        <v>44</v>
      </c>
      <c r="C10" s="8"/>
      <c r="D10" s="8">
        <f>3312.5+2668+9186</f>
        <v>15166.5</v>
      </c>
      <c r="E10" s="11">
        <f t="shared" si="0"/>
        <v>15210.5</v>
      </c>
      <c r="F10" s="8"/>
      <c r="G10" s="8">
        <v>1351.29</v>
      </c>
      <c r="H10" s="8">
        <v>1330.64</v>
      </c>
      <c r="I10" s="6">
        <f t="shared" si="1"/>
        <v>2681.9300000000003</v>
      </c>
      <c r="J10" s="22">
        <f t="shared" si="2"/>
        <v>17892.43</v>
      </c>
      <c r="K10" s="10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/>
      <c r="G11" s="8"/>
      <c r="H11" s="8">
        <v>524</v>
      </c>
      <c r="I11" s="6">
        <f t="shared" si="1"/>
        <v>524</v>
      </c>
      <c r="J11" s="22">
        <f t="shared" si="2"/>
        <v>1144</v>
      </c>
      <c r="K11" s="10"/>
    </row>
    <row r="12" spans="1:11" s="3" customFormat="1" ht="10.5">
      <c r="A12" s="4" t="s">
        <v>2</v>
      </c>
      <c r="B12" s="4">
        <f>B9-B10-B11</f>
        <v>136699.22999999998</v>
      </c>
      <c r="C12" s="4">
        <f>C9-C10-C11</f>
        <v>569.1</v>
      </c>
      <c r="D12" s="4">
        <f>D9-D10-D11</f>
        <v>-117103.85</v>
      </c>
      <c r="E12" s="6">
        <f t="shared" si="0"/>
        <v>20164.47999999998</v>
      </c>
      <c r="F12" s="4">
        <f>F9-F10-F11</f>
        <v>67114.25</v>
      </c>
      <c r="G12" s="4">
        <f>G9-G10-G11</f>
        <v>101657.31</v>
      </c>
      <c r="H12" s="4">
        <f>H9-H10-H11</f>
        <v>-114943.27</v>
      </c>
      <c r="I12" s="6">
        <f t="shared" si="1"/>
        <v>53828.28999999999</v>
      </c>
      <c r="J12" s="4">
        <f t="shared" si="2"/>
        <v>73992.76999999997</v>
      </c>
      <c r="K12" s="22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2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J23" s="8"/>
    </row>
    <row r="24" spans="1:10" s="3" customFormat="1" ht="10.5">
      <c r="A24" s="4" t="s">
        <v>1</v>
      </c>
      <c r="B24" s="4">
        <f>Sept!B30</f>
        <v>-259996.91</v>
      </c>
      <c r="C24" s="4">
        <f>Sept!C30</f>
        <v>4909.09</v>
      </c>
      <c r="D24" s="4">
        <f>Sept!D30</f>
        <v>11847.66</v>
      </c>
      <c r="E24" s="4">
        <f>Sept!E30</f>
        <v>54054.25</v>
      </c>
      <c r="F24" s="4">
        <f>Sept!F30</f>
        <v>159424.92</v>
      </c>
      <c r="G24" s="4">
        <f>Sept!G30</f>
        <v>42516.240000000005</v>
      </c>
      <c r="H24" s="22">
        <f>Sept!H30</f>
        <v>-12159.859999999999</v>
      </c>
      <c r="I24" s="22">
        <f>Sept!I30</f>
        <v>5474.95</v>
      </c>
      <c r="J24" s="4">
        <f aca="true" t="shared" si="3" ref="J24:J30">SUM(B24:I24)</f>
        <v>6070.340000000016</v>
      </c>
    </row>
    <row r="25" spans="1:11" ht="10.5">
      <c r="A25" s="8" t="s">
        <v>17</v>
      </c>
      <c r="B25" s="8">
        <v>421.95</v>
      </c>
      <c r="C25" s="8">
        <v>137.5</v>
      </c>
      <c r="D25" s="8">
        <v>180</v>
      </c>
      <c r="E25" s="8">
        <v>719.32</v>
      </c>
      <c r="F25" s="8">
        <v>4357.09</v>
      </c>
      <c r="G25" s="8">
        <v>600</v>
      </c>
      <c r="H25" s="10"/>
      <c r="I25" s="42">
        <v>0</v>
      </c>
      <c r="J25" s="38">
        <f t="shared" si="3"/>
        <v>6415.860000000001</v>
      </c>
      <c r="K25" s="9"/>
    </row>
    <row r="26" spans="1:10" ht="10.5">
      <c r="A26" s="8" t="s">
        <v>18</v>
      </c>
      <c r="B26" s="8"/>
      <c r="C26" s="8"/>
      <c r="D26" s="8"/>
      <c r="E26" s="8"/>
      <c r="F26" s="8"/>
      <c r="G26" s="8"/>
      <c r="H26" s="10"/>
      <c r="I26" s="42"/>
      <c r="J26" s="38">
        <f t="shared" si="3"/>
        <v>0</v>
      </c>
    </row>
    <row r="27" spans="1:10" ht="10.5">
      <c r="A27" s="8" t="s">
        <v>0</v>
      </c>
      <c r="B27" s="8">
        <f aca="true" t="shared" si="4" ref="B27:I27">SUM(B24:B26)</f>
        <v>-259574.96</v>
      </c>
      <c r="C27" s="8">
        <f t="shared" si="4"/>
        <v>5046.59</v>
      </c>
      <c r="D27" s="8">
        <f t="shared" si="4"/>
        <v>12027.66</v>
      </c>
      <c r="E27" s="8">
        <f t="shared" si="4"/>
        <v>54773.57</v>
      </c>
      <c r="F27" s="8">
        <f t="shared" si="4"/>
        <v>163782.01</v>
      </c>
      <c r="G27" s="8">
        <f t="shared" si="4"/>
        <v>43116.240000000005</v>
      </c>
      <c r="H27" s="10">
        <f t="shared" si="4"/>
        <v>-12159.859999999999</v>
      </c>
      <c r="I27" s="10">
        <f t="shared" si="4"/>
        <v>5474.95</v>
      </c>
      <c r="J27" s="4">
        <f t="shared" si="3"/>
        <v>12486.20000000003</v>
      </c>
    </row>
    <row r="28" spans="1:10" ht="10.5">
      <c r="A28" s="8" t="s">
        <v>19</v>
      </c>
      <c r="B28" s="8">
        <v>-161.75</v>
      </c>
      <c r="C28" s="8"/>
      <c r="D28" s="8"/>
      <c r="E28" s="8"/>
      <c r="F28" s="8">
        <v>115.74</v>
      </c>
      <c r="G28" s="8">
        <v>25.98</v>
      </c>
      <c r="H28" s="10">
        <v>374.25</v>
      </c>
      <c r="I28" s="42"/>
      <c r="J28" s="38">
        <f t="shared" si="3"/>
        <v>354.21999999999997</v>
      </c>
    </row>
    <row r="29" spans="1:10" ht="10.5">
      <c r="A29" s="8" t="s">
        <v>20</v>
      </c>
      <c r="B29" s="8"/>
      <c r="C29" s="8"/>
      <c r="D29" s="8"/>
      <c r="E29" s="8"/>
      <c r="F29" s="8"/>
      <c r="G29" s="8"/>
      <c r="H29" s="10">
        <v>2623</v>
      </c>
      <c r="I29" s="42"/>
      <c r="J29" s="38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-259413.21</v>
      </c>
      <c r="C30" s="4">
        <f t="shared" si="5"/>
        <v>5046.59</v>
      </c>
      <c r="D30" s="4">
        <f t="shared" si="5"/>
        <v>12027.66</v>
      </c>
      <c r="E30" s="4">
        <f t="shared" si="5"/>
        <v>54773.57</v>
      </c>
      <c r="F30" s="4">
        <f t="shared" si="5"/>
        <v>163666.27000000002</v>
      </c>
      <c r="G30" s="4">
        <f t="shared" si="5"/>
        <v>43090.26</v>
      </c>
      <c r="H30" s="22">
        <f t="shared" si="5"/>
        <v>-15157.109999999999</v>
      </c>
      <c r="I30" s="22">
        <f t="shared" si="5"/>
        <v>5474.95</v>
      </c>
      <c r="J30" s="4">
        <f t="shared" si="3"/>
        <v>9508.980000000036</v>
      </c>
    </row>
    <row r="32" spans="1:12" ht="10.5">
      <c r="A32" s="8"/>
      <c r="L32" s="9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B3:E3"/>
    <mergeCell ref="F3:I3"/>
    <mergeCell ref="A20:I20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&amp;LAuxiliary Revenue and Expenses&amp;COctober 2013</oddHeader>
  </headerFooter>
  <ignoredErrors>
    <ignoredError sqref="E9:E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G36" sqref="G36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2.57421875" style="7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Oct!B12</f>
        <v>136699.22999999998</v>
      </c>
      <c r="C6" s="4">
        <f>Oct!C12</f>
        <v>569.1</v>
      </c>
      <c r="D6" s="4">
        <f>Oct!D12</f>
        <v>-117103.85</v>
      </c>
      <c r="E6" s="6">
        <f aca="true" t="shared" si="0" ref="E6:E12">SUM(B6:D6)</f>
        <v>20164.47999999998</v>
      </c>
      <c r="F6" s="4">
        <f>Oct!F12</f>
        <v>67114.25</v>
      </c>
      <c r="G6" s="4">
        <f>Oct!G12</f>
        <v>101657.31</v>
      </c>
      <c r="H6" s="4">
        <f>Oct!H12</f>
        <v>-114943.27</v>
      </c>
      <c r="I6" s="6">
        <f aca="true" t="shared" si="1" ref="I6:I12">SUM(F6:H6)</f>
        <v>53828.28999999999</v>
      </c>
      <c r="J6" s="4">
        <f aca="true" t="shared" si="2" ref="J6:J12">E6+I6</f>
        <v>73992.76999999997</v>
      </c>
      <c r="K6" s="5"/>
    </row>
    <row r="7" spans="1:11" ht="10.5">
      <c r="A7" s="8" t="s">
        <v>17</v>
      </c>
      <c r="B7" s="8">
        <v>783</v>
      </c>
      <c r="C7" s="8">
        <v>0</v>
      </c>
      <c r="D7" s="8"/>
      <c r="E7" s="11">
        <f t="shared" si="0"/>
        <v>783</v>
      </c>
      <c r="F7" s="8">
        <v>1521.79</v>
      </c>
      <c r="G7" s="8">
        <v>6547</v>
      </c>
      <c r="H7" s="8">
        <v>0</v>
      </c>
      <c r="I7" s="6">
        <f t="shared" si="1"/>
        <v>8068.79</v>
      </c>
      <c r="J7" s="22">
        <f t="shared" si="2"/>
        <v>8851.79</v>
      </c>
      <c r="K7" s="9"/>
    </row>
    <row r="8" spans="1:11" ht="10.5">
      <c r="A8" s="8" t="s">
        <v>18</v>
      </c>
      <c r="B8" s="8"/>
      <c r="C8" s="8">
        <v>0</v>
      </c>
      <c r="D8" s="8">
        <v>0</v>
      </c>
      <c r="E8" s="11">
        <f t="shared" si="0"/>
        <v>0</v>
      </c>
      <c r="F8" s="8">
        <v>0</v>
      </c>
      <c r="G8" s="8">
        <v>0</v>
      </c>
      <c r="H8" s="8"/>
      <c r="I8" s="6">
        <f t="shared" si="1"/>
        <v>0</v>
      </c>
      <c r="J8" s="22">
        <f t="shared" si="2"/>
        <v>0</v>
      </c>
      <c r="K8" s="9"/>
    </row>
    <row r="9" spans="1:11" ht="10.5">
      <c r="A9" s="8" t="s">
        <v>0</v>
      </c>
      <c r="B9" s="8">
        <f>SUM(B6:B8)</f>
        <v>137482.22999999998</v>
      </c>
      <c r="C9" s="8">
        <f>SUM(C6:C8)</f>
        <v>569.1</v>
      </c>
      <c r="D9" s="8">
        <f>SUM(D6:D8)</f>
        <v>-117103.85</v>
      </c>
      <c r="E9" s="11">
        <f t="shared" si="0"/>
        <v>20947.47999999998</v>
      </c>
      <c r="F9" s="8">
        <f>SUM(F6:F8)</f>
        <v>68636.04</v>
      </c>
      <c r="G9" s="8">
        <f>SUM(G6:G8)</f>
        <v>108204.31</v>
      </c>
      <c r="H9" s="8">
        <f>SUM(H6:H8)</f>
        <v>-114943.27</v>
      </c>
      <c r="I9" s="11">
        <f t="shared" si="1"/>
        <v>61897.07999999997</v>
      </c>
      <c r="J9" s="22">
        <f t="shared" si="2"/>
        <v>82844.55999999995</v>
      </c>
      <c r="K9" s="9"/>
    </row>
    <row r="10" spans="1:11" ht="10.5">
      <c r="A10" s="8" t="s">
        <v>19</v>
      </c>
      <c r="B10" s="8">
        <f>26</f>
        <v>26</v>
      </c>
      <c r="C10" s="8"/>
      <c r="D10" s="8">
        <f>3207.7</f>
        <v>3207.7</v>
      </c>
      <c r="E10" s="11">
        <f t="shared" si="0"/>
        <v>3233.7</v>
      </c>
      <c r="F10" s="8"/>
      <c r="G10" s="8">
        <v>196.78</v>
      </c>
      <c r="H10" s="8">
        <v>906.05</v>
      </c>
      <c r="I10" s="6">
        <f t="shared" si="1"/>
        <v>1102.83</v>
      </c>
      <c r="J10" s="22">
        <f t="shared" si="2"/>
        <v>4336.53</v>
      </c>
      <c r="K10" s="9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>
        <v>0</v>
      </c>
      <c r="G11" s="8"/>
      <c r="H11" s="8">
        <v>524</v>
      </c>
      <c r="I11" s="6">
        <f t="shared" si="1"/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137456.22999999998</v>
      </c>
      <c r="C12" s="4">
        <f>C9-C10-C11</f>
        <v>569.1</v>
      </c>
      <c r="D12" s="4">
        <f>D9-D10-D11</f>
        <v>-120931.55</v>
      </c>
      <c r="E12" s="6">
        <f t="shared" si="0"/>
        <v>17093.779999999984</v>
      </c>
      <c r="F12" s="4">
        <f>F9-F10-F11</f>
        <v>68636.04</v>
      </c>
      <c r="G12" s="4">
        <f>G9-G10-G11</f>
        <v>108007.53</v>
      </c>
      <c r="H12" s="4">
        <f>H9-H10-H11</f>
        <v>-116373.32</v>
      </c>
      <c r="I12" s="6">
        <f t="shared" si="1"/>
        <v>60270.25</v>
      </c>
      <c r="J12" s="4">
        <f t="shared" si="2"/>
        <v>77364.02999999998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2.75" customHeight="1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Oct!B30</f>
        <v>-259413.21</v>
      </c>
      <c r="C24" s="4">
        <f>Oct!C30</f>
        <v>5046.59</v>
      </c>
      <c r="D24" s="4">
        <f>Oct!D30</f>
        <v>12027.66</v>
      </c>
      <c r="E24" s="4">
        <f>Oct!E30</f>
        <v>54773.57</v>
      </c>
      <c r="F24" s="4">
        <f>Oct!F30</f>
        <v>163666.27000000002</v>
      </c>
      <c r="G24" s="4">
        <f>Oct!G30</f>
        <v>43090.26</v>
      </c>
      <c r="H24" s="22">
        <f>Oct!H30</f>
        <v>-15157.109999999999</v>
      </c>
      <c r="I24" s="22">
        <f>Oct!I30</f>
        <v>5474.95</v>
      </c>
      <c r="J24" s="4">
        <f aca="true" t="shared" si="3" ref="J24:J30">SUM(B24:I24)</f>
        <v>9508.980000000036</v>
      </c>
    </row>
    <row r="25" spans="1:10" ht="10.5">
      <c r="A25" s="8" t="s">
        <v>17</v>
      </c>
      <c r="B25" s="8">
        <v>75</v>
      </c>
      <c r="C25" s="8">
        <v>0</v>
      </c>
      <c r="D25" s="8">
        <v>200</v>
      </c>
      <c r="E25" s="8">
        <v>481.27</v>
      </c>
      <c r="F25" s="8">
        <v>3890.42</v>
      </c>
      <c r="G25" s="8">
        <v>600</v>
      </c>
      <c r="H25" s="10">
        <v>20000</v>
      </c>
      <c r="I25" s="42">
        <v>0</v>
      </c>
      <c r="J25" s="4">
        <f t="shared" si="3"/>
        <v>25246.690000000002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/>
      <c r="I26" s="42">
        <v>0</v>
      </c>
      <c r="J26" s="4">
        <f t="shared" si="3"/>
        <v>0</v>
      </c>
      <c r="K26" s="9"/>
    </row>
    <row r="27" spans="1:10" ht="10.5">
      <c r="A27" s="8" t="s">
        <v>0</v>
      </c>
      <c r="B27" s="8">
        <f aca="true" t="shared" si="4" ref="B27:I27">SUM(B24:B26)</f>
        <v>-259338.21</v>
      </c>
      <c r="C27" s="8">
        <f t="shared" si="4"/>
        <v>5046.59</v>
      </c>
      <c r="D27" s="8">
        <f t="shared" si="4"/>
        <v>12227.66</v>
      </c>
      <c r="E27" s="8">
        <f t="shared" si="4"/>
        <v>55254.84</v>
      </c>
      <c r="F27" s="8">
        <f t="shared" si="4"/>
        <v>167556.69000000003</v>
      </c>
      <c r="G27" s="8">
        <f t="shared" si="4"/>
        <v>43690.26</v>
      </c>
      <c r="H27" s="10">
        <f t="shared" si="4"/>
        <v>4842.890000000001</v>
      </c>
      <c r="I27" s="36">
        <f t="shared" si="4"/>
        <v>5474.95</v>
      </c>
      <c r="J27" s="4">
        <f t="shared" si="3"/>
        <v>34755.670000000035</v>
      </c>
    </row>
    <row r="28" spans="1:11" ht="10.5">
      <c r="A28" s="8" t="s">
        <v>19</v>
      </c>
      <c r="B28" s="8">
        <v>2081.38</v>
      </c>
      <c r="C28" s="8"/>
      <c r="D28" s="8"/>
      <c r="E28" s="8"/>
      <c r="F28" s="8">
        <v>61.12</v>
      </c>
      <c r="G28" s="8"/>
      <c r="H28" s="10">
        <f>526.92</f>
        <v>526.92</v>
      </c>
      <c r="I28" s="42"/>
      <c r="J28" s="4">
        <f t="shared" si="3"/>
        <v>2669.42</v>
      </c>
      <c r="K28" s="9"/>
    </row>
    <row r="29" spans="1:12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2623</v>
      </c>
      <c r="I29" s="42">
        <v>0</v>
      </c>
      <c r="J29" s="4">
        <f t="shared" si="3"/>
        <v>2623</v>
      </c>
      <c r="L29" s="48"/>
    </row>
    <row r="30" spans="1:10" s="3" customFormat="1" ht="10.5">
      <c r="A30" s="4" t="s">
        <v>2</v>
      </c>
      <c r="B30" s="4">
        <f>B27-B28-B29</f>
        <v>-261419.59</v>
      </c>
      <c r="C30" s="4">
        <f aca="true" t="shared" si="5" ref="C30:I30">C27-C28-C29</f>
        <v>5046.59</v>
      </c>
      <c r="D30" s="4">
        <f t="shared" si="5"/>
        <v>12227.66</v>
      </c>
      <c r="E30" s="4">
        <f t="shared" si="5"/>
        <v>55254.84</v>
      </c>
      <c r="F30" s="4">
        <f t="shared" si="5"/>
        <v>167495.57000000004</v>
      </c>
      <c r="G30" s="4">
        <f t="shared" si="5"/>
        <v>43690.26</v>
      </c>
      <c r="H30" s="22">
        <f t="shared" si="5"/>
        <v>1692.9700000000012</v>
      </c>
      <c r="I30" s="43">
        <f t="shared" si="5"/>
        <v>5474.95</v>
      </c>
      <c r="J30" s="4">
        <f t="shared" si="3"/>
        <v>29463.25000000004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&amp;LAuxiliary Revenue and Expenses&amp;CNovember 2014
</oddHeader>
  </headerFooter>
  <ignoredErrors>
    <ignoredError sqref="E9:E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E38" sqref="E38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2.421875" style="7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Nov!B12</f>
        <v>137456.22999999998</v>
      </c>
      <c r="C6" s="4">
        <f>Nov!C12</f>
        <v>569.1</v>
      </c>
      <c r="D6" s="4">
        <f>Nov!D12</f>
        <v>-120931.55</v>
      </c>
      <c r="E6" s="6">
        <f aca="true" t="shared" si="0" ref="E6:E12">SUM(B6:D6)</f>
        <v>17093.779999999984</v>
      </c>
      <c r="F6" s="4">
        <f>Nov!F12</f>
        <v>68636.04</v>
      </c>
      <c r="G6" s="4">
        <f>Nov!G12</f>
        <v>108007.53</v>
      </c>
      <c r="H6" s="4">
        <f>Nov!H12</f>
        <v>-116373.32</v>
      </c>
      <c r="I6" s="6">
        <f aca="true" t="shared" si="1" ref="I6:I12">SUM(F6:H6)</f>
        <v>60270.25</v>
      </c>
      <c r="J6" s="4">
        <f aca="true" t="shared" si="2" ref="J6:J12">E6+I6</f>
        <v>77364.02999999998</v>
      </c>
      <c r="K6" s="5"/>
    </row>
    <row r="7" spans="1:11" ht="10.5">
      <c r="A7" s="8" t="s">
        <v>17</v>
      </c>
      <c r="B7" s="8">
        <v>79.75</v>
      </c>
      <c r="C7" s="8"/>
      <c r="D7" s="8"/>
      <c r="E7" s="11">
        <f t="shared" si="0"/>
        <v>79.75</v>
      </c>
      <c r="F7" s="8">
        <v>1053.33</v>
      </c>
      <c r="G7" s="8">
        <v>3645</v>
      </c>
      <c r="H7" s="8"/>
      <c r="I7" s="6">
        <f t="shared" si="1"/>
        <v>4698.33</v>
      </c>
      <c r="J7" s="22">
        <f t="shared" si="2"/>
        <v>4778.08</v>
      </c>
      <c r="K7" s="9"/>
    </row>
    <row r="8" spans="1:11" ht="10.5">
      <c r="A8" s="8" t="s">
        <v>18</v>
      </c>
      <c r="B8" s="8"/>
      <c r="C8" s="8">
        <v>0</v>
      </c>
      <c r="D8" s="8"/>
      <c r="E8" s="11">
        <f t="shared" si="0"/>
        <v>0</v>
      </c>
      <c r="F8" s="8">
        <v>0</v>
      </c>
      <c r="G8" s="8">
        <v>0</v>
      </c>
      <c r="H8" s="8"/>
      <c r="I8" s="6">
        <f t="shared" si="1"/>
        <v>0</v>
      </c>
      <c r="J8" s="22">
        <f t="shared" si="2"/>
        <v>0</v>
      </c>
      <c r="K8" s="9"/>
    </row>
    <row r="9" spans="1:11" ht="10.5">
      <c r="A9" s="8" t="s">
        <v>0</v>
      </c>
      <c r="B9" s="8">
        <f>SUM(B6:B8)</f>
        <v>137535.97999999998</v>
      </c>
      <c r="C9" s="8">
        <f>SUM(C6:C8)</f>
        <v>569.1</v>
      </c>
      <c r="D9" s="8">
        <f>SUM(D6:D8)</f>
        <v>-120931.55</v>
      </c>
      <c r="E9" s="11">
        <f t="shared" si="0"/>
        <v>17173.529999999984</v>
      </c>
      <c r="F9" s="8">
        <f>SUM(F6:F8)</f>
        <v>69689.37</v>
      </c>
      <c r="G9" s="8">
        <f>SUM(G6:G8)</f>
        <v>111652.53</v>
      </c>
      <c r="H9" s="8">
        <f>SUM(H6:H8)</f>
        <v>-116373.32</v>
      </c>
      <c r="I9" s="11">
        <f t="shared" si="1"/>
        <v>64968.57999999999</v>
      </c>
      <c r="J9" s="22">
        <f t="shared" si="2"/>
        <v>82142.10999999997</v>
      </c>
      <c r="K9" s="9"/>
    </row>
    <row r="10" spans="1:11" ht="10.5">
      <c r="A10" s="8" t="s">
        <v>19</v>
      </c>
      <c r="B10" s="8">
        <v>22</v>
      </c>
      <c r="C10" s="8">
        <v>2.68</v>
      </c>
      <c r="D10" s="8">
        <f>3155.19+1003.18</f>
        <v>4158.37</v>
      </c>
      <c r="E10" s="11">
        <f t="shared" si="0"/>
        <v>4183.05</v>
      </c>
      <c r="F10" s="8">
        <v>20.53</v>
      </c>
      <c r="G10" s="8">
        <f>62.2+1022+104.15+131.81</f>
        <v>1320.16</v>
      </c>
      <c r="H10" s="8">
        <f>485+619.41</f>
        <v>1104.4099999999999</v>
      </c>
      <c r="I10" s="6">
        <f t="shared" si="1"/>
        <v>2445.1</v>
      </c>
      <c r="J10" s="22">
        <f t="shared" si="2"/>
        <v>6628.15</v>
      </c>
      <c r="K10" s="9"/>
    </row>
    <row r="11" spans="1:11" ht="10.5">
      <c r="A11" s="8" t="s">
        <v>20</v>
      </c>
      <c r="B11" s="8">
        <v>0</v>
      </c>
      <c r="C11" s="8">
        <v>0</v>
      </c>
      <c r="D11" s="8">
        <f>417+203</f>
        <v>620</v>
      </c>
      <c r="E11" s="11">
        <f t="shared" si="0"/>
        <v>620</v>
      </c>
      <c r="F11" s="8">
        <v>0</v>
      </c>
      <c r="G11" s="8">
        <v>0</v>
      </c>
      <c r="H11" s="8">
        <f>352+172</f>
        <v>524</v>
      </c>
      <c r="I11" s="6">
        <f t="shared" si="1"/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137513.97999999998</v>
      </c>
      <c r="C12" s="4">
        <f>C9-C10-C11</f>
        <v>566.4200000000001</v>
      </c>
      <c r="D12" s="4">
        <f>D9-D10-D11</f>
        <v>-125709.92</v>
      </c>
      <c r="E12" s="6">
        <f t="shared" si="0"/>
        <v>12370.479999999996</v>
      </c>
      <c r="F12" s="4">
        <f>F9-F10-F11</f>
        <v>69668.84</v>
      </c>
      <c r="G12" s="4">
        <f>G9-G10-G11</f>
        <v>110332.37</v>
      </c>
      <c r="H12" s="4">
        <f>H9-H10-H11</f>
        <v>-118001.73000000001</v>
      </c>
      <c r="I12" s="6">
        <f t="shared" si="1"/>
        <v>61999.47999999998</v>
      </c>
      <c r="J12" s="4">
        <f t="shared" si="2"/>
        <v>74369.95999999998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Nov!B30</f>
        <v>-261419.59</v>
      </c>
      <c r="C24" s="4">
        <f>Nov!C30</f>
        <v>5046.59</v>
      </c>
      <c r="D24" s="4">
        <f>Nov!D30</f>
        <v>12227.66</v>
      </c>
      <c r="E24" s="4">
        <f>Nov!E30</f>
        <v>55254.84</v>
      </c>
      <c r="F24" s="4">
        <f>Nov!F30</f>
        <v>167495.57000000004</v>
      </c>
      <c r="G24" s="4">
        <f>Nov!G30</f>
        <v>43690.26</v>
      </c>
      <c r="H24" s="22">
        <f>Nov!H30</f>
        <v>1692.9700000000012</v>
      </c>
      <c r="I24" s="43">
        <f>Nov!I30</f>
        <v>5474.95</v>
      </c>
      <c r="J24" s="4">
        <f aca="true" t="shared" si="3" ref="J24:J30">SUM(B24:I24)</f>
        <v>29463.25000000004</v>
      </c>
    </row>
    <row r="25" spans="1:10" ht="10.5">
      <c r="A25" s="8" t="s">
        <v>17</v>
      </c>
      <c r="B25" s="8">
        <v>170</v>
      </c>
      <c r="C25" s="8">
        <v>10</v>
      </c>
      <c r="D25" s="8">
        <v>0</v>
      </c>
      <c r="E25" s="8">
        <v>86.95</v>
      </c>
      <c r="F25" s="8">
        <v>3039.28</v>
      </c>
      <c r="G25" s="8">
        <v>400</v>
      </c>
      <c r="H25" s="10"/>
      <c r="I25" s="42">
        <v>1000</v>
      </c>
      <c r="J25" s="4">
        <f t="shared" si="3"/>
        <v>4706.23</v>
      </c>
    </row>
    <row r="26" spans="1:10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/>
      <c r="I26" s="42">
        <v>0</v>
      </c>
      <c r="J26" s="4">
        <f t="shared" si="3"/>
        <v>0</v>
      </c>
    </row>
    <row r="27" spans="1:10" ht="10.5">
      <c r="A27" s="8" t="s">
        <v>0</v>
      </c>
      <c r="B27" s="8">
        <f aca="true" t="shared" si="4" ref="B27:I27">SUM(B24:B26)</f>
        <v>-261249.59</v>
      </c>
      <c r="C27" s="8">
        <f t="shared" si="4"/>
        <v>5056.59</v>
      </c>
      <c r="D27" s="8">
        <f t="shared" si="4"/>
        <v>12227.66</v>
      </c>
      <c r="E27" s="8">
        <f t="shared" si="4"/>
        <v>55341.78999999999</v>
      </c>
      <c r="F27" s="8">
        <f t="shared" si="4"/>
        <v>170534.85000000003</v>
      </c>
      <c r="G27" s="8">
        <f t="shared" si="4"/>
        <v>44090.26</v>
      </c>
      <c r="H27" s="10">
        <f t="shared" si="4"/>
        <v>1692.9700000000012</v>
      </c>
      <c r="I27" s="36">
        <f t="shared" si="4"/>
        <v>6474.95</v>
      </c>
      <c r="J27" s="4">
        <f t="shared" si="3"/>
        <v>34169.48000000005</v>
      </c>
    </row>
    <row r="28" spans="1:10" ht="10.5">
      <c r="A28" s="8" t="s">
        <v>19</v>
      </c>
      <c r="B28" s="8">
        <f>923.47+1407.5+26.03+28.34</f>
        <v>2385.3400000000006</v>
      </c>
      <c r="C28" s="8"/>
      <c r="D28" s="8"/>
      <c r="E28" s="8"/>
      <c r="F28" s="8">
        <f>526.92+79.7</f>
        <v>606.62</v>
      </c>
      <c r="G28" s="8"/>
      <c r="H28" s="10"/>
      <c r="I28" s="42">
        <v>9532.64</v>
      </c>
      <c r="J28" s="4">
        <f t="shared" si="3"/>
        <v>12524.6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f>979+477+1167</f>
        <v>2623</v>
      </c>
      <c r="I29" s="42">
        <v>0</v>
      </c>
      <c r="J29" s="4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-263634.93</v>
      </c>
      <c r="C30" s="4">
        <f t="shared" si="5"/>
        <v>5056.59</v>
      </c>
      <c r="D30" s="4">
        <f t="shared" si="5"/>
        <v>12227.66</v>
      </c>
      <c r="E30" s="4">
        <f t="shared" si="5"/>
        <v>55341.78999999999</v>
      </c>
      <c r="F30" s="4">
        <f t="shared" si="5"/>
        <v>169928.23000000004</v>
      </c>
      <c r="G30" s="4">
        <f t="shared" si="5"/>
        <v>44090.26</v>
      </c>
      <c r="H30" s="22">
        <f t="shared" si="5"/>
        <v>-930.0299999999988</v>
      </c>
      <c r="I30" s="43">
        <f t="shared" si="5"/>
        <v>-3057.6899999999996</v>
      </c>
      <c r="J30" s="4">
        <f t="shared" si="3"/>
        <v>19021.88000000003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&amp;LAuxiliary Revenue and Expenses&amp;CDecember 2014</oddHeader>
  </headerFooter>
  <ignoredErrors>
    <ignoredError sqref="E9:E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D42" sqref="D42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3.140625" style="7" customWidth="1"/>
    <col min="9" max="9" width="10.7109375" style="7" bestFit="1" customWidth="1"/>
    <col min="10" max="10" width="12.00390625" style="7" bestFit="1" customWidth="1"/>
    <col min="11" max="11" width="11.2812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Dec!B12</f>
        <v>137513.97999999998</v>
      </c>
      <c r="C6" s="4">
        <f>Dec!C12</f>
        <v>566.4200000000001</v>
      </c>
      <c r="D6" s="4">
        <f>Dec!D12</f>
        <v>-125709.92</v>
      </c>
      <c r="E6" s="6">
        <f aca="true" t="shared" si="0" ref="E6:E12">SUM(B6:D6)</f>
        <v>12370.479999999996</v>
      </c>
      <c r="F6" s="4">
        <f>Dec!F12</f>
        <v>69668.84</v>
      </c>
      <c r="G6" s="4">
        <f>Dec!G12</f>
        <v>110332.37</v>
      </c>
      <c r="H6" s="4">
        <f>Dec!H12</f>
        <v>-118001.73000000001</v>
      </c>
      <c r="I6" s="6">
        <f aca="true" t="shared" si="1" ref="I6:I12">SUM(F6:H6)</f>
        <v>61999.47999999998</v>
      </c>
      <c r="J6" s="4">
        <f aca="true" t="shared" si="2" ref="J6:J12">E6+I6</f>
        <v>74369.95999999998</v>
      </c>
      <c r="K6" s="5"/>
    </row>
    <row r="7" spans="1:11" ht="10.5">
      <c r="A7" s="8" t="s">
        <v>17</v>
      </c>
      <c r="B7" s="8">
        <v>300</v>
      </c>
      <c r="C7" s="8"/>
      <c r="D7" s="8"/>
      <c r="E7" s="11">
        <f t="shared" si="0"/>
        <v>300</v>
      </c>
      <c r="F7" s="8">
        <v>1358.79</v>
      </c>
      <c r="G7" s="8">
        <v>2081</v>
      </c>
      <c r="H7" s="8">
        <v>66.92</v>
      </c>
      <c r="I7" s="6">
        <f t="shared" si="1"/>
        <v>3506.71</v>
      </c>
      <c r="J7" s="22">
        <f t="shared" si="2"/>
        <v>3806.71</v>
      </c>
      <c r="K7" s="9"/>
    </row>
    <row r="8" spans="1:11" ht="10.5">
      <c r="A8" s="8" t="s">
        <v>18</v>
      </c>
      <c r="B8" s="8">
        <v>0</v>
      </c>
      <c r="C8" s="8">
        <v>0</v>
      </c>
      <c r="D8" s="8"/>
      <c r="E8" s="11">
        <f t="shared" si="0"/>
        <v>0</v>
      </c>
      <c r="F8" s="8">
        <v>0</v>
      </c>
      <c r="G8" s="8">
        <v>0</v>
      </c>
      <c r="H8" s="8"/>
      <c r="I8" s="6">
        <f t="shared" si="1"/>
        <v>0</v>
      </c>
      <c r="J8" s="22">
        <f t="shared" si="2"/>
        <v>0</v>
      </c>
      <c r="K8" s="9"/>
    </row>
    <row r="9" spans="1:11" ht="10.5">
      <c r="A9" s="8" t="s">
        <v>0</v>
      </c>
      <c r="B9" s="8">
        <f>SUM(B6:B8)</f>
        <v>137813.97999999998</v>
      </c>
      <c r="C9" s="8">
        <f>SUM(C6:C8)</f>
        <v>566.4200000000001</v>
      </c>
      <c r="D9" s="8">
        <f>SUM(D6:D8)</f>
        <v>-125709.92</v>
      </c>
      <c r="E9" s="11">
        <f t="shared" si="0"/>
        <v>12670.479999999996</v>
      </c>
      <c r="F9" s="8">
        <f>SUM(F6:F8)</f>
        <v>71027.62999999999</v>
      </c>
      <c r="G9" s="8">
        <f>SUM(G6:G8)</f>
        <v>112413.37</v>
      </c>
      <c r="H9" s="8">
        <f>SUM(H6:H8)</f>
        <v>-117934.81000000001</v>
      </c>
      <c r="I9" s="11">
        <f t="shared" si="1"/>
        <v>65506.18999999999</v>
      </c>
      <c r="J9" s="22">
        <f t="shared" si="2"/>
        <v>78176.66999999998</v>
      </c>
      <c r="K9" s="9"/>
    </row>
    <row r="10" spans="1:11" ht="10.5">
      <c r="A10" s="8" t="s">
        <v>19</v>
      </c>
      <c r="B10" s="8">
        <v>101</v>
      </c>
      <c r="C10" s="8"/>
      <c r="D10" s="8">
        <f>4264.47+226</f>
        <v>4490.47</v>
      </c>
      <c r="E10" s="11">
        <f t="shared" si="0"/>
        <v>4591.47</v>
      </c>
      <c r="F10" s="8">
        <v>32.55</v>
      </c>
      <c r="G10" s="8">
        <f>226.12+47+161.49</f>
        <v>434.61</v>
      </c>
      <c r="H10" s="8"/>
      <c r="I10" s="6">
        <f t="shared" si="1"/>
        <v>467.16</v>
      </c>
      <c r="J10" s="22">
        <f t="shared" si="2"/>
        <v>5058.63</v>
      </c>
      <c r="K10" s="9"/>
    </row>
    <row r="11" spans="1:11" ht="10.5">
      <c r="A11" s="8" t="s">
        <v>20</v>
      </c>
      <c r="B11" s="8">
        <v>0</v>
      </c>
      <c r="C11" s="8">
        <v>0</v>
      </c>
      <c r="D11" s="8">
        <v>620</v>
      </c>
      <c r="E11" s="11">
        <f t="shared" si="0"/>
        <v>620</v>
      </c>
      <c r="F11" s="8">
        <v>0</v>
      </c>
      <c r="G11" s="8">
        <v>0</v>
      </c>
      <c r="H11" s="8">
        <v>524</v>
      </c>
      <c r="I11" s="6">
        <f t="shared" si="1"/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137712.97999999998</v>
      </c>
      <c r="C12" s="4">
        <f>C9-C10-C11</f>
        <v>566.4200000000001</v>
      </c>
      <c r="D12" s="4">
        <f>D9-D10-D11</f>
        <v>-130820.39</v>
      </c>
      <c r="E12" s="6">
        <f t="shared" si="0"/>
        <v>7459.009999999995</v>
      </c>
      <c r="F12" s="4">
        <f>F9-F10-F11</f>
        <v>70995.07999999999</v>
      </c>
      <c r="G12" s="4">
        <f>G9-G10-G11</f>
        <v>111978.76</v>
      </c>
      <c r="H12" s="4">
        <f>H9-H10-H11</f>
        <v>-118458.81000000001</v>
      </c>
      <c r="I12" s="6">
        <f t="shared" si="1"/>
        <v>64515.029999999955</v>
      </c>
      <c r="J12" s="4">
        <f t="shared" si="2"/>
        <v>71974.03999999995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Dec!B30</f>
        <v>-263634.93</v>
      </c>
      <c r="C24" s="4">
        <f>Dec!C30</f>
        <v>5056.59</v>
      </c>
      <c r="D24" s="4">
        <f>Dec!D30</f>
        <v>12227.66</v>
      </c>
      <c r="E24" s="4">
        <f>Dec!E30</f>
        <v>55341.78999999999</v>
      </c>
      <c r="F24" s="4">
        <f>Dec!F30</f>
        <v>169928.23000000004</v>
      </c>
      <c r="G24" s="4">
        <f>Dec!G30</f>
        <v>44090.26</v>
      </c>
      <c r="H24" s="22">
        <f>Dec!H30</f>
        <v>-930.0299999999988</v>
      </c>
      <c r="I24" s="22">
        <f>Dec!I30</f>
        <v>-3057.6899999999996</v>
      </c>
      <c r="J24" s="4">
        <f aca="true" t="shared" si="3" ref="J24:J30">SUM(B24:I24)</f>
        <v>19021.88000000003</v>
      </c>
    </row>
    <row r="25" spans="1:10" ht="10.5">
      <c r="A25" s="8" t="s">
        <v>17</v>
      </c>
      <c r="B25" s="8">
        <v>60</v>
      </c>
      <c r="C25" s="8">
        <v>150</v>
      </c>
      <c r="D25" s="8">
        <v>75</v>
      </c>
      <c r="E25" s="8">
        <v>58.64</v>
      </c>
      <c r="F25" s="8">
        <v>2708.72</v>
      </c>
      <c r="G25" s="8">
        <v>800</v>
      </c>
      <c r="H25" s="10">
        <v>0</v>
      </c>
      <c r="I25" s="41">
        <v>1000</v>
      </c>
      <c r="J25" s="4">
        <f t="shared" si="3"/>
        <v>4852.36</v>
      </c>
    </row>
    <row r="26" spans="1:10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>
        <v>0</v>
      </c>
      <c r="I26" s="41">
        <v>0</v>
      </c>
      <c r="J26" s="4">
        <f t="shared" si="3"/>
        <v>0</v>
      </c>
    </row>
    <row r="27" spans="1:10" ht="10.5">
      <c r="A27" s="8" t="s">
        <v>0</v>
      </c>
      <c r="B27" s="8">
        <f aca="true" t="shared" si="4" ref="B27:I27">SUM(B24:B26)</f>
        <v>-263574.93</v>
      </c>
      <c r="C27" s="8">
        <f t="shared" si="4"/>
        <v>5206.59</v>
      </c>
      <c r="D27" s="8">
        <f t="shared" si="4"/>
        <v>12302.66</v>
      </c>
      <c r="E27" s="8">
        <f t="shared" si="4"/>
        <v>55400.42999999999</v>
      </c>
      <c r="F27" s="8">
        <f t="shared" si="4"/>
        <v>172636.95000000004</v>
      </c>
      <c r="G27" s="8">
        <f t="shared" si="4"/>
        <v>44890.26</v>
      </c>
      <c r="H27" s="10">
        <f>SUM(H24:H26)</f>
        <v>-930.0299999999988</v>
      </c>
      <c r="I27" s="10">
        <f t="shared" si="4"/>
        <v>-2057.6899999999996</v>
      </c>
      <c r="J27" s="4">
        <f t="shared" si="3"/>
        <v>23874.240000000045</v>
      </c>
    </row>
    <row r="28" spans="1:10" ht="10.5">
      <c r="A28" s="8" t="s">
        <v>19</v>
      </c>
      <c r="B28" s="8">
        <f>6644.97+421.52+1585.5+2.6</f>
        <v>8654.59</v>
      </c>
      <c r="C28" s="8"/>
      <c r="D28" s="8"/>
      <c r="E28" s="8"/>
      <c r="F28" s="8">
        <f>46.83+283.76</f>
        <v>330.59</v>
      </c>
      <c r="G28" s="8"/>
      <c r="H28" s="10">
        <f>5719.58</f>
        <v>5719.58</v>
      </c>
      <c r="I28" s="41"/>
      <c r="J28" s="4">
        <f t="shared" si="3"/>
        <v>14704.76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2623</v>
      </c>
      <c r="I29" s="41"/>
      <c r="J29" s="4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-272229.52</v>
      </c>
      <c r="C30" s="4">
        <f t="shared" si="5"/>
        <v>5206.59</v>
      </c>
      <c r="D30" s="4">
        <f t="shared" si="5"/>
        <v>12302.66</v>
      </c>
      <c r="E30" s="4">
        <f t="shared" si="5"/>
        <v>55400.42999999999</v>
      </c>
      <c r="F30" s="4">
        <f t="shared" si="5"/>
        <v>172306.36000000004</v>
      </c>
      <c r="G30" s="4">
        <f t="shared" si="5"/>
        <v>44890.26</v>
      </c>
      <c r="H30" s="22">
        <f t="shared" si="5"/>
        <v>-9272.609999999999</v>
      </c>
      <c r="I30" s="22">
        <f t="shared" si="5"/>
        <v>-2057.6899999999996</v>
      </c>
      <c r="J30" s="4">
        <f t="shared" si="3"/>
        <v>6546.480000000051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&amp;LAuxiliary Revenue and Expenses&amp;CJanuary 2015</oddHeader>
  </headerFooter>
  <ignoredErrors>
    <ignoredError sqref="E9:E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">
      <selection activeCell="D40" sqref="D40"/>
    </sheetView>
  </sheetViews>
  <sheetFormatPr defaultColWidth="12.7109375" defaultRowHeight="12.75"/>
  <cols>
    <col min="1" max="1" width="20.8515625" style="7" customWidth="1"/>
    <col min="2" max="2" width="11.421875" style="7" customWidth="1"/>
    <col min="3" max="3" width="12.57421875" style="7" bestFit="1" customWidth="1"/>
    <col min="4" max="4" width="12.140625" style="7" bestFit="1" customWidth="1"/>
    <col min="5" max="5" width="12.00390625" style="7" bestFit="1" customWidth="1"/>
    <col min="6" max="6" width="11.421875" style="7" bestFit="1" customWidth="1"/>
    <col min="7" max="7" width="10.8515625" style="7" bestFit="1" customWidth="1"/>
    <col min="8" max="8" width="13.28125" style="7" customWidth="1"/>
    <col min="9" max="9" width="10.7109375" style="7" bestFit="1" customWidth="1"/>
    <col min="10" max="10" width="12.00390625" style="7" bestFit="1" customWidth="1"/>
    <col min="11" max="11" width="11.421875" style="7" bestFit="1" customWidth="1"/>
    <col min="12" max="13" width="10.7109375" style="7" bestFit="1" customWidth="1"/>
    <col min="14" max="16384" width="12.7109375" style="7" customWidth="1"/>
  </cols>
  <sheetData>
    <row r="1" spans="1:11" ht="12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27"/>
      <c r="K1" s="27"/>
    </row>
    <row r="2" spans="2:3" ht="10.5">
      <c r="B2" s="1"/>
      <c r="C2" s="1"/>
    </row>
    <row r="3" spans="1:12" ht="12.75" customHeight="1">
      <c r="A3" s="8"/>
      <c r="B3" s="53" t="s">
        <v>23</v>
      </c>
      <c r="C3" s="53"/>
      <c r="D3" s="53"/>
      <c r="E3" s="54"/>
      <c r="F3" s="53" t="s">
        <v>22</v>
      </c>
      <c r="G3" s="53"/>
      <c r="H3" s="53"/>
      <c r="I3" s="53"/>
      <c r="J3" s="26"/>
      <c r="K3" s="26"/>
      <c r="L3" s="24"/>
    </row>
    <row r="4" spans="1:11" ht="10.5">
      <c r="A4" s="8"/>
      <c r="B4" s="13" t="s">
        <v>4</v>
      </c>
      <c r="C4" s="13" t="s">
        <v>21</v>
      </c>
      <c r="D4" s="13" t="s">
        <v>16</v>
      </c>
      <c r="E4" s="15" t="s">
        <v>3</v>
      </c>
      <c r="F4" s="18" t="s">
        <v>21</v>
      </c>
      <c r="G4" s="13" t="s">
        <v>4</v>
      </c>
      <c r="H4" s="13" t="s">
        <v>16</v>
      </c>
      <c r="I4" s="12" t="s">
        <v>27</v>
      </c>
      <c r="J4" s="13" t="s">
        <v>0</v>
      </c>
      <c r="K4" s="2"/>
    </row>
    <row r="5" spans="1:10" ht="10.5">
      <c r="A5" s="8"/>
      <c r="B5" s="8"/>
      <c r="C5" s="8"/>
      <c r="D5" s="8"/>
      <c r="E5" s="11"/>
      <c r="G5" s="8"/>
      <c r="H5" s="8"/>
      <c r="I5" s="11"/>
      <c r="J5" s="8"/>
    </row>
    <row r="6" spans="1:11" s="3" customFormat="1" ht="10.5">
      <c r="A6" s="4" t="s">
        <v>1</v>
      </c>
      <c r="B6" s="4">
        <f>Jan!B12</f>
        <v>137712.97999999998</v>
      </c>
      <c r="C6" s="4">
        <f>Jan!C12</f>
        <v>566.4200000000001</v>
      </c>
      <c r="D6" s="4">
        <f>Jan!D12</f>
        <v>-130820.39</v>
      </c>
      <c r="E6" s="6">
        <f aca="true" t="shared" si="0" ref="E6:E12">SUM(B6:D6)</f>
        <v>7459.009999999995</v>
      </c>
      <c r="F6" s="4">
        <f>Jan!F12</f>
        <v>70995.07999999999</v>
      </c>
      <c r="G6" s="4">
        <f>Jan!G12</f>
        <v>111978.76</v>
      </c>
      <c r="H6" s="4">
        <f>Jan!H12</f>
        <v>-118458.81000000001</v>
      </c>
      <c r="I6" s="6">
        <f aca="true" t="shared" si="1" ref="I6:I12">SUM(F6:H6)</f>
        <v>64515.029999999955</v>
      </c>
      <c r="J6" s="4">
        <f aca="true" t="shared" si="2" ref="J6:J12">E6+I6</f>
        <v>71974.03999999995</v>
      </c>
      <c r="K6" s="5"/>
    </row>
    <row r="7" spans="1:11" ht="10.5">
      <c r="A7" s="8" t="s">
        <v>17</v>
      </c>
      <c r="B7" s="8">
        <v>35.5</v>
      </c>
      <c r="C7" s="8">
        <v>0</v>
      </c>
      <c r="D7" s="8">
        <v>0</v>
      </c>
      <c r="E7" s="11">
        <f t="shared" si="0"/>
        <v>35.5</v>
      </c>
      <c r="F7" s="8">
        <v>1262.7</v>
      </c>
      <c r="G7" s="8">
        <v>4207</v>
      </c>
      <c r="H7" s="8"/>
      <c r="I7" s="6">
        <f t="shared" si="1"/>
        <v>5469.7</v>
      </c>
      <c r="J7" s="22">
        <f t="shared" si="2"/>
        <v>5505.2</v>
      </c>
      <c r="K7" s="9"/>
    </row>
    <row r="8" spans="1:11" ht="10.5">
      <c r="A8" s="8" t="s">
        <v>18</v>
      </c>
      <c r="B8" s="8"/>
      <c r="C8" s="8">
        <v>0</v>
      </c>
      <c r="D8" s="8"/>
      <c r="E8" s="11">
        <f t="shared" si="0"/>
        <v>0</v>
      </c>
      <c r="F8" s="8">
        <v>0</v>
      </c>
      <c r="G8" s="8">
        <v>0</v>
      </c>
      <c r="H8" s="8"/>
      <c r="I8" s="6">
        <f t="shared" si="1"/>
        <v>0</v>
      </c>
      <c r="J8" s="22">
        <f t="shared" si="2"/>
        <v>0</v>
      </c>
      <c r="K8" s="9"/>
    </row>
    <row r="9" spans="1:11" ht="10.5">
      <c r="A9" s="8" t="s">
        <v>0</v>
      </c>
      <c r="B9" s="8">
        <f>SUM(B6:B8)</f>
        <v>137748.47999999998</v>
      </c>
      <c r="C9" s="8">
        <f>SUM(C6:C8)</f>
        <v>566.4200000000001</v>
      </c>
      <c r="D9" s="8">
        <f>SUM(D6:D8)</f>
        <v>-130820.39</v>
      </c>
      <c r="E9" s="11">
        <f t="shared" si="0"/>
        <v>7494.509999999995</v>
      </c>
      <c r="F9" s="8">
        <f>SUM(F6:F8)</f>
        <v>72257.77999999998</v>
      </c>
      <c r="G9" s="8">
        <f>SUM(G6:G8)</f>
        <v>116185.76</v>
      </c>
      <c r="H9" s="8">
        <f>SUM(H6:H8)</f>
        <v>-118458.81000000001</v>
      </c>
      <c r="I9" s="11">
        <f t="shared" si="1"/>
        <v>69984.72999999997</v>
      </c>
      <c r="J9" s="22">
        <f t="shared" si="2"/>
        <v>77479.23999999996</v>
      </c>
      <c r="K9" s="9"/>
    </row>
    <row r="10" spans="1:11" ht="10.5">
      <c r="A10" s="8" t="s">
        <v>19</v>
      </c>
      <c r="B10" s="8">
        <v>30</v>
      </c>
      <c r="C10" s="8"/>
      <c r="D10" s="8">
        <f>3312.48</f>
        <v>3312.48</v>
      </c>
      <c r="E10" s="11">
        <f t="shared" si="0"/>
        <v>3342.48</v>
      </c>
      <c r="F10" s="8"/>
      <c r="G10" s="8">
        <f>11+105.64</f>
        <v>116.64</v>
      </c>
      <c r="H10" s="8">
        <f>1232.04</f>
        <v>1232.04</v>
      </c>
      <c r="I10" s="6">
        <f t="shared" si="1"/>
        <v>1348.68</v>
      </c>
      <c r="J10" s="22">
        <f t="shared" si="2"/>
        <v>4691.16</v>
      </c>
      <c r="K10" s="9"/>
    </row>
    <row r="11" spans="1:11" ht="10.5">
      <c r="A11" s="8" t="s">
        <v>20</v>
      </c>
      <c r="B11" s="8"/>
      <c r="C11" s="8">
        <v>0</v>
      </c>
      <c r="D11" s="8">
        <v>620</v>
      </c>
      <c r="E11" s="11">
        <f t="shared" si="0"/>
        <v>620</v>
      </c>
      <c r="F11" s="8">
        <v>0</v>
      </c>
      <c r="G11" s="8"/>
      <c r="H11" s="8">
        <v>524</v>
      </c>
      <c r="I11" s="6">
        <f t="shared" si="1"/>
        <v>524</v>
      </c>
      <c r="J11" s="22">
        <f t="shared" si="2"/>
        <v>1144</v>
      </c>
      <c r="K11" s="9"/>
    </row>
    <row r="12" spans="1:11" s="3" customFormat="1" ht="10.5">
      <c r="A12" s="4" t="s">
        <v>2</v>
      </c>
      <c r="B12" s="4">
        <f>B9-B10-B11</f>
        <v>137718.47999999998</v>
      </c>
      <c r="C12" s="4">
        <f>C9-C10-C11</f>
        <v>566.4200000000001</v>
      </c>
      <c r="D12" s="4">
        <f>D9-D10-D11</f>
        <v>-134752.87</v>
      </c>
      <c r="E12" s="6">
        <f t="shared" si="0"/>
        <v>3532.029999999999</v>
      </c>
      <c r="F12" s="4">
        <f>F9-F10-F11</f>
        <v>72257.77999999998</v>
      </c>
      <c r="G12" s="4">
        <f>G9-G10-G11</f>
        <v>116069.12</v>
      </c>
      <c r="H12" s="4">
        <f>H9-H10-H11</f>
        <v>-120214.85</v>
      </c>
      <c r="I12" s="6">
        <f t="shared" si="1"/>
        <v>68112.04999999996</v>
      </c>
      <c r="J12" s="4">
        <f t="shared" si="2"/>
        <v>71644.07999999996</v>
      </c>
      <c r="K12" s="5"/>
    </row>
    <row r="13" spans="1:12" ht="10.5">
      <c r="A13" s="8"/>
      <c r="B13" s="8"/>
      <c r="C13" s="8"/>
      <c r="D13" s="8"/>
      <c r="E13" s="8"/>
      <c r="F13" s="8"/>
      <c r="G13" s="10"/>
      <c r="H13" s="8"/>
      <c r="I13" s="8"/>
      <c r="J13" s="8"/>
      <c r="K13" s="8"/>
      <c r="L13" s="8"/>
    </row>
    <row r="14" spans="1:12" ht="10.5">
      <c r="A14" s="8"/>
      <c r="B14" s="16"/>
      <c r="C14" s="16"/>
      <c r="D14" s="8"/>
      <c r="E14" s="8"/>
      <c r="F14" s="8"/>
      <c r="G14" s="10"/>
      <c r="H14" s="8"/>
      <c r="I14" s="8"/>
      <c r="J14" s="8"/>
      <c r="K14" s="8"/>
      <c r="L14" s="8"/>
    </row>
    <row r="15" spans="2:12" ht="10.5">
      <c r="B15" s="16"/>
      <c r="C15" s="16"/>
      <c r="D15" s="8"/>
      <c r="E15" s="8"/>
      <c r="F15" s="8"/>
      <c r="G15" s="10"/>
      <c r="H15" s="8"/>
      <c r="I15" s="8"/>
      <c r="J15" s="8"/>
      <c r="K15" s="8"/>
      <c r="L15" s="8"/>
    </row>
    <row r="16" spans="2:12" ht="10.5">
      <c r="B16" s="8"/>
      <c r="C16" s="8"/>
      <c r="D16" s="8"/>
      <c r="E16" s="10"/>
      <c r="F16" s="8"/>
      <c r="G16" s="10"/>
      <c r="H16" s="8"/>
      <c r="I16" s="8"/>
      <c r="J16" s="8"/>
      <c r="K16" s="8"/>
      <c r="L16" s="8"/>
    </row>
    <row r="17" spans="1:12" ht="10.5">
      <c r="A17" s="8"/>
      <c r="B17" s="14"/>
      <c r="C17" s="14"/>
      <c r="D17" s="8"/>
      <c r="E17" s="8"/>
      <c r="F17" s="8"/>
      <c r="G17" s="10"/>
      <c r="H17" s="8"/>
      <c r="I17" s="8"/>
      <c r="J17" s="8"/>
      <c r="K17" s="8"/>
      <c r="L17" s="8"/>
    </row>
    <row r="18" spans="1:12" ht="10.5">
      <c r="A18" s="8"/>
      <c r="B18" s="8"/>
      <c r="C18" s="8"/>
      <c r="D18" s="8"/>
      <c r="E18" s="8"/>
      <c r="F18" s="8"/>
      <c r="G18" s="10"/>
      <c r="H18" s="8"/>
      <c r="I18" s="8"/>
      <c r="J18" s="8"/>
      <c r="K18" s="8"/>
      <c r="L18" s="8"/>
    </row>
    <row r="19" spans="1:12" ht="10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3" ht="10.5">
      <c r="A20" s="49" t="s">
        <v>10</v>
      </c>
      <c r="B20" s="49"/>
      <c r="C20" s="49"/>
      <c r="D20" s="49"/>
      <c r="E20" s="49"/>
      <c r="F20" s="49"/>
      <c r="G20" s="49"/>
      <c r="H20" s="49"/>
      <c r="I20" s="49"/>
      <c r="J20" s="25"/>
      <c r="K20" s="25"/>
      <c r="L20" s="25"/>
      <c r="M20" s="19"/>
    </row>
    <row r="21" spans="1:12" ht="10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0" ht="10.5">
      <c r="A22" s="8"/>
      <c r="B22" s="13" t="s">
        <v>4</v>
      </c>
      <c r="C22" s="13" t="s">
        <v>6</v>
      </c>
      <c r="D22" s="13" t="s">
        <v>7</v>
      </c>
      <c r="E22" s="13" t="s">
        <v>28</v>
      </c>
      <c r="F22" s="2" t="s">
        <v>21</v>
      </c>
      <c r="G22" s="13" t="s">
        <v>8</v>
      </c>
      <c r="H22" s="32" t="s">
        <v>9</v>
      </c>
      <c r="I22" s="18" t="s">
        <v>29</v>
      </c>
      <c r="J22" s="13" t="s">
        <v>0</v>
      </c>
    </row>
    <row r="23" spans="1:10" ht="10.5">
      <c r="A23" s="8"/>
      <c r="B23" s="8"/>
      <c r="C23" s="8"/>
      <c r="D23" s="8"/>
      <c r="E23" s="8"/>
      <c r="G23" s="8"/>
      <c r="H23" s="10"/>
      <c r="I23" s="41"/>
      <c r="J23" s="8"/>
    </row>
    <row r="24" spans="1:10" s="3" customFormat="1" ht="10.5">
      <c r="A24" s="4" t="s">
        <v>1</v>
      </c>
      <c r="B24" s="4">
        <f>Jan!B30</f>
        <v>-272229.52</v>
      </c>
      <c r="C24" s="4">
        <f>Jan!C30</f>
        <v>5206.59</v>
      </c>
      <c r="D24" s="4">
        <f>Jan!D30</f>
        <v>12302.66</v>
      </c>
      <c r="E24" s="4">
        <f>Jan!E30</f>
        <v>55400.42999999999</v>
      </c>
      <c r="F24" s="4">
        <f>Jan!F30</f>
        <v>172306.36000000004</v>
      </c>
      <c r="G24" s="4">
        <f>Jan!G30</f>
        <v>44890.26</v>
      </c>
      <c r="H24" s="22">
        <f>Jan!H30</f>
        <v>-9272.609999999999</v>
      </c>
      <c r="I24" s="22">
        <f>Jan!I30</f>
        <v>-2057.6899999999996</v>
      </c>
      <c r="J24" s="4">
        <f aca="true" t="shared" si="3" ref="J24:J30">SUM(B24:I24)</f>
        <v>6546.480000000051</v>
      </c>
    </row>
    <row r="25" spans="1:10" ht="10.5">
      <c r="A25" s="8" t="s">
        <v>17</v>
      </c>
      <c r="B25" s="8">
        <v>514.29</v>
      </c>
      <c r="C25" s="8">
        <v>184.5</v>
      </c>
      <c r="D25" s="8">
        <v>100</v>
      </c>
      <c r="E25" s="8">
        <v>0</v>
      </c>
      <c r="F25" s="8">
        <v>2492.82</v>
      </c>
      <c r="G25" s="8">
        <v>1800</v>
      </c>
      <c r="H25" s="10"/>
      <c r="I25" s="41"/>
      <c r="J25" s="4">
        <f t="shared" si="3"/>
        <v>5091.610000000001</v>
      </c>
    </row>
    <row r="26" spans="1:11" ht="10.5">
      <c r="A26" s="8" t="s">
        <v>18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10"/>
      <c r="I26" s="41"/>
      <c r="J26" s="4">
        <f t="shared" si="3"/>
        <v>0</v>
      </c>
      <c r="K26" s="9"/>
    </row>
    <row r="27" spans="1:10" ht="10.5">
      <c r="A27" s="8" t="s">
        <v>0</v>
      </c>
      <c r="B27" s="8">
        <f aca="true" t="shared" si="4" ref="B27:I27">SUM(B24:B26)</f>
        <v>-271715.23000000004</v>
      </c>
      <c r="C27" s="8">
        <f t="shared" si="4"/>
        <v>5391.09</v>
      </c>
      <c r="D27" s="8">
        <f t="shared" si="4"/>
        <v>12402.66</v>
      </c>
      <c r="E27" s="8">
        <f t="shared" si="4"/>
        <v>55400.42999999999</v>
      </c>
      <c r="F27" s="8">
        <f t="shared" si="4"/>
        <v>174799.18000000005</v>
      </c>
      <c r="G27" s="8">
        <f t="shared" si="4"/>
        <v>46690.26</v>
      </c>
      <c r="H27" s="10">
        <f t="shared" si="4"/>
        <v>-9272.609999999999</v>
      </c>
      <c r="I27" s="10">
        <f t="shared" si="4"/>
        <v>-2057.6899999999996</v>
      </c>
      <c r="J27" s="4">
        <f t="shared" si="3"/>
        <v>11638.090000000037</v>
      </c>
    </row>
    <row r="28" spans="1:10" ht="10.5">
      <c r="A28" s="8" t="s">
        <v>19</v>
      </c>
      <c r="B28" s="8">
        <f>520+2.17-6644.97</f>
        <v>-6122.8</v>
      </c>
      <c r="C28" s="8"/>
      <c r="D28" s="8"/>
      <c r="E28" s="8"/>
      <c r="F28" s="8">
        <f>83.76</f>
        <v>83.76</v>
      </c>
      <c r="G28" s="8"/>
      <c r="H28" s="10">
        <f>3813.04</f>
        <v>3813.04</v>
      </c>
      <c r="I28" s="41"/>
      <c r="J28" s="4">
        <f t="shared" si="3"/>
        <v>-2226</v>
      </c>
    </row>
    <row r="29" spans="1:10" ht="10.5">
      <c r="A29" s="8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10">
        <v>2623</v>
      </c>
      <c r="I29" s="41"/>
      <c r="J29" s="4">
        <f t="shared" si="3"/>
        <v>2623</v>
      </c>
    </row>
    <row r="30" spans="1:10" s="3" customFormat="1" ht="10.5">
      <c r="A30" s="4" t="s">
        <v>2</v>
      </c>
      <c r="B30" s="4">
        <f aca="true" t="shared" si="5" ref="B30:I30">B27-B28-B29</f>
        <v>-265592.43000000005</v>
      </c>
      <c r="C30" s="4">
        <f t="shared" si="5"/>
        <v>5391.09</v>
      </c>
      <c r="D30" s="4">
        <f t="shared" si="5"/>
        <v>12402.66</v>
      </c>
      <c r="E30" s="4">
        <f t="shared" si="5"/>
        <v>55400.42999999999</v>
      </c>
      <c r="F30" s="4">
        <f t="shared" si="5"/>
        <v>174715.42000000004</v>
      </c>
      <c r="G30" s="4">
        <f t="shared" si="5"/>
        <v>46690.26</v>
      </c>
      <c r="H30" s="22">
        <f t="shared" si="5"/>
        <v>-15708.649999999998</v>
      </c>
      <c r="I30" s="22">
        <f t="shared" si="5"/>
        <v>-2057.6899999999996</v>
      </c>
      <c r="J30" s="4">
        <f t="shared" si="3"/>
        <v>11241.08999999999</v>
      </c>
    </row>
    <row r="32" ht="10.5">
      <c r="A32" s="8"/>
    </row>
    <row r="33" ht="10.5">
      <c r="A33" s="8"/>
    </row>
    <row r="34" ht="10.5">
      <c r="A34" s="8"/>
    </row>
    <row r="35" ht="10.5">
      <c r="A35" s="8"/>
    </row>
    <row r="36" ht="10.5">
      <c r="A36" s="8"/>
    </row>
  </sheetData>
  <sheetProtection/>
  <mergeCells count="4">
    <mergeCell ref="A1:I1"/>
    <mergeCell ref="A20:I20"/>
    <mergeCell ref="B3:E3"/>
    <mergeCell ref="F3:I3"/>
  </mergeCells>
  <printOptions/>
  <pageMargins left="0.75" right="0.75" top="1" bottom="1" header="0.5" footer="0.5"/>
  <pageSetup fitToHeight="1" fitToWidth="1" horizontalDpi="600" verticalDpi="600" orientation="landscape" scale="97" r:id="rId1"/>
  <headerFooter alignWithMargins="0">
    <oddHeader>&amp;LAuxiliary Revenue and Expenses&amp;CFebruary 2015
</oddHeader>
    <oddFooter>&amp;L03/09/15</oddFooter>
  </headerFooter>
  <ignoredErrors>
    <ignoredError sqref="E9: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jenelle</dc:creator>
  <cp:keywords/>
  <dc:description/>
  <cp:lastModifiedBy>Anne-Marie</cp:lastModifiedBy>
  <cp:lastPrinted>2015-08-21T13:30:07Z</cp:lastPrinted>
  <dcterms:created xsi:type="dcterms:W3CDTF">2008-04-22T17:57:35Z</dcterms:created>
  <dcterms:modified xsi:type="dcterms:W3CDTF">2015-08-21T13:30:18Z</dcterms:modified>
  <cp:category/>
  <cp:version/>
  <cp:contentType/>
  <cp:contentStatus/>
</cp:coreProperties>
</file>