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19" activeTab="26"/>
  </bookViews>
  <sheets>
    <sheet name="07-02-15" sheetId="1" r:id="rId1"/>
    <sheet name="07-16-15" sheetId="2" r:id="rId2"/>
    <sheet name="07-30-15" sheetId="3" r:id="rId3"/>
    <sheet name="08-13-15" sheetId="4" r:id="rId4"/>
    <sheet name="08-27-15" sheetId="5" r:id="rId5"/>
    <sheet name="09-10-15" sheetId="6" r:id="rId6"/>
    <sheet name="09-24-15" sheetId="7" r:id="rId7"/>
    <sheet name="10-08-15" sheetId="8" r:id="rId8"/>
    <sheet name="10-22-15" sheetId="9" r:id="rId9"/>
    <sheet name="11-05-15" sheetId="10" r:id="rId10"/>
    <sheet name="11-19-15" sheetId="11" r:id="rId11"/>
    <sheet name="12-03-15" sheetId="12" r:id="rId12"/>
    <sheet name="12-17-15" sheetId="13" r:id="rId13"/>
    <sheet name="12-31-15" sheetId="14" r:id="rId14"/>
    <sheet name="1-14-16" sheetId="15" r:id="rId15"/>
    <sheet name="1-28-16" sheetId="16" r:id="rId16"/>
    <sheet name="2-11-16" sheetId="17" r:id="rId17"/>
    <sheet name="2-25-16" sheetId="18" r:id="rId18"/>
    <sheet name="3-10-16" sheetId="19" r:id="rId19"/>
    <sheet name="3-24-16" sheetId="20" r:id="rId20"/>
    <sheet name="4-07-16" sheetId="21" r:id="rId21"/>
    <sheet name="4-21-16" sheetId="22" r:id="rId22"/>
    <sheet name="5-5-16" sheetId="23" r:id="rId23"/>
    <sheet name="5-19-16" sheetId="24" r:id="rId24"/>
    <sheet name="6-02-16" sheetId="25" r:id="rId25"/>
    <sheet name="6-16-16" sheetId="26" r:id="rId26"/>
    <sheet name="6-30-16" sheetId="27" r:id="rId27"/>
  </sheets>
  <definedNames/>
  <calcPr fullCalcOnLoad="1"/>
</workbook>
</file>

<file path=xl/sharedStrings.xml><?xml version="1.0" encoding="utf-8"?>
<sst xmlns="http://schemas.openxmlformats.org/spreadsheetml/2006/main" count="1406" uniqueCount="66">
  <si>
    <t>DEPARTMENT</t>
  </si>
  <si>
    <t>Department ID</t>
  </si>
  <si>
    <t xml:space="preserve">ALLOCATION </t>
  </si>
  <si>
    <t>Current STAS</t>
  </si>
  <si>
    <t>Fringe</t>
  </si>
  <si>
    <t>Current Other OPS</t>
  </si>
  <si>
    <t>YTD OPS</t>
  </si>
  <si>
    <t>YTD Fringe</t>
  </si>
  <si>
    <t>YTD TOTAL</t>
  </si>
  <si>
    <t>Remaining</t>
  </si>
  <si>
    <t>Left at YTD Rate</t>
  </si>
  <si>
    <t>SRRS DISCRETIONARY</t>
  </si>
  <si>
    <t>LIBRARY WEST-REFERENCE</t>
  </si>
  <si>
    <t>AFA</t>
  </si>
  <si>
    <t>EDUCATION</t>
  </si>
  <si>
    <t>LIBRARY WEST-CIRC/STACKS</t>
  </si>
  <si>
    <t>MARSTON</t>
  </si>
  <si>
    <t>SPECIAL COLLECTIONS</t>
  </si>
  <si>
    <t>AFRICA</t>
  </si>
  <si>
    <t>ACCESS SERV</t>
  </si>
  <si>
    <t>ACQUISITIONS</t>
  </si>
  <si>
    <t>DIGITAL LIBRARY</t>
  </si>
  <si>
    <t>PRESERVATION</t>
  </si>
  <si>
    <t>CATALOGING</t>
  </si>
  <si>
    <t>OPEN</t>
  </si>
  <si>
    <t>55xxxxxx</t>
  </si>
  <si>
    <t>HUMAN RESOURCES</t>
  </si>
  <si>
    <t>HSCL</t>
  </si>
  <si>
    <t>55170100-102</t>
  </si>
  <si>
    <t>BORLAND AUX</t>
  </si>
  <si>
    <t>FACILITIES</t>
  </si>
  <si>
    <t>IFAS ENDNOTE</t>
  </si>
  <si>
    <t>MSL BACK-FILL</t>
  </si>
  <si>
    <t>INFORMATION TECHNOLOGY</t>
  </si>
  <si>
    <t>CENTRAL</t>
  </si>
  <si>
    <t>55170100- F014413</t>
  </si>
  <si>
    <t>SUBTOTAL Scholarly Resources &amp; 
Services</t>
  </si>
  <si>
    <t>SUBTOTAL Discovery &amp; Access</t>
  </si>
  <si>
    <t>SUBTOTAL Digital Services &amp; Shared 
Collections</t>
  </si>
  <si>
    <t>SUBTOTAL Administrative Services &amp; 
Faculty Affairs</t>
  </si>
  <si>
    <t>SUBTOTAL Special Projects</t>
  </si>
  <si>
    <t>TOTAL  Health 
Science Center Libraries</t>
  </si>
  <si>
    <t>TOTAL University Libraries</t>
  </si>
  <si>
    <t>CAT TEMP POSITION</t>
  </si>
  <si>
    <t>7-6-15 Funding to Cataloging for Temp Position 55160300  from 55010000 (600000)</t>
  </si>
  <si>
    <t>7-9-15 Funding to 55080500 for FY allocation from Expenses (700000)</t>
  </si>
  <si>
    <t>9-3-15 Funding to 55050300 from 55010000</t>
  </si>
  <si>
    <t>DIRECTOR'S OFFICE ADMIN</t>
  </si>
  <si>
    <t>FLMNH Processing</t>
  </si>
  <si>
    <t>55010000/CYFWD</t>
  </si>
  <si>
    <t>12-22-15 Funding to MSL Pilot Project 55050400 from SRRS Discretionary 55010500</t>
  </si>
  <si>
    <t>MARSTON PILOT PROJECT</t>
  </si>
  <si>
    <t>2-1-15 Funding to 55160300 from 55010000 (600000)</t>
  </si>
  <si>
    <t>55010000/149</t>
  </si>
  <si>
    <t>DLS-WOMEN BOOKS</t>
  </si>
  <si>
    <t>2-1-16 Funding to 55160300 from 55010000 (600000)</t>
  </si>
  <si>
    <t>4-28-16 Funding to 55050300 from 55050200</t>
  </si>
  <si>
    <t>4-28-16 Funding to 55030200 from 55020200</t>
  </si>
  <si>
    <t>5-2-16 Funding to 55070100 from 55070400</t>
  </si>
  <si>
    <t>5-2-16 Funding to 55070100 from 55010500</t>
  </si>
  <si>
    <t>55080500/CYFWD</t>
  </si>
  <si>
    <t>FINES CATALOGING/CECILIA</t>
  </si>
  <si>
    <t>55010300/CWFWD</t>
  </si>
  <si>
    <t>6-8-16 Funding to 55050200 from 55030200</t>
  </si>
  <si>
    <t xml:space="preserve">JUDAICA LIBRARY </t>
  </si>
  <si>
    <t>6-23-16 Funding to 55070100 from 55010000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</si>
</sst>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0" fontId="44" fillId="0" borderId="0" xfId="0" applyNumberFormat="1" applyFont="1" applyFill="1" applyAlignment="1">
      <alignment/>
    </xf>
    <xf numFmtId="39" fontId="3" fillId="0" borderId="0" xfId="57" applyNumberFormat="1" applyFont="1" applyFill="1">
      <alignment/>
      <protection/>
    </xf>
    <xf numFmtId="0" fontId="4" fillId="0" borderId="0" xfId="57" applyFont="1" applyFill="1" applyAlignment="1">
      <alignment horizontal="center"/>
      <protection/>
    </xf>
    <xf numFmtId="39" fontId="4" fillId="0" borderId="0" xfId="57" applyNumberFormat="1" applyFont="1" applyFill="1" applyAlignment="1">
      <alignment horizontal="center"/>
      <protection/>
    </xf>
    <xf numFmtId="39" fontId="4" fillId="0" borderId="0" xfId="57" applyNumberFormat="1" applyFont="1" applyFill="1" applyAlignment="1">
      <alignment horizontal="center" wrapText="1"/>
      <protection/>
    </xf>
    <xf numFmtId="0" fontId="3" fillId="0" borderId="10" xfId="57" applyFont="1" applyFill="1" applyBorder="1">
      <alignment/>
      <protection/>
    </xf>
    <xf numFmtId="39" fontId="3" fillId="0" borderId="10" xfId="57" applyNumberFormat="1" applyFont="1" applyFill="1" applyBorder="1">
      <alignment/>
      <protection/>
    </xf>
    <xf numFmtId="39" fontId="3" fillId="33" borderId="10" xfId="57" applyNumberFormat="1" applyFont="1" applyFill="1" applyBorder="1">
      <alignment/>
      <protection/>
    </xf>
    <xf numFmtId="14" fontId="3" fillId="0" borderId="0" xfId="57" applyNumberFormat="1" applyFont="1" applyFill="1" applyAlignment="1">
      <alignment horizontal="left" vertical="center" wrapText="1"/>
      <protection/>
    </xf>
    <xf numFmtId="44" fontId="3" fillId="0" borderId="0" xfId="57" applyNumberFormat="1" applyFont="1" applyFill="1" applyBorder="1">
      <alignment/>
      <protection/>
    </xf>
    <xf numFmtId="39" fontId="3" fillId="0" borderId="0" xfId="57" applyNumberFormat="1" applyFont="1" applyFill="1" applyBorder="1">
      <alignment/>
      <protection/>
    </xf>
    <xf numFmtId="0" fontId="5" fillId="0" borderId="0" xfId="0" applyFont="1" applyFill="1" applyAlignment="1">
      <alignment/>
    </xf>
    <xf numFmtId="39" fontId="5" fillId="0" borderId="0" xfId="0" applyNumberFormat="1" applyFont="1" applyFill="1" applyBorder="1" applyAlignment="1">
      <alignment/>
    </xf>
    <xf numFmtId="0" fontId="3" fillId="0" borderId="0" xfId="57" applyFont="1" applyFill="1" applyBorder="1" applyAlignment="1">
      <alignment horizontal="left" vertical="center" wrapText="1"/>
      <protection/>
    </xf>
    <xf numFmtId="44" fontId="3" fillId="0" borderId="0" xfId="57" applyNumberFormat="1" applyFont="1" applyFill="1" applyBorder="1" applyAlignment="1">
      <alignment/>
      <protection/>
    </xf>
    <xf numFmtId="0" fontId="3" fillId="0" borderId="0" xfId="57" applyFont="1" applyFill="1" applyBorder="1" applyAlignment="1">
      <alignment/>
      <protection/>
    </xf>
    <xf numFmtId="7" fontId="3" fillId="0" borderId="0" xfId="57" applyNumberFormat="1" applyFont="1" applyFill="1">
      <alignment/>
      <protection/>
    </xf>
    <xf numFmtId="0" fontId="3" fillId="0" borderId="0" xfId="57" applyFont="1" applyFill="1" applyBorder="1" applyAlignment="1">
      <alignment wrapText="1"/>
      <protection/>
    </xf>
    <xf numFmtId="0" fontId="3" fillId="0" borderId="0" xfId="57" applyFont="1" applyFill="1" applyBorder="1">
      <alignment/>
      <protection/>
    </xf>
    <xf numFmtId="16" fontId="3" fillId="0" borderId="0" xfId="57" applyNumberFormat="1" applyFont="1" applyFill="1" applyBorder="1">
      <alignment/>
      <protection/>
    </xf>
    <xf numFmtId="39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14" fontId="45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10" xfId="57" applyFont="1" applyFill="1" applyBorder="1" applyAlignment="1">
      <alignment horizontal="center"/>
      <protection/>
    </xf>
    <xf numFmtId="39" fontId="3" fillId="0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>
      <alignment/>
      <protection/>
    </xf>
    <xf numFmtId="0" fontId="3" fillId="33" borderId="10" xfId="57" applyFont="1" applyFill="1" applyBorder="1" applyAlignment="1">
      <alignment horizontal="center"/>
      <protection/>
    </xf>
    <xf numFmtId="39" fontId="3" fillId="33" borderId="10" xfId="57" applyNumberFormat="1" applyFont="1" applyFill="1" applyBorder="1" applyAlignment="1">
      <alignment horizontal="center"/>
      <protection/>
    </xf>
    <xf numFmtId="0" fontId="3" fillId="34" borderId="10" xfId="57" applyFont="1" applyFill="1" applyBorder="1">
      <alignment/>
      <protection/>
    </xf>
    <xf numFmtId="0" fontId="3" fillId="34" borderId="10" xfId="57" applyFont="1" applyFill="1" applyBorder="1" applyAlignment="1">
      <alignment horizontal="center"/>
      <protection/>
    </xf>
    <xf numFmtId="39" fontId="3" fillId="34" borderId="10" xfId="57" applyNumberFormat="1" applyFont="1" applyFill="1" applyBorder="1" applyAlignment="1">
      <alignment horizontal="center"/>
      <protection/>
    </xf>
    <xf numFmtId="0" fontId="3" fillId="0" borderId="0" xfId="57" applyFont="1" applyFill="1">
      <alignment/>
      <protection/>
    </xf>
    <xf numFmtId="40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4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9" fontId="42" fillId="0" borderId="0" xfId="0" applyNumberFormat="1" applyFont="1" applyFill="1" applyAlignment="1">
      <alignment/>
    </xf>
    <xf numFmtId="39" fontId="6" fillId="0" borderId="0" xfId="0" applyNumberFormat="1" applyFont="1" applyFill="1" applyAlignment="1">
      <alignment/>
    </xf>
    <xf numFmtId="40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42" fillId="34" borderId="0" xfId="0" applyFont="1" applyFill="1" applyAlignment="1">
      <alignment/>
    </xf>
    <xf numFmtId="40" fontId="42" fillId="34" borderId="0" xfId="0" applyNumberFormat="1" applyFont="1" applyFill="1" applyAlignment="1">
      <alignment/>
    </xf>
    <xf numFmtId="39" fontId="45" fillId="0" borderId="0" xfId="0" applyNumberFormat="1" applyFont="1" applyFill="1" applyBorder="1" applyAlignment="1">
      <alignment/>
    </xf>
    <xf numFmtId="40" fontId="45" fillId="0" borderId="0" xfId="0" applyNumberFormat="1" applyFont="1" applyFill="1" applyAlignment="1">
      <alignment/>
    </xf>
    <xf numFmtId="39" fontId="45" fillId="0" borderId="0" xfId="0" applyNumberFormat="1" applyFont="1" applyFill="1" applyAlignment="1">
      <alignment/>
    </xf>
    <xf numFmtId="39" fontId="3" fillId="0" borderId="10" xfId="57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/>
    </xf>
    <xf numFmtId="14" fontId="3" fillId="0" borderId="10" xfId="57" applyNumberFormat="1" applyFont="1" applyFill="1" applyBorder="1" applyAlignment="1">
      <alignment horizontal="left" vertical="center" wrapText="1"/>
      <protection/>
    </xf>
    <xf numFmtId="44" fontId="3" fillId="0" borderId="10" xfId="57" applyNumberFormat="1" applyFont="1" applyFill="1" applyBorder="1" applyAlignment="1">
      <alignment horizontal="left" vertical="center"/>
      <protection/>
    </xf>
    <xf numFmtId="39" fontId="5" fillId="0" borderId="10" xfId="0" applyNumberFormat="1" applyFont="1" applyFill="1" applyBorder="1" applyAlignment="1">
      <alignment horizontal="center" vertical="center"/>
    </xf>
    <xf numFmtId="0" fontId="3" fillId="35" borderId="10" xfId="57" applyFont="1" applyFill="1" applyBorder="1">
      <alignment/>
      <protection/>
    </xf>
    <xf numFmtId="0" fontId="3" fillId="35" borderId="10" xfId="57" applyFont="1" applyFill="1" applyBorder="1" applyAlignment="1">
      <alignment horizontal="center"/>
      <protection/>
    </xf>
    <xf numFmtId="39" fontId="3" fillId="35" borderId="10" xfId="57" applyNumberFormat="1" applyFont="1" applyFill="1" applyBorder="1" applyAlignment="1">
      <alignment horizontal="center"/>
      <protection/>
    </xf>
    <xf numFmtId="14" fontId="3" fillId="0" borderId="0" xfId="57" applyNumberFormat="1" applyFont="1" applyFill="1" applyBorder="1" applyAlignment="1">
      <alignment horizontal="left" vertical="center" wrapText="1"/>
      <protection/>
    </xf>
    <xf numFmtId="8" fontId="3" fillId="0" borderId="0" xfId="57" applyNumberFormat="1" applyFont="1" applyFill="1" applyBorder="1" applyAlignment="1">
      <alignment horizontal="left"/>
      <protection/>
    </xf>
    <xf numFmtId="39" fontId="3" fillId="36" borderId="10" xfId="57" applyNumberFormat="1" applyFont="1" applyFill="1" applyBorder="1" applyAlignment="1">
      <alignment horizontal="center"/>
      <protection/>
    </xf>
    <xf numFmtId="39" fontId="6" fillId="34" borderId="0" xfId="0" applyNumberFormat="1" applyFont="1" applyFill="1" applyAlignment="1">
      <alignment/>
    </xf>
    <xf numFmtId="39" fontId="42" fillId="34" borderId="0" xfId="0" applyNumberFormat="1" applyFont="1" applyFill="1" applyAlignment="1">
      <alignment/>
    </xf>
    <xf numFmtId="39" fontId="3" fillId="34" borderId="10" xfId="57" applyNumberFormat="1" applyFont="1" applyFill="1" applyBorder="1" applyAlignment="1">
      <alignment horizontal="center" vertical="center"/>
      <protection/>
    </xf>
    <xf numFmtId="39" fontId="3" fillId="7" borderId="10" xfId="57" applyNumberFormat="1" applyFont="1" applyFill="1" applyBorder="1" applyAlignment="1">
      <alignment horizontal="center"/>
      <protection/>
    </xf>
    <xf numFmtId="40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40" fontId="46" fillId="34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6" fillId="34" borderId="0" xfId="0" applyFont="1" applyFill="1" applyAlignment="1">
      <alignment/>
    </xf>
    <xf numFmtId="40" fontId="45" fillId="0" borderId="0" xfId="0" applyNumberFormat="1" applyFont="1" applyFill="1" applyAlignment="1">
      <alignment horizontal="left"/>
    </xf>
    <xf numFmtId="40" fontId="5" fillId="34" borderId="0" xfId="0" applyNumberFormat="1" applyFont="1" applyFill="1" applyAlignment="1">
      <alignment horizontal="left"/>
    </xf>
    <xf numFmtId="40" fontId="5" fillId="0" borderId="0" xfId="0" applyNumberFormat="1" applyFont="1" applyFill="1" applyAlignment="1">
      <alignment horizontal="left"/>
    </xf>
    <xf numFmtId="0" fontId="45" fillId="0" borderId="0" xfId="0" applyFont="1" applyFill="1" applyAlignment="1">
      <alignment horizontal="left"/>
    </xf>
    <xf numFmtId="40" fontId="45" fillId="34" borderId="0" xfId="0" applyNumberFormat="1" applyFont="1" applyFill="1" applyAlignment="1">
      <alignment horizontal="left"/>
    </xf>
    <xf numFmtId="44" fontId="3" fillId="34" borderId="10" xfId="57" applyNumberFormat="1" applyFont="1" applyFill="1" applyBorder="1" applyAlignment="1">
      <alignment horizontal="left" vertical="center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horizontal="left" vertical="center"/>
      <protection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0" xfId="57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E44" sqref="E44"/>
    </sheetView>
  </sheetViews>
  <sheetFormatPr defaultColWidth="28.00390625" defaultRowHeight="15"/>
  <cols>
    <col min="1" max="1" width="24.28125" style="36" customWidth="1"/>
    <col min="2" max="2" width="15.00390625" style="36" bestFit="1" customWidth="1"/>
    <col min="3" max="3" width="11.57421875" style="40" bestFit="1" customWidth="1"/>
    <col min="4" max="4" width="10.421875" style="40" bestFit="1" customWidth="1"/>
    <col min="5" max="5" width="7.140625" style="40" customWidth="1"/>
    <col min="6" max="6" width="14.00390625" style="40" bestFit="1" customWidth="1"/>
    <col min="7" max="7" width="6.8515625" style="40" customWidth="1"/>
    <col min="8" max="8" width="9.00390625" style="40" customWidth="1"/>
    <col min="9" max="9" width="10.57421875" style="40" customWidth="1"/>
    <col min="10" max="10" width="9.7109375" style="40" customWidth="1"/>
    <col min="11" max="12" width="13.00390625" style="40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ht="11.25" customHeight="1">
      <c r="A3" s="6" t="s">
        <v>11</v>
      </c>
      <c r="B3" s="26">
        <v>55010500</v>
      </c>
      <c r="C3" s="27">
        <v>9670</v>
      </c>
      <c r="D3" s="27">
        <v>30.8</v>
      </c>
      <c r="E3" s="27">
        <v>1.66</v>
      </c>
      <c r="F3" s="27">
        <v>0</v>
      </c>
      <c r="G3" s="27">
        <v>0</v>
      </c>
      <c r="H3" s="27">
        <f>D3+F3</f>
        <v>30.8</v>
      </c>
      <c r="I3" s="27">
        <f>E3+G3</f>
        <v>1.66</v>
      </c>
      <c r="J3" s="27">
        <f>H3+I3</f>
        <v>32.46</v>
      </c>
      <c r="K3" s="27">
        <f>C3-J3</f>
        <v>9637.54</v>
      </c>
      <c r="L3" s="27">
        <f>C3-(J3/0.2*26.2)</f>
        <v>5417.740000000001</v>
      </c>
      <c r="M3" s="38"/>
      <c r="N3" s="39"/>
    </row>
    <row r="4" spans="1:14" ht="11.25" customHeight="1">
      <c r="A4" s="6" t="s">
        <v>12</v>
      </c>
      <c r="B4" s="26">
        <v>55020200</v>
      </c>
      <c r="C4" s="27">
        <v>32649</v>
      </c>
      <c r="D4" s="27">
        <v>10.87</v>
      </c>
      <c r="E4" s="27">
        <v>0.28</v>
      </c>
      <c r="F4" s="27">
        <v>0</v>
      </c>
      <c r="G4" s="27">
        <v>0</v>
      </c>
      <c r="H4" s="27">
        <f aca="true" t="shared" si="0" ref="H4:H10">D4+F4</f>
        <v>10.87</v>
      </c>
      <c r="I4" s="27">
        <f aca="true" t="shared" si="1" ref="I4:I10">E4+G4</f>
        <v>0.28</v>
      </c>
      <c r="J4" s="27">
        <f>H4+I4</f>
        <v>11.149999999999999</v>
      </c>
      <c r="K4" s="27">
        <f>C4-J4</f>
        <v>32637.85</v>
      </c>
      <c r="L4" s="27">
        <f aca="true" t="shared" si="2" ref="L4:L10">C4-(J4/0.2*26.2)</f>
        <v>31188.35</v>
      </c>
      <c r="N4" s="40"/>
    </row>
    <row r="5" spans="1:14" ht="11.25" customHeight="1">
      <c r="A5" s="6" t="s">
        <v>13</v>
      </c>
      <c r="B5" s="26">
        <v>55020300</v>
      </c>
      <c r="C5" s="27">
        <v>17974</v>
      </c>
      <c r="D5" s="27">
        <v>37.5</v>
      </c>
      <c r="E5" s="27">
        <v>0.97</v>
      </c>
      <c r="F5" s="27">
        <v>0</v>
      </c>
      <c r="G5" s="27">
        <v>0</v>
      </c>
      <c r="H5" s="27">
        <f t="shared" si="0"/>
        <v>37.5</v>
      </c>
      <c r="I5" s="27">
        <f t="shared" si="1"/>
        <v>0.97</v>
      </c>
      <c r="J5" s="27">
        <f aca="true" t="shared" si="3" ref="J5:J10">H5+I5</f>
        <v>38.47</v>
      </c>
      <c r="K5" s="27">
        <f aca="true" t="shared" si="4" ref="K5:K10">C5-J5</f>
        <v>17935.53</v>
      </c>
      <c r="L5" s="27">
        <f t="shared" si="2"/>
        <v>12934.43</v>
      </c>
      <c r="N5" s="40"/>
    </row>
    <row r="6" spans="1:14" ht="11.25" customHeight="1">
      <c r="A6" s="6" t="s">
        <v>14</v>
      </c>
      <c r="B6" s="26">
        <v>55020400</v>
      </c>
      <c r="C6" s="27">
        <v>17974</v>
      </c>
      <c r="D6" s="27">
        <v>105.87</v>
      </c>
      <c r="E6" s="27">
        <v>2.75</v>
      </c>
      <c r="F6" s="27">
        <v>0</v>
      </c>
      <c r="G6" s="27">
        <v>0</v>
      </c>
      <c r="H6" s="27">
        <f t="shared" si="0"/>
        <v>105.87</v>
      </c>
      <c r="I6" s="27">
        <f t="shared" si="1"/>
        <v>2.75</v>
      </c>
      <c r="J6" s="27">
        <f>H6+I6</f>
        <v>108.62</v>
      </c>
      <c r="K6" s="27">
        <f t="shared" si="4"/>
        <v>17865.38</v>
      </c>
      <c r="L6" s="27">
        <f t="shared" si="2"/>
        <v>3744.7800000000007</v>
      </c>
      <c r="N6" s="40"/>
    </row>
    <row r="7" spans="1:12" ht="11.25" customHeight="1">
      <c r="A7" s="6" t="s">
        <v>15</v>
      </c>
      <c r="B7" s="26">
        <v>55030200</v>
      </c>
      <c r="C7" s="27">
        <v>24330</v>
      </c>
      <c r="D7" s="27">
        <v>202.6</v>
      </c>
      <c r="E7" s="27">
        <v>5.26</v>
      </c>
      <c r="F7" s="27">
        <v>0</v>
      </c>
      <c r="G7" s="27">
        <v>0</v>
      </c>
      <c r="H7" s="27">
        <f t="shared" si="0"/>
        <v>202.6</v>
      </c>
      <c r="I7" s="27">
        <f t="shared" si="1"/>
        <v>5.26</v>
      </c>
      <c r="J7" s="27">
        <f t="shared" si="3"/>
        <v>207.85999999999999</v>
      </c>
      <c r="K7" s="27">
        <f t="shared" si="4"/>
        <v>24122.14</v>
      </c>
      <c r="L7" s="27">
        <f t="shared" si="2"/>
        <v>-2899.66</v>
      </c>
    </row>
    <row r="8" spans="1:12" ht="11.25" customHeight="1">
      <c r="A8" s="6" t="s">
        <v>16</v>
      </c>
      <c r="B8" s="26">
        <v>55050200</v>
      </c>
      <c r="C8" s="27">
        <v>29837</v>
      </c>
      <c r="D8" s="27">
        <v>59.43</v>
      </c>
      <c r="E8" s="27">
        <v>1.54</v>
      </c>
      <c r="F8" s="27">
        <v>315.3</v>
      </c>
      <c r="G8" s="27">
        <v>17.02</v>
      </c>
      <c r="H8" s="27">
        <f t="shared" si="0"/>
        <v>374.73</v>
      </c>
      <c r="I8" s="27">
        <f t="shared" si="1"/>
        <v>18.56</v>
      </c>
      <c r="J8" s="27">
        <f t="shared" si="3"/>
        <v>393.29</v>
      </c>
      <c r="K8" s="27">
        <f t="shared" si="4"/>
        <v>29443.71</v>
      </c>
      <c r="L8" s="27">
        <f t="shared" si="2"/>
        <v>-21683.989999999998</v>
      </c>
    </row>
    <row r="9" spans="1:12" ht="11.25" customHeight="1">
      <c r="A9" s="6" t="s">
        <v>17</v>
      </c>
      <c r="B9" s="26">
        <v>55070100</v>
      </c>
      <c r="C9" s="27">
        <f>26873+10510+5358</f>
        <v>42741</v>
      </c>
      <c r="D9" s="27">
        <v>140.51</v>
      </c>
      <c r="E9" s="27">
        <v>3.65</v>
      </c>
      <c r="F9" s="27">
        <v>145.63</v>
      </c>
      <c r="G9" s="27">
        <v>7.86</v>
      </c>
      <c r="H9" s="27">
        <f t="shared" si="0"/>
        <v>286.14</v>
      </c>
      <c r="I9" s="27">
        <f t="shared" si="1"/>
        <v>11.51</v>
      </c>
      <c r="J9" s="27">
        <f t="shared" si="3"/>
        <v>297.65</v>
      </c>
      <c r="K9" s="27">
        <f t="shared" si="4"/>
        <v>42443.35</v>
      </c>
      <c r="L9" s="27">
        <f t="shared" si="2"/>
        <v>3748.850000000006</v>
      </c>
    </row>
    <row r="10" spans="1:12" ht="11.25" customHeight="1">
      <c r="A10" s="6" t="s">
        <v>18</v>
      </c>
      <c r="B10" s="26">
        <v>55070400</v>
      </c>
      <c r="C10" s="27">
        <v>3000</v>
      </c>
      <c r="D10" s="27">
        <v>0</v>
      </c>
      <c r="E10" s="27">
        <v>0</v>
      </c>
      <c r="F10" s="27">
        <v>0</v>
      </c>
      <c r="G10" s="27">
        <v>0</v>
      </c>
      <c r="H10" s="27">
        <f t="shared" si="0"/>
        <v>0</v>
      </c>
      <c r="I10" s="27">
        <f t="shared" si="1"/>
        <v>0</v>
      </c>
      <c r="J10" s="27">
        <f t="shared" si="3"/>
        <v>0</v>
      </c>
      <c r="K10" s="27">
        <f t="shared" si="4"/>
        <v>3000</v>
      </c>
      <c r="L10" s="27">
        <f t="shared" si="2"/>
        <v>3000</v>
      </c>
    </row>
    <row r="11" spans="1:12" ht="11.25" customHeight="1">
      <c r="A11" s="6" t="s">
        <v>20</v>
      </c>
      <c r="B11" s="26">
        <v>55080100</v>
      </c>
      <c r="C11" s="27">
        <v>23173</v>
      </c>
      <c r="D11" s="27">
        <v>141.41</v>
      </c>
      <c r="E11" s="27">
        <v>3.67</v>
      </c>
      <c r="F11" s="27">
        <v>0</v>
      </c>
      <c r="G11" s="27">
        <v>0</v>
      </c>
      <c r="H11" s="27">
        <f>D11+F11</f>
        <v>141.41</v>
      </c>
      <c r="I11" s="27">
        <f>E11+G11</f>
        <v>3.67</v>
      </c>
      <c r="J11" s="27">
        <f>H11+I11</f>
        <v>145.07999999999998</v>
      </c>
      <c r="K11" s="27">
        <f>C11-J11</f>
        <v>23027.92</v>
      </c>
      <c r="L11" s="27">
        <f>C11-(J11/0.2*26.2)</f>
        <v>4167.520000000004</v>
      </c>
    </row>
    <row r="12" spans="1:14" ht="24.75" customHeight="1">
      <c r="A12" s="75" t="s">
        <v>36</v>
      </c>
      <c r="B12" s="76"/>
      <c r="C12" s="49">
        <f>SUM(C3:C11)</f>
        <v>201348</v>
      </c>
      <c r="D12" s="49">
        <f aca="true" t="shared" si="5" ref="D12:L12">SUM(D3:D11)</f>
        <v>728.9899999999999</v>
      </c>
      <c r="E12" s="49">
        <f t="shared" si="5"/>
        <v>19.78</v>
      </c>
      <c r="F12" s="49">
        <f t="shared" si="5"/>
        <v>460.93</v>
      </c>
      <c r="G12" s="49">
        <f t="shared" si="5"/>
        <v>24.88</v>
      </c>
      <c r="H12" s="49">
        <f t="shared" si="5"/>
        <v>1189.92</v>
      </c>
      <c r="I12" s="49">
        <f t="shared" si="5"/>
        <v>44.66</v>
      </c>
      <c r="J12" s="49">
        <f t="shared" si="5"/>
        <v>1234.58</v>
      </c>
      <c r="K12" s="49">
        <f t="shared" si="5"/>
        <v>200113.41999999998</v>
      </c>
      <c r="L12" s="49">
        <f t="shared" si="5"/>
        <v>39618.02000000001</v>
      </c>
      <c r="M12" s="38"/>
      <c r="N12" s="39"/>
    </row>
    <row r="13" spans="1:14" ht="11.25" customHeight="1">
      <c r="A13" s="28"/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6" t="s">
        <v>19</v>
      </c>
      <c r="B15" s="26">
        <v>55030100</v>
      </c>
      <c r="C15" s="27">
        <v>13540</v>
      </c>
      <c r="D15" s="27">
        <v>43.01</v>
      </c>
      <c r="E15" s="27">
        <v>1.11</v>
      </c>
      <c r="F15" s="27">
        <v>35.24</v>
      </c>
      <c r="G15" s="27">
        <v>1.9</v>
      </c>
      <c r="H15" s="27">
        <f aca="true" t="shared" si="6" ref="H15:I17">D15+F15</f>
        <v>78.25</v>
      </c>
      <c r="I15" s="27">
        <f t="shared" si="6"/>
        <v>3.01</v>
      </c>
      <c r="J15" s="27">
        <f aca="true" t="shared" si="7" ref="J15:J22">H15+I15</f>
        <v>81.26</v>
      </c>
      <c r="K15" s="27">
        <f aca="true" t="shared" si="8" ref="K15:K22">C15-J15</f>
        <v>13458.74</v>
      </c>
      <c r="L15" s="27">
        <f aca="true" t="shared" si="9" ref="L15:L22">C15-(J15/0.2*26.2)</f>
        <v>2894.9400000000005</v>
      </c>
      <c r="M15" s="38"/>
      <c r="N15" s="39"/>
    </row>
    <row r="16" spans="1:14" ht="11.25" customHeight="1">
      <c r="A16" s="6" t="s">
        <v>33</v>
      </c>
      <c r="B16" s="26">
        <v>55110100</v>
      </c>
      <c r="C16" s="27">
        <v>7073</v>
      </c>
      <c r="D16" s="27">
        <v>0</v>
      </c>
      <c r="E16" s="27">
        <v>0</v>
      </c>
      <c r="F16" s="27">
        <v>0</v>
      </c>
      <c r="G16" s="27">
        <v>0</v>
      </c>
      <c r="H16" s="27">
        <f t="shared" si="6"/>
        <v>0</v>
      </c>
      <c r="I16" s="27">
        <f t="shared" si="6"/>
        <v>0</v>
      </c>
      <c r="J16" s="27">
        <f t="shared" si="7"/>
        <v>0</v>
      </c>
      <c r="K16" s="27">
        <f t="shared" si="8"/>
        <v>7073</v>
      </c>
      <c r="L16" s="27">
        <f t="shared" si="9"/>
        <v>7073</v>
      </c>
      <c r="M16" s="38"/>
      <c r="N16" s="39"/>
    </row>
    <row r="17" spans="1:14" ht="11.25" customHeight="1">
      <c r="A17" s="6" t="s">
        <v>23</v>
      </c>
      <c r="B17" s="26">
        <v>55160100</v>
      </c>
      <c r="C17" s="27">
        <v>16062</v>
      </c>
      <c r="D17" s="27">
        <v>61.67</v>
      </c>
      <c r="E17" s="27">
        <v>1.6</v>
      </c>
      <c r="F17" s="27">
        <v>35.24</v>
      </c>
      <c r="G17" s="27">
        <v>1.9</v>
      </c>
      <c r="H17" s="27">
        <f t="shared" si="6"/>
        <v>96.91</v>
      </c>
      <c r="I17" s="27">
        <f t="shared" si="6"/>
        <v>3.5</v>
      </c>
      <c r="J17" s="27">
        <f t="shared" si="7"/>
        <v>100.41</v>
      </c>
      <c r="K17" s="27">
        <f t="shared" si="8"/>
        <v>15961.59</v>
      </c>
      <c r="L17" s="27">
        <f t="shared" si="9"/>
        <v>2908.290000000001</v>
      </c>
      <c r="M17" s="38"/>
      <c r="N17" s="41"/>
    </row>
    <row r="18" spans="1:14" ht="24.75" customHeight="1">
      <c r="A18" s="75" t="s">
        <v>37</v>
      </c>
      <c r="B18" s="76"/>
      <c r="C18" s="49">
        <f>SUM(C15:C17)</f>
        <v>36675</v>
      </c>
      <c r="D18" s="49">
        <f aca="true" t="shared" si="10" ref="D18:L18">SUM(D15:D17)</f>
        <v>104.68</v>
      </c>
      <c r="E18" s="49">
        <f t="shared" si="10"/>
        <v>2.71</v>
      </c>
      <c r="F18" s="49">
        <f t="shared" si="10"/>
        <v>70.48</v>
      </c>
      <c r="G18" s="49">
        <f t="shared" si="10"/>
        <v>3.8</v>
      </c>
      <c r="H18" s="49">
        <f t="shared" si="10"/>
        <v>175.16</v>
      </c>
      <c r="I18" s="49">
        <f t="shared" si="10"/>
        <v>6.51</v>
      </c>
      <c r="J18" s="49">
        <f t="shared" si="10"/>
        <v>181.67000000000002</v>
      </c>
      <c r="K18" s="49">
        <f t="shared" si="10"/>
        <v>36493.33</v>
      </c>
      <c r="L18" s="49">
        <f t="shared" si="10"/>
        <v>12876.230000000001</v>
      </c>
      <c r="M18" s="38"/>
      <c r="N18" s="41"/>
    </row>
    <row r="19" spans="1:14" ht="11.25" customHeight="1">
      <c r="A19" s="28"/>
      <c r="B19" s="28"/>
      <c r="C19" s="8"/>
      <c r="D19" s="8"/>
      <c r="E19" s="8"/>
      <c r="F19" s="8"/>
      <c r="G19" s="8"/>
      <c r="H19" s="8"/>
      <c r="I19" s="8"/>
      <c r="J19" s="8"/>
      <c r="K19" s="8"/>
      <c r="L19" s="8"/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31" t="s">
        <v>21</v>
      </c>
      <c r="B21" s="32">
        <v>55090100</v>
      </c>
      <c r="C21" s="33">
        <v>26923</v>
      </c>
      <c r="D21" s="33">
        <v>188.32</v>
      </c>
      <c r="E21" s="33">
        <v>4.89</v>
      </c>
      <c r="F21" s="33">
        <v>417.45</v>
      </c>
      <c r="G21" s="33">
        <v>22.54</v>
      </c>
      <c r="H21" s="33">
        <f>D21+F21</f>
        <v>605.77</v>
      </c>
      <c r="I21" s="33">
        <f>E21+G21</f>
        <v>27.43</v>
      </c>
      <c r="J21" s="33">
        <f t="shared" si="7"/>
        <v>633.1999999999999</v>
      </c>
      <c r="K21" s="33">
        <f t="shared" si="8"/>
        <v>26289.8</v>
      </c>
      <c r="L21" s="33">
        <f t="shared" si="9"/>
        <v>-56026.19999999998</v>
      </c>
      <c r="M21" s="38"/>
      <c r="N21" s="41"/>
    </row>
    <row r="22" spans="1:14" ht="11.25" customHeight="1">
      <c r="A22" s="31" t="s">
        <v>22</v>
      </c>
      <c r="B22" s="32">
        <v>55100100</v>
      </c>
      <c r="C22" s="33">
        <v>2026</v>
      </c>
      <c r="D22" s="33">
        <v>0</v>
      </c>
      <c r="E22" s="33">
        <v>0</v>
      </c>
      <c r="F22" s="33">
        <v>0</v>
      </c>
      <c r="G22" s="33">
        <v>0</v>
      </c>
      <c r="H22" s="33">
        <f>D22+F22</f>
        <v>0</v>
      </c>
      <c r="I22" s="33">
        <f>E22+G22</f>
        <v>0</v>
      </c>
      <c r="J22" s="33">
        <f t="shared" si="7"/>
        <v>0</v>
      </c>
      <c r="K22" s="33">
        <f t="shared" si="8"/>
        <v>2026</v>
      </c>
      <c r="L22" s="33">
        <f t="shared" si="9"/>
        <v>2026</v>
      </c>
      <c r="M22" s="38"/>
      <c r="N22" s="41"/>
    </row>
    <row r="23" spans="1:14" ht="24.75" customHeight="1">
      <c r="A23" s="75" t="s">
        <v>38</v>
      </c>
      <c r="B23" s="76"/>
      <c r="C23" s="49">
        <f>SUM(C21:C22)</f>
        <v>28949</v>
      </c>
      <c r="D23" s="49">
        <f aca="true" t="shared" si="11" ref="D23:L23">SUM(D21:D22)</f>
        <v>188.32</v>
      </c>
      <c r="E23" s="49">
        <f t="shared" si="11"/>
        <v>4.89</v>
      </c>
      <c r="F23" s="49">
        <f t="shared" si="11"/>
        <v>417.45</v>
      </c>
      <c r="G23" s="49">
        <f t="shared" si="11"/>
        <v>22.54</v>
      </c>
      <c r="H23" s="49">
        <f t="shared" si="11"/>
        <v>605.77</v>
      </c>
      <c r="I23" s="49">
        <f t="shared" si="11"/>
        <v>27.43</v>
      </c>
      <c r="J23" s="49">
        <f t="shared" si="11"/>
        <v>633.1999999999999</v>
      </c>
      <c r="K23" s="49">
        <f t="shared" si="11"/>
        <v>28315.8</v>
      </c>
      <c r="L23" s="49">
        <f t="shared" si="11"/>
        <v>-54000.19999999998</v>
      </c>
      <c r="M23" s="38"/>
      <c r="N23" s="41"/>
    </row>
    <row r="24" spans="1:14" ht="11.25" customHeight="1">
      <c r="A24" s="2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8"/>
      <c r="N24" s="39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3" s="44" customFormat="1" ht="11.25" customHeight="1">
      <c r="A26" s="31" t="s">
        <v>26</v>
      </c>
      <c r="B26" s="32">
        <v>55130100</v>
      </c>
      <c r="C26" s="33">
        <v>4523</v>
      </c>
      <c r="D26" s="33">
        <v>76.33</v>
      </c>
      <c r="E26" s="33">
        <v>1.98</v>
      </c>
      <c r="F26" s="33">
        <v>0</v>
      </c>
      <c r="G26" s="33">
        <v>0</v>
      </c>
      <c r="H26" s="33">
        <f>D26+F26</f>
        <v>76.33</v>
      </c>
      <c r="I26" s="33">
        <f>E26+G26</f>
        <v>1.98</v>
      </c>
      <c r="J26" s="33">
        <f>H26+I26</f>
        <v>78.31</v>
      </c>
      <c r="K26" s="33">
        <f>C26-J26</f>
        <v>4444.69</v>
      </c>
      <c r="L26" s="33">
        <f>C26-(J26/0.2*26.2)</f>
        <v>-5735.610000000001</v>
      </c>
      <c r="M26" s="45"/>
    </row>
    <row r="27" spans="1:13" s="44" customFormat="1" ht="11.25" customHeight="1">
      <c r="A27" s="31" t="s">
        <v>30</v>
      </c>
      <c r="B27" s="32">
        <v>55140100</v>
      </c>
      <c r="C27" s="33">
        <v>2995</v>
      </c>
      <c r="D27" s="33">
        <v>0</v>
      </c>
      <c r="E27" s="33">
        <v>0</v>
      </c>
      <c r="F27" s="33">
        <v>0</v>
      </c>
      <c r="G27" s="33">
        <v>0</v>
      </c>
      <c r="H27" s="33">
        <f>D27+F27</f>
        <v>0</v>
      </c>
      <c r="I27" s="33">
        <f>E27+G27</f>
        <v>0</v>
      </c>
      <c r="J27" s="33">
        <f>H27+I27</f>
        <v>0</v>
      </c>
      <c r="K27" s="33">
        <f>C27-J27</f>
        <v>2995</v>
      </c>
      <c r="L27" s="33">
        <f>C27-(J27/0.2*26.2)</f>
        <v>2995</v>
      </c>
      <c r="M27" s="45"/>
    </row>
    <row r="28" spans="1:14" s="44" customFormat="1" ht="24.75" customHeight="1">
      <c r="A28" s="75" t="s">
        <v>39</v>
      </c>
      <c r="B28" s="76"/>
      <c r="C28" s="49">
        <f aca="true" t="shared" si="12" ref="C28:L28">SUM(C26:C27)</f>
        <v>7518</v>
      </c>
      <c r="D28" s="49">
        <f t="shared" si="12"/>
        <v>76.33</v>
      </c>
      <c r="E28" s="49">
        <f t="shared" si="12"/>
        <v>1.98</v>
      </c>
      <c r="F28" s="49">
        <f t="shared" si="12"/>
        <v>0</v>
      </c>
      <c r="G28" s="49">
        <f t="shared" si="12"/>
        <v>0</v>
      </c>
      <c r="H28" s="49">
        <f t="shared" si="12"/>
        <v>76.33</v>
      </c>
      <c r="I28" s="49">
        <f t="shared" si="12"/>
        <v>1.98</v>
      </c>
      <c r="J28" s="49">
        <f t="shared" si="12"/>
        <v>78.31</v>
      </c>
      <c r="K28" s="49">
        <f t="shared" si="12"/>
        <v>7439.69</v>
      </c>
      <c r="L28" s="49">
        <f t="shared" si="12"/>
        <v>-2740.6100000000006</v>
      </c>
      <c r="M28" s="42"/>
      <c r="N28" s="43"/>
    </row>
    <row r="29" spans="1:14" ht="11.25" customHeight="1">
      <c r="A29" s="2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8"/>
      <c r="N29" s="39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31" t="s">
        <v>34</v>
      </c>
      <c r="B31" s="32">
        <v>55010000</v>
      </c>
      <c r="C31" s="33">
        <v>24725</v>
      </c>
      <c r="D31" s="33">
        <v>0</v>
      </c>
      <c r="E31" s="33">
        <v>0</v>
      </c>
      <c r="F31" s="33">
        <v>0</v>
      </c>
      <c r="G31" s="33">
        <v>0</v>
      </c>
      <c r="H31" s="33">
        <f>D31+F31</f>
        <v>0</v>
      </c>
      <c r="I31" s="33">
        <f>E31+G31</f>
        <v>0</v>
      </c>
      <c r="J31" s="33">
        <f>H31+I31</f>
        <v>0</v>
      </c>
      <c r="K31" s="33">
        <f>C31-J31</f>
        <v>24725</v>
      </c>
      <c r="L31" s="33">
        <f>C31-(J31/0.2*26.2)</f>
        <v>24725</v>
      </c>
      <c r="M31" s="38"/>
      <c r="N31" s="39"/>
    </row>
    <row r="32" spans="1:12" ht="11.25" customHeight="1">
      <c r="A32" s="6" t="s">
        <v>31</v>
      </c>
      <c r="B32" s="26">
        <v>55080500</v>
      </c>
      <c r="C32" s="27">
        <v>10000</v>
      </c>
      <c r="D32" s="27">
        <v>0</v>
      </c>
      <c r="E32" s="27">
        <v>0</v>
      </c>
      <c r="F32" s="27">
        <v>129.6</v>
      </c>
      <c r="G32" s="27">
        <v>6.99</v>
      </c>
      <c r="H32" s="27">
        <f aca="true" t="shared" si="13" ref="H32:I35">D32+F32</f>
        <v>129.6</v>
      </c>
      <c r="I32" s="27">
        <f t="shared" si="13"/>
        <v>6.99</v>
      </c>
      <c r="J32" s="27">
        <f>H32+I32</f>
        <v>136.59</v>
      </c>
      <c r="K32" s="27">
        <f>C32-J32</f>
        <v>9863.41</v>
      </c>
      <c r="L32" s="27">
        <f>C32-(J32/0.2*26.2)</f>
        <v>-7893.289999999997</v>
      </c>
    </row>
    <row r="33" spans="1:12" ht="11.25" customHeight="1">
      <c r="A33" s="6" t="s">
        <v>32</v>
      </c>
      <c r="B33" s="26">
        <v>55050300</v>
      </c>
      <c r="C33" s="27">
        <v>15346.24</v>
      </c>
      <c r="D33" s="27">
        <v>0</v>
      </c>
      <c r="E33" s="27">
        <v>0</v>
      </c>
      <c r="F33" s="27">
        <v>0</v>
      </c>
      <c r="G33" s="27">
        <v>0</v>
      </c>
      <c r="H33" s="27">
        <f t="shared" si="13"/>
        <v>0</v>
      </c>
      <c r="I33" s="27">
        <f t="shared" si="13"/>
        <v>0</v>
      </c>
      <c r="J33" s="27">
        <f>H33+I33</f>
        <v>0</v>
      </c>
      <c r="K33" s="27">
        <f>C33-J33</f>
        <v>15346.24</v>
      </c>
      <c r="L33" s="27">
        <f>C33-(J33/0.2*26.2)</f>
        <v>15346.24</v>
      </c>
    </row>
    <row r="34" spans="1:12" ht="11.25" customHeight="1">
      <c r="A34" s="6" t="s">
        <v>43</v>
      </c>
      <c r="B34" s="26">
        <v>55160300</v>
      </c>
      <c r="C34" s="27">
        <v>43385.81</v>
      </c>
      <c r="D34" s="27">
        <v>0</v>
      </c>
      <c r="E34" s="27">
        <v>0</v>
      </c>
      <c r="F34" s="27">
        <v>630.85</v>
      </c>
      <c r="G34" s="27">
        <v>34.06</v>
      </c>
      <c r="H34" s="27">
        <f t="shared" si="13"/>
        <v>630.85</v>
      </c>
      <c r="I34" s="27">
        <f t="shared" si="13"/>
        <v>34.06</v>
      </c>
      <c r="J34" s="27">
        <f>H34+I34</f>
        <v>664.9100000000001</v>
      </c>
      <c r="K34" s="27">
        <f>C34-J34</f>
        <v>42720.899999999994</v>
      </c>
      <c r="L34" s="27">
        <f>C34-(J34/0.2*26.2)</f>
        <v>-43717.40000000001</v>
      </c>
    </row>
    <row r="35" spans="1:12" ht="11.25" customHeight="1">
      <c r="A35" s="6" t="s">
        <v>24</v>
      </c>
      <c r="B35" s="26" t="s">
        <v>25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f t="shared" si="13"/>
        <v>0</v>
      </c>
      <c r="I35" s="27">
        <f t="shared" si="13"/>
        <v>0</v>
      </c>
      <c r="J35" s="27">
        <f>H35+I35</f>
        <v>0</v>
      </c>
      <c r="K35" s="27">
        <f>C35-J35</f>
        <v>0</v>
      </c>
      <c r="L35" s="27">
        <f>C35-(J35/0.2*26.2)</f>
        <v>0</v>
      </c>
    </row>
    <row r="36" spans="1:14" ht="24.75" customHeight="1">
      <c r="A36" s="75" t="s">
        <v>40</v>
      </c>
      <c r="B36" s="76"/>
      <c r="C36" s="49">
        <f>SUM(C31:C35)</f>
        <v>93457.04999999999</v>
      </c>
      <c r="D36" s="49">
        <f aca="true" t="shared" si="14" ref="D36:L36">SUM(D31:D35)</f>
        <v>0</v>
      </c>
      <c r="E36" s="49">
        <f t="shared" si="14"/>
        <v>0</v>
      </c>
      <c r="F36" s="49">
        <f t="shared" si="14"/>
        <v>760.45</v>
      </c>
      <c r="G36" s="49">
        <f t="shared" si="14"/>
        <v>41.050000000000004</v>
      </c>
      <c r="H36" s="49">
        <f t="shared" si="14"/>
        <v>760.45</v>
      </c>
      <c r="I36" s="49">
        <f t="shared" si="14"/>
        <v>41.050000000000004</v>
      </c>
      <c r="J36" s="49">
        <f t="shared" si="14"/>
        <v>801.5000000000001</v>
      </c>
      <c r="K36" s="49">
        <f t="shared" si="14"/>
        <v>92655.54999999999</v>
      </c>
      <c r="L36" s="49">
        <f t="shared" si="14"/>
        <v>-11539.450000000004</v>
      </c>
      <c r="M36" s="38"/>
      <c r="N36" s="39"/>
    </row>
    <row r="37" spans="1:14" ht="11.25" customHeight="1">
      <c r="A37" s="28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8"/>
      <c r="N37" s="39"/>
    </row>
    <row r="38" spans="1:14" ht="11.25" customHeight="1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8"/>
      <c r="N38" s="39"/>
    </row>
    <row r="39" spans="1:14" ht="24.75" customHeight="1">
      <c r="A39" s="76" t="s">
        <v>42</v>
      </c>
      <c r="B39" s="76"/>
      <c r="C39" s="49">
        <f>C12+C18+C23+C28+C36</f>
        <v>367947.05</v>
      </c>
      <c r="D39" s="49">
        <f aca="true" t="shared" si="15" ref="D39:L39">D12+D18+D23+D28+D36</f>
        <v>1098.3199999999997</v>
      </c>
      <c r="E39" s="49">
        <f t="shared" si="15"/>
        <v>29.360000000000003</v>
      </c>
      <c r="F39" s="49">
        <f t="shared" si="15"/>
        <v>1709.31</v>
      </c>
      <c r="G39" s="49">
        <f t="shared" si="15"/>
        <v>92.27000000000001</v>
      </c>
      <c r="H39" s="49">
        <f t="shared" si="15"/>
        <v>2807.63</v>
      </c>
      <c r="I39" s="49">
        <f t="shared" si="15"/>
        <v>121.63</v>
      </c>
      <c r="J39" s="49">
        <f t="shared" si="15"/>
        <v>2929.2599999999998</v>
      </c>
      <c r="K39" s="49">
        <f t="shared" si="15"/>
        <v>365017.79</v>
      </c>
      <c r="L39" s="49">
        <f t="shared" si="15"/>
        <v>-15786.009999999973</v>
      </c>
      <c r="M39" s="38"/>
      <c r="N39" s="39"/>
    </row>
    <row r="40" spans="1:14" ht="11.25" customHeight="1">
      <c r="A40" s="54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38"/>
      <c r="N40" s="39"/>
    </row>
    <row r="41" spans="1:14" ht="11.25" customHeight="1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38"/>
      <c r="N41" s="39"/>
    </row>
    <row r="42" spans="1:14" ht="12" customHeight="1">
      <c r="A42" s="6" t="s">
        <v>27</v>
      </c>
      <c r="B42" s="6" t="s">
        <v>28</v>
      </c>
      <c r="C42" s="27">
        <v>61829</v>
      </c>
      <c r="D42" s="27">
        <v>363.09</v>
      </c>
      <c r="E42" s="27">
        <v>9.43</v>
      </c>
      <c r="F42" s="27">
        <v>222.15</v>
      </c>
      <c r="G42" s="27">
        <v>11.99</v>
      </c>
      <c r="H42" s="27">
        <f>D42+F42</f>
        <v>585.24</v>
      </c>
      <c r="I42" s="27">
        <f>E42+G42</f>
        <v>21.42</v>
      </c>
      <c r="J42" s="27">
        <f>H42+I42</f>
        <v>606.66</v>
      </c>
      <c r="K42" s="27">
        <f>C42-J42</f>
        <v>61222.34</v>
      </c>
      <c r="L42" s="27">
        <f>C42-(J42/0.2*26.2)</f>
        <v>-17643.459999999992</v>
      </c>
      <c r="M42" s="38"/>
      <c r="N42" s="39"/>
    </row>
    <row r="43" spans="1:14" ht="12" customHeight="1">
      <c r="A43" s="6"/>
      <c r="B43" s="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38"/>
      <c r="N43" s="39"/>
    </row>
    <row r="44" spans="1:14" ht="12" customHeight="1">
      <c r="A44" s="6" t="s">
        <v>29</v>
      </c>
      <c r="B44" s="6" t="s">
        <v>35</v>
      </c>
      <c r="C44" s="27">
        <v>15000</v>
      </c>
      <c r="D44" s="27">
        <v>0</v>
      </c>
      <c r="E44" s="27">
        <v>0</v>
      </c>
      <c r="F44" s="27">
        <v>134.64</v>
      </c>
      <c r="G44" s="27">
        <v>7.27</v>
      </c>
      <c r="H44" s="27">
        <f>D44+F44</f>
        <v>134.64</v>
      </c>
      <c r="I44" s="27">
        <f>E44+G44</f>
        <v>7.27</v>
      </c>
      <c r="J44" s="27">
        <f>H44+I44</f>
        <v>141.91</v>
      </c>
      <c r="K44" s="27">
        <f>C44-J44</f>
        <v>14858.09</v>
      </c>
      <c r="L44" s="27">
        <f>C44-(J44/0.2*26.2)</f>
        <v>-3590.209999999999</v>
      </c>
      <c r="M44" s="38"/>
      <c r="N44" s="39"/>
    </row>
    <row r="45" spans="1:14" ht="12" customHeight="1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38"/>
      <c r="N45" s="39"/>
    </row>
    <row r="46" spans="1:14" ht="12" customHeight="1">
      <c r="A46" s="50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38"/>
      <c r="N46" s="39"/>
    </row>
    <row r="47" spans="1:14" ht="24.75" customHeight="1">
      <c r="A47" s="51" t="s">
        <v>41</v>
      </c>
      <c r="B47" s="52"/>
      <c r="C47" s="53">
        <f>C42+C44</f>
        <v>76829</v>
      </c>
      <c r="D47" s="53">
        <f aca="true" t="shared" si="16" ref="D47:L47">D42+D44</f>
        <v>363.09</v>
      </c>
      <c r="E47" s="53">
        <f t="shared" si="16"/>
        <v>9.43</v>
      </c>
      <c r="F47" s="53">
        <f t="shared" si="16"/>
        <v>356.78999999999996</v>
      </c>
      <c r="G47" s="53">
        <f t="shared" si="16"/>
        <v>19.259999999999998</v>
      </c>
      <c r="H47" s="53">
        <f t="shared" si="16"/>
        <v>719.88</v>
      </c>
      <c r="I47" s="53">
        <f t="shared" si="16"/>
        <v>28.69</v>
      </c>
      <c r="J47" s="53">
        <f t="shared" si="16"/>
        <v>748.5699999999999</v>
      </c>
      <c r="K47" s="53">
        <f t="shared" si="16"/>
        <v>76080.43</v>
      </c>
      <c r="L47" s="53">
        <f t="shared" si="16"/>
        <v>-21233.66999999999</v>
      </c>
      <c r="M47" s="38"/>
      <c r="N47" s="12"/>
    </row>
    <row r="48" spans="1:14" ht="24" customHeight="1">
      <c r="A48" s="9"/>
      <c r="B48" s="10"/>
      <c r="C48" s="11"/>
      <c r="H48" s="11"/>
      <c r="I48" s="11"/>
      <c r="J48" s="11"/>
      <c r="K48" s="11"/>
      <c r="L48" s="11"/>
      <c r="M48" s="38"/>
      <c r="N48" s="12"/>
    </row>
    <row r="49" spans="1:14" ht="33.75">
      <c r="A49" s="57" t="s">
        <v>44</v>
      </c>
      <c r="B49" s="58">
        <v>43385.81</v>
      </c>
      <c r="C49" s="13"/>
      <c r="D49" s="13"/>
      <c r="E49" s="13"/>
      <c r="F49" s="13"/>
      <c r="G49" s="13"/>
      <c r="H49" s="46"/>
      <c r="I49" s="46"/>
      <c r="J49" s="46"/>
      <c r="K49" s="46"/>
      <c r="L49" s="46"/>
      <c r="M49" s="38"/>
      <c r="N49" s="12"/>
    </row>
    <row r="50" spans="1:14" ht="33.75">
      <c r="A50" s="9" t="s">
        <v>45</v>
      </c>
      <c r="B50" s="58">
        <v>10000</v>
      </c>
      <c r="C50" s="16"/>
      <c r="D50" s="11"/>
      <c r="E50" s="11"/>
      <c r="F50" s="11"/>
      <c r="G50" s="11"/>
      <c r="H50" s="11"/>
      <c r="I50" s="2"/>
      <c r="J50" s="11"/>
      <c r="K50" s="11"/>
      <c r="L50" s="11"/>
      <c r="M50" s="38"/>
      <c r="N50" s="12"/>
    </row>
    <row r="51" spans="1:14" ht="15">
      <c r="A51" s="14"/>
      <c r="B51" s="1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8"/>
      <c r="N51" s="12"/>
    </row>
    <row r="52" spans="1:14" ht="15" customHeight="1">
      <c r="A52" s="14"/>
      <c r="B52" s="1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8"/>
      <c r="N52" s="17"/>
    </row>
    <row r="53" spans="1:14" ht="15">
      <c r="A53" s="14"/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2"/>
    </row>
    <row r="54" spans="1:14" ht="22.5" customHeight="1">
      <c r="A54" s="14"/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2"/>
    </row>
    <row r="55" spans="1:14" ht="15">
      <c r="A55" s="18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N55" s="12"/>
    </row>
    <row r="56" spans="1:14" ht="15" customHeight="1">
      <c r="A56" s="18"/>
      <c r="B56" s="10"/>
      <c r="C56" s="21"/>
      <c r="D56" s="21"/>
      <c r="E56" s="21"/>
      <c r="F56" s="21"/>
      <c r="G56" s="21"/>
      <c r="H56" s="21"/>
      <c r="I56" s="21"/>
      <c r="J56" s="21"/>
      <c r="K56" s="21"/>
      <c r="L56" s="21"/>
      <c r="N56" s="12"/>
    </row>
    <row r="57" spans="1:14" ht="15" customHeight="1">
      <c r="A57" s="19"/>
      <c r="B57" s="10"/>
      <c r="C57" s="21"/>
      <c r="D57" s="21"/>
      <c r="E57" s="21"/>
      <c r="F57" s="21"/>
      <c r="G57" s="21"/>
      <c r="H57" s="21"/>
      <c r="I57" s="21"/>
      <c r="J57" s="21"/>
      <c r="K57" s="21"/>
      <c r="L57" s="21"/>
      <c r="N57" s="12"/>
    </row>
    <row r="58" spans="1:14" ht="15">
      <c r="A58" s="19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>
      <c r="A59" s="18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8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25.5" customHeight="1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 customHeight="1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 customHeight="1">
      <c r="A63" s="20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47"/>
      <c r="N63" s="12"/>
    </row>
    <row r="64" spans="1:14" ht="15" customHeight="1">
      <c r="A64" s="22"/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47"/>
      <c r="N64" s="24"/>
    </row>
    <row r="65" spans="1:14" ht="11.25" customHeight="1">
      <c r="A65" s="23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24"/>
    </row>
    <row r="66" spans="1:14" ht="11.25" customHeight="1">
      <c r="A66" s="25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2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2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N71" s="24"/>
    </row>
    <row r="72" spans="1:13" ht="15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36"/>
    </row>
    <row r="73" spans="1:13" ht="15">
      <c r="A73" s="2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36"/>
    </row>
    <row r="74" spans="1:12" ht="15">
      <c r="A74" s="22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">
      <c r="A75" s="24"/>
      <c r="B75" s="24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5">
      <c r="A76" s="24"/>
      <c r="B76" s="24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4" s="35" customFormat="1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  <c r="N80" s="36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</sheetData>
  <sheetProtection/>
  <mergeCells count="6">
    <mergeCell ref="A12:B12"/>
    <mergeCell ref="A23:B23"/>
    <mergeCell ref="A36:B36"/>
    <mergeCell ref="A39:B39"/>
    <mergeCell ref="A28:B28"/>
    <mergeCell ref="A18:B18"/>
  </mergeCells>
  <printOptions gridLines="1"/>
  <pageMargins left="0.7" right="0.7" top="0.75" bottom="0.75" header="0.3" footer="0.3"/>
  <pageSetup fitToHeight="1" fitToWidth="1" horizontalDpi="600" verticalDpi="600" orientation="landscape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9">
      <selection activeCell="B35" sqref="B35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8.14062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s="44" customFormat="1" ht="11.25" customHeight="1">
      <c r="A3" s="31" t="s">
        <v>11</v>
      </c>
      <c r="B3" s="32">
        <v>55010500</v>
      </c>
      <c r="C3" s="33">
        <v>9670</v>
      </c>
      <c r="D3" s="33">
        <v>0</v>
      </c>
      <c r="E3" s="33">
        <v>0</v>
      </c>
      <c r="F3" s="33">
        <v>0</v>
      </c>
      <c r="G3" s="33">
        <v>0</v>
      </c>
      <c r="H3" s="33">
        <f>'10-22-15'!H3+D3+F3</f>
        <v>604.8</v>
      </c>
      <c r="I3" s="33">
        <f>'10-22-15'!I3+E3+G3</f>
        <v>32.629999999999995</v>
      </c>
      <c r="J3" s="33">
        <f>H3+I3</f>
        <v>637.43</v>
      </c>
      <c r="K3" s="33">
        <f>C3-J3</f>
        <v>9032.57</v>
      </c>
      <c r="L3" s="33">
        <f aca="true" t="shared" si="0" ref="L3:L11">C3-(J3/9.2*26.2)</f>
        <v>7854.7102173913045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v>32649</v>
      </c>
      <c r="D4" s="33">
        <f>372.01</f>
        <v>372.01</v>
      </c>
      <c r="E4" s="33">
        <f>9.67</f>
        <v>9.67</v>
      </c>
      <c r="F4" s="33">
        <v>144.16</v>
      </c>
      <c r="G4" s="33">
        <v>7.78</v>
      </c>
      <c r="H4" s="33">
        <f>'10-22-15'!H4+D4+F4</f>
        <v>4132.99</v>
      </c>
      <c r="I4" s="33">
        <f>'10-22-15'!I4+E4+G4</f>
        <v>168.37</v>
      </c>
      <c r="J4" s="33">
        <f>H4+I4</f>
        <v>4301.36</v>
      </c>
      <c r="K4" s="33">
        <f>C4-J4</f>
        <v>28347.64</v>
      </c>
      <c r="L4" s="33">
        <f t="shared" si="0"/>
        <v>20399.474782608697</v>
      </c>
      <c r="M4" s="45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352.91</v>
      </c>
      <c r="E5" s="33">
        <v>9.17</v>
      </c>
      <c r="F5" s="33">
        <v>0</v>
      </c>
      <c r="G5" s="33">
        <v>0</v>
      </c>
      <c r="H5" s="33">
        <f>'10-22-15'!H5+D5+F5</f>
        <v>4772.42</v>
      </c>
      <c r="I5" s="33">
        <f>'10-22-15'!I5+E5+G5</f>
        <v>124.00000000000001</v>
      </c>
      <c r="J5" s="33">
        <f aca="true" t="shared" si="1" ref="J5:J10">H5+I5</f>
        <v>4896.42</v>
      </c>
      <c r="K5" s="33">
        <f aca="true" t="shared" si="2" ref="K5:K10">C5-J5</f>
        <v>13077.58</v>
      </c>
      <c r="L5" s="33">
        <f t="shared" si="0"/>
        <v>4029.8473913043454</v>
      </c>
      <c r="M5" s="45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514.81</v>
      </c>
      <c r="E6" s="33">
        <v>13.35</v>
      </c>
      <c r="F6" s="33">
        <v>0</v>
      </c>
      <c r="G6" s="33">
        <v>0</v>
      </c>
      <c r="H6" s="33">
        <f>'10-22-15'!H6+D6+F6</f>
        <v>3870.23</v>
      </c>
      <c r="I6" s="33">
        <f>'10-22-15'!I6+E6+G6</f>
        <v>100.5</v>
      </c>
      <c r="J6" s="33">
        <f>H6+I6</f>
        <v>3970.73</v>
      </c>
      <c r="K6" s="33">
        <f t="shared" si="2"/>
        <v>14003.27</v>
      </c>
      <c r="L6" s="33">
        <f t="shared" si="0"/>
        <v>6666.051521739129</v>
      </c>
      <c r="M6" s="45"/>
      <c r="N6" s="61"/>
    </row>
    <row r="7" spans="1:13" s="44" customFormat="1" ht="11.25" customHeight="1">
      <c r="A7" s="31" t="s">
        <v>15</v>
      </c>
      <c r="B7" s="32">
        <v>55030200</v>
      </c>
      <c r="C7" s="33">
        <v>24330</v>
      </c>
      <c r="D7" s="33">
        <v>865.68</v>
      </c>
      <c r="E7" s="33">
        <v>22.5</v>
      </c>
      <c r="F7" s="33">
        <v>0</v>
      </c>
      <c r="G7" s="33">
        <v>0</v>
      </c>
      <c r="H7" s="33">
        <f>'10-22-15'!H7+D7+F7</f>
        <v>7738.45</v>
      </c>
      <c r="I7" s="33">
        <f>'10-22-15'!I7+E7+G7</f>
        <v>201.12000000000003</v>
      </c>
      <c r="J7" s="33">
        <f t="shared" si="1"/>
        <v>7939.57</v>
      </c>
      <c r="K7" s="33">
        <f t="shared" si="2"/>
        <v>16390.43</v>
      </c>
      <c r="L7" s="33">
        <f t="shared" si="0"/>
        <v>1719.4854347826113</v>
      </c>
      <c r="M7" s="45"/>
    </row>
    <row r="8" spans="1:13" s="44" customFormat="1" ht="11.25" customHeight="1">
      <c r="A8" s="31" t="s">
        <v>16</v>
      </c>
      <c r="B8" s="32">
        <v>55050200</v>
      </c>
      <c r="C8" s="33">
        <v>29837</v>
      </c>
      <c r="D8" s="33">
        <f>693.03</f>
        <v>693.03</v>
      </c>
      <c r="E8" s="33">
        <f>18.01</f>
        <v>18.01</v>
      </c>
      <c r="F8" s="33">
        <v>339.06</v>
      </c>
      <c r="G8" s="33">
        <v>18.3</v>
      </c>
      <c r="H8" s="33">
        <f>'10-22-15'!H8+D8+F8</f>
        <v>9579.470000000001</v>
      </c>
      <c r="I8" s="33">
        <f>'10-22-15'!I8+E8+G8</f>
        <v>368.00999999999993</v>
      </c>
      <c r="J8" s="33">
        <f t="shared" si="1"/>
        <v>9947.480000000001</v>
      </c>
      <c r="K8" s="33">
        <f t="shared" si="2"/>
        <v>19889.519999999997</v>
      </c>
      <c r="L8" s="33">
        <f t="shared" si="0"/>
        <v>1508.3069565217338</v>
      </c>
      <c r="M8" s="45"/>
    </row>
    <row r="9" spans="1:13" s="44" customFormat="1" ht="11.25" customHeight="1">
      <c r="A9" s="31" t="s">
        <v>17</v>
      </c>
      <c r="B9" s="32">
        <v>55070100</v>
      </c>
      <c r="C9" s="33">
        <f>26873+10510+5358</f>
        <v>42741</v>
      </c>
      <c r="D9" s="33">
        <v>1379.73</v>
      </c>
      <c r="E9" s="33">
        <v>35.87</v>
      </c>
      <c r="F9" s="33">
        <v>457.78</v>
      </c>
      <c r="G9" s="33">
        <v>24.7</v>
      </c>
      <c r="H9" s="33">
        <f>'10-22-15'!H9+D9+F9</f>
        <v>20304.46</v>
      </c>
      <c r="I9" s="33">
        <f>'10-22-15'!I9+E9+G9</f>
        <v>669.0400000000001</v>
      </c>
      <c r="J9" s="33">
        <f t="shared" si="1"/>
        <v>20973.5</v>
      </c>
      <c r="K9" s="33">
        <f t="shared" si="2"/>
        <v>21767.5</v>
      </c>
      <c r="L9" s="33">
        <f t="shared" si="0"/>
        <v>-16987.880434782615</v>
      </c>
      <c r="M9" s="45"/>
    </row>
    <row r="10" spans="1:13" s="44" customFormat="1" ht="11.25" customHeight="1">
      <c r="A10" s="31" t="s">
        <v>18</v>
      </c>
      <c r="B10" s="32">
        <v>55070400</v>
      </c>
      <c r="C10" s="33">
        <v>3000</v>
      </c>
      <c r="D10" s="33">
        <v>0</v>
      </c>
      <c r="E10" s="33">
        <v>0</v>
      </c>
      <c r="F10" s="33">
        <v>0</v>
      </c>
      <c r="G10" s="33">
        <v>0</v>
      </c>
      <c r="H10" s="33">
        <f>'10-22-15'!H10+D10+F10</f>
        <v>0</v>
      </c>
      <c r="I10" s="33">
        <f>'10-22-15'!I10+E10+G10</f>
        <v>0</v>
      </c>
      <c r="J10" s="33">
        <f t="shared" si="1"/>
        <v>0</v>
      </c>
      <c r="K10" s="33">
        <f t="shared" si="2"/>
        <v>3000</v>
      </c>
      <c r="L10" s="33">
        <f t="shared" si="0"/>
        <v>3000</v>
      </c>
      <c r="M10" s="45"/>
    </row>
    <row r="11" spans="1:13" s="44" customFormat="1" ht="11.25" customHeight="1">
      <c r="A11" s="31" t="s">
        <v>20</v>
      </c>
      <c r="B11" s="32">
        <v>55080100</v>
      </c>
      <c r="C11" s="33">
        <v>23173</v>
      </c>
      <c r="D11" s="33">
        <v>984.85</v>
      </c>
      <c r="E11" s="33">
        <v>25.6</v>
      </c>
      <c r="F11" s="33">
        <v>185.02</v>
      </c>
      <c r="G11" s="33">
        <v>9.98</v>
      </c>
      <c r="H11" s="33">
        <f>'10-22-15'!H11+D11+F11</f>
        <v>9684.420000000002</v>
      </c>
      <c r="I11" s="33">
        <f>'10-22-15'!I11+E11+G11</f>
        <v>295.89000000000004</v>
      </c>
      <c r="J11" s="33">
        <f>H11+I11</f>
        <v>9980.310000000001</v>
      </c>
      <c r="K11" s="33">
        <f>C11-J11</f>
        <v>13192.689999999999</v>
      </c>
      <c r="L11" s="33">
        <f t="shared" si="0"/>
        <v>-5249.187173913051</v>
      </c>
      <c r="M11" s="45"/>
    </row>
    <row r="12" spans="1:14" ht="24.75" customHeight="1">
      <c r="A12" s="75" t="s">
        <v>36</v>
      </c>
      <c r="B12" s="76"/>
      <c r="C12" s="49">
        <f>SUM(C3:C11)</f>
        <v>201348</v>
      </c>
      <c r="D12" s="49">
        <f aca="true" t="shared" si="3" ref="D12:L12">SUM(D3:D11)</f>
        <v>5163.02</v>
      </c>
      <c r="E12" s="49">
        <f t="shared" si="3"/>
        <v>134.17</v>
      </c>
      <c r="F12" s="49">
        <f t="shared" si="3"/>
        <v>1126.02</v>
      </c>
      <c r="G12" s="49">
        <f t="shared" si="3"/>
        <v>60.760000000000005</v>
      </c>
      <c r="H12" s="49">
        <f t="shared" si="3"/>
        <v>60687.240000000005</v>
      </c>
      <c r="I12" s="49">
        <f t="shared" si="3"/>
        <v>1959.5600000000002</v>
      </c>
      <c r="J12" s="49">
        <f t="shared" si="3"/>
        <v>62646.8</v>
      </c>
      <c r="K12" s="49">
        <f t="shared" si="3"/>
        <v>138701.19999999998</v>
      </c>
      <c r="L12" s="49">
        <f t="shared" si="3"/>
        <v>22940.80869565216</v>
      </c>
      <c r="M12" s="38"/>
      <c r="N12" s="39"/>
    </row>
    <row r="13" spans="1:14" ht="11.25" customHeight="1">
      <c r="A13" s="28"/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s="44" customFormat="1" ht="11.25" customHeight="1">
      <c r="A15" s="31" t="s">
        <v>19</v>
      </c>
      <c r="B15" s="32">
        <v>55030100</v>
      </c>
      <c r="C15" s="33">
        <v>13540</v>
      </c>
      <c r="D15" s="33">
        <v>349.64</v>
      </c>
      <c r="E15" s="33">
        <v>9.08</v>
      </c>
      <c r="F15" s="33">
        <v>0</v>
      </c>
      <c r="G15" s="33">
        <v>0</v>
      </c>
      <c r="H15" s="33">
        <f>'10-22-15'!H15+D15+F15</f>
        <v>3179</v>
      </c>
      <c r="I15" s="33">
        <f>'10-22-15'!I15+E15+G15</f>
        <v>98.22</v>
      </c>
      <c r="J15" s="33">
        <f aca="true" t="shared" si="4" ref="J15:J22">H15+I15</f>
        <v>3277.22</v>
      </c>
      <c r="K15" s="33">
        <f aca="true" t="shared" si="5" ref="K15:K22">C15-J15</f>
        <v>10262.78</v>
      </c>
      <c r="L15" s="33">
        <f>C15-(J15/9.2*26.2)</f>
        <v>4207.047391304348</v>
      </c>
      <c r="M15" s="42"/>
      <c r="N15" s="43"/>
    </row>
    <row r="16" spans="1:14" s="44" customFormat="1" ht="11.25" customHeight="1">
      <c r="A16" s="31" t="s">
        <v>33</v>
      </c>
      <c r="B16" s="32">
        <v>55110100</v>
      </c>
      <c r="C16" s="33">
        <v>7073</v>
      </c>
      <c r="D16" s="33">
        <v>43.57</v>
      </c>
      <c r="E16" s="33">
        <v>1.12</v>
      </c>
      <c r="F16" s="33">
        <v>0</v>
      </c>
      <c r="G16" s="33">
        <v>0</v>
      </c>
      <c r="H16" s="33">
        <f>'10-22-15'!H16+D16+F16</f>
        <v>294.12</v>
      </c>
      <c r="I16" s="33">
        <f>'10-22-15'!I16+E16+G16</f>
        <v>7.609999999999999</v>
      </c>
      <c r="J16" s="33">
        <f t="shared" si="4"/>
        <v>301.73</v>
      </c>
      <c r="K16" s="33">
        <f t="shared" si="5"/>
        <v>6771.27</v>
      </c>
      <c r="L16" s="33">
        <f>C16-(J16/9.2*26.2)</f>
        <v>6213.725434782608</v>
      </c>
      <c r="M16" s="42"/>
      <c r="N16" s="43"/>
    </row>
    <row r="17" spans="1:14" s="44" customFormat="1" ht="11.25" customHeight="1">
      <c r="A17" s="31" t="s">
        <v>23</v>
      </c>
      <c r="B17" s="32">
        <v>55160100</v>
      </c>
      <c r="C17" s="33">
        <v>16062</v>
      </c>
      <c r="D17" s="33">
        <v>310.86</v>
      </c>
      <c r="E17" s="33">
        <v>8.08</v>
      </c>
      <c r="F17" s="33">
        <v>0</v>
      </c>
      <c r="G17" s="33">
        <v>0</v>
      </c>
      <c r="H17" s="33">
        <f>'10-22-15'!H17+D17+F17</f>
        <v>4989.999999999999</v>
      </c>
      <c r="I17" s="33">
        <f>'10-22-15'!I17+E17+G17</f>
        <v>181.95000000000002</v>
      </c>
      <c r="J17" s="33">
        <f t="shared" si="4"/>
        <v>5171.949999999999</v>
      </c>
      <c r="K17" s="33">
        <f t="shared" si="5"/>
        <v>10890.050000000001</v>
      </c>
      <c r="L17" s="33">
        <f>C17-(J17/9.2*26.2)</f>
        <v>1333.185869565219</v>
      </c>
      <c r="M17" s="42"/>
      <c r="N17" s="60"/>
    </row>
    <row r="18" spans="1:14" ht="24.75" customHeight="1">
      <c r="A18" s="75" t="s">
        <v>37</v>
      </c>
      <c r="B18" s="76"/>
      <c r="C18" s="49">
        <f>SUM(C15:C17)</f>
        <v>36675</v>
      </c>
      <c r="D18" s="49">
        <f aca="true" t="shared" si="6" ref="D18:L18">SUM(D15:D17)</f>
        <v>704.0699999999999</v>
      </c>
      <c r="E18" s="49">
        <f t="shared" si="6"/>
        <v>18.28</v>
      </c>
      <c r="F18" s="49">
        <f t="shared" si="6"/>
        <v>0</v>
      </c>
      <c r="G18" s="49">
        <f t="shared" si="6"/>
        <v>0</v>
      </c>
      <c r="H18" s="49">
        <f t="shared" si="6"/>
        <v>8463.119999999999</v>
      </c>
      <c r="I18" s="49">
        <f t="shared" si="6"/>
        <v>287.78000000000003</v>
      </c>
      <c r="J18" s="49">
        <f t="shared" si="6"/>
        <v>8750.899999999998</v>
      </c>
      <c r="K18" s="49">
        <f t="shared" si="6"/>
        <v>27924.100000000006</v>
      </c>
      <c r="L18" s="49">
        <f t="shared" si="6"/>
        <v>11753.958695652174</v>
      </c>
      <c r="M18" s="38"/>
      <c r="N18" s="41"/>
    </row>
    <row r="19" spans="1:14" ht="11.25" customHeight="1">
      <c r="A19" s="28"/>
      <c r="B19" s="28"/>
      <c r="C19" s="8"/>
      <c r="D19" s="8"/>
      <c r="E19" s="8"/>
      <c r="F19" s="8"/>
      <c r="G19" s="8"/>
      <c r="H19" s="8"/>
      <c r="I19" s="8"/>
      <c r="J19" s="8"/>
      <c r="K19" s="8"/>
      <c r="L19" s="8"/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s="44" customFormat="1" ht="11.25" customHeight="1">
      <c r="A21" s="31" t="s">
        <v>21</v>
      </c>
      <c r="B21" s="32">
        <v>55090100</v>
      </c>
      <c r="C21" s="33">
        <v>26923</v>
      </c>
      <c r="D21" s="33">
        <v>361.6</v>
      </c>
      <c r="E21" s="33">
        <v>9.4</v>
      </c>
      <c r="F21" s="33">
        <f>1762.4</f>
        <v>1762.4</v>
      </c>
      <c r="G21" s="33">
        <f>95.16</f>
        <v>95.16</v>
      </c>
      <c r="H21" s="33">
        <f>'10-22-15'!H21+D21+F21</f>
        <v>17028.56</v>
      </c>
      <c r="I21" s="33">
        <f>'10-22-15'!I21+E21+G21</f>
        <v>759.6099999999998</v>
      </c>
      <c r="J21" s="33">
        <f t="shared" si="4"/>
        <v>17788.170000000002</v>
      </c>
      <c r="K21" s="33">
        <f t="shared" si="5"/>
        <v>9134.829999999998</v>
      </c>
      <c r="L21" s="33">
        <f>C21-(J21/9.2*26.2)</f>
        <v>-23734.614565217402</v>
      </c>
      <c r="M21" s="42"/>
      <c r="N21" s="60"/>
    </row>
    <row r="22" spans="1:14" s="44" customFormat="1" ht="11.25" customHeight="1">
      <c r="A22" s="31" t="s">
        <v>22</v>
      </c>
      <c r="B22" s="32">
        <v>55100100</v>
      </c>
      <c r="C22" s="33">
        <v>2026</v>
      </c>
      <c r="D22" s="33">
        <v>0</v>
      </c>
      <c r="E22" s="33">
        <v>0</v>
      </c>
      <c r="F22" s="33">
        <v>135.6</v>
      </c>
      <c r="G22" s="33">
        <v>7.32</v>
      </c>
      <c r="H22" s="33">
        <f>'10-22-15'!H22+D22+F22</f>
        <v>388.72</v>
      </c>
      <c r="I22" s="33">
        <f>'10-22-15'!I22+E22+G22</f>
        <v>20.98</v>
      </c>
      <c r="J22" s="33">
        <f t="shared" si="4"/>
        <v>409.70000000000005</v>
      </c>
      <c r="K22" s="33">
        <f t="shared" si="5"/>
        <v>1616.3</v>
      </c>
      <c r="L22" s="33">
        <f>C22-(J22/9.2*26.2)</f>
        <v>859.245652173913</v>
      </c>
      <c r="M22" s="42"/>
      <c r="N22" s="60"/>
    </row>
    <row r="23" spans="1:14" ht="24.75" customHeight="1">
      <c r="A23" s="75" t="s">
        <v>38</v>
      </c>
      <c r="B23" s="76"/>
      <c r="C23" s="49">
        <f>SUM(C21:C22)</f>
        <v>28949</v>
      </c>
      <c r="D23" s="49">
        <f aca="true" t="shared" si="7" ref="D23:L23">SUM(D21:D22)</f>
        <v>361.6</v>
      </c>
      <c r="E23" s="49">
        <f t="shared" si="7"/>
        <v>9.4</v>
      </c>
      <c r="F23" s="49">
        <f t="shared" si="7"/>
        <v>1898</v>
      </c>
      <c r="G23" s="49">
        <f t="shared" si="7"/>
        <v>102.47999999999999</v>
      </c>
      <c r="H23" s="49">
        <f t="shared" si="7"/>
        <v>17417.280000000002</v>
      </c>
      <c r="I23" s="49">
        <f t="shared" si="7"/>
        <v>780.5899999999998</v>
      </c>
      <c r="J23" s="49">
        <f t="shared" si="7"/>
        <v>18197.870000000003</v>
      </c>
      <c r="K23" s="49">
        <f t="shared" si="7"/>
        <v>10751.129999999997</v>
      </c>
      <c r="L23" s="49">
        <f t="shared" si="7"/>
        <v>-22875.36891304349</v>
      </c>
      <c r="M23" s="38"/>
      <c r="N23" s="41"/>
    </row>
    <row r="24" spans="1:14" ht="11.25" customHeight="1">
      <c r="A24" s="2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8"/>
      <c r="N24" s="39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3" s="44" customFormat="1" ht="11.25" customHeight="1">
      <c r="A26" s="31" t="s">
        <v>26</v>
      </c>
      <c r="B26" s="32">
        <v>55130100</v>
      </c>
      <c r="C26" s="33">
        <v>4523</v>
      </c>
      <c r="D26" s="33">
        <v>63.13</v>
      </c>
      <c r="E26" s="33">
        <v>1.63</v>
      </c>
      <c r="F26" s="33">
        <v>0</v>
      </c>
      <c r="G26" s="33">
        <v>0</v>
      </c>
      <c r="H26" s="33">
        <f>'10-22-15'!H26+D26+F26</f>
        <v>1384.0400000000002</v>
      </c>
      <c r="I26" s="33">
        <f>'10-22-15'!I26+E26+G26</f>
        <v>35.910000000000004</v>
      </c>
      <c r="J26" s="33">
        <f>H26+I26</f>
        <v>1419.9500000000003</v>
      </c>
      <c r="K26" s="33">
        <f>C26-J26</f>
        <v>3103.0499999999997</v>
      </c>
      <c r="L26" s="33">
        <f>C26-(J26/9.2*26.2)</f>
        <v>479.2293478260858</v>
      </c>
      <c r="M26" s="45"/>
    </row>
    <row r="27" spans="1:13" s="44" customFormat="1" ht="11.25" customHeight="1">
      <c r="A27" s="31" t="s">
        <v>30</v>
      </c>
      <c r="B27" s="32">
        <v>55140100</v>
      </c>
      <c r="C27" s="33">
        <v>2995</v>
      </c>
      <c r="D27" s="33">
        <v>0</v>
      </c>
      <c r="E27" s="33">
        <v>0</v>
      </c>
      <c r="F27" s="33">
        <v>136.96</v>
      </c>
      <c r="G27" s="33">
        <v>7.38</v>
      </c>
      <c r="H27" s="33">
        <f>'10-22-15'!H27+D27+F27</f>
        <v>1335.3600000000001</v>
      </c>
      <c r="I27" s="33">
        <f>'10-22-15'!I27+E27+G27</f>
        <v>72.02</v>
      </c>
      <c r="J27" s="33">
        <f>H27+I27</f>
        <v>1407.38</v>
      </c>
      <c r="K27" s="33">
        <f>C27-J27</f>
        <v>1587.62</v>
      </c>
      <c r="L27" s="33">
        <f>C27-(J27/9.2*26.2)</f>
        <v>-1012.9734782608698</v>
      </c>
      <c r="M27" s="45"/>
    </row>
    <row r="28" spans="1:14" s="44" customFormat="1" ht="24.75" customHeight="1">
      <c r="A28" s="75" t="s">
        <v>39</v>
      </c>
      <c r="B28" s="76"/>
      <c r="C28" s="49">
        <f aca="true" t="shared" si="8" ref="C28:L28">SUM(C26:C27)</f>
        <v>7518</v>
      </c>
      <c r="D28" s="49">
        <f t="shared" si="8"/>
        <v>63.13</v>
      </c>
      <c r="E28" s="49">
        <f t="shared" si="8"/>
        <v>1.63</v>
      </c>
      <c r="F28" s="49">
        <f t="shared" si="8"/>
        <v>136.96</v>
      </c>
      <c r="G28" s="49">
        <f t="shared" si="8"/>
        <v>7.38</v>
      </c>
      <c r="H28" s="49">
        <f t="shared" si="8"/>
        <v>2719.4000000000005</v>
      </c>
      <c r="I28" s="49">
        <f t="shared" si="8"/>
        <v>107.93</v>
      </c>
      <c r="J28" s="49">
        <f t="shared" si="8"/>
        <v>2827.3300000000004</v>
      </c>
      <c r="K28" s="49">
        <f t="shared" si="8"/>
        <v>4690.67</v>
      </c>
      <c r="L28" s="49">
        <f t="shared" si="8"/>
        <v>-533.744130434784</v>
      </c>
      <c r="M28" s="42"/>
      <c r="N28" s="43"/>
    </row>
    <row r="29" spans="1:14" ht="11.25" customHeight="1">
      <c r="A29" s="2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8"/>
      <c r="N29" s="39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s="44" customFormat="1" ht="11.25" customHeight="1">
      <c r="A31" s="31" t="s">
        <v>34</v>
      </c>
      <c r="B31" s="32">
        <v>55010000</v>
      </c>
      <c r="C31" s="33">
        <f>24725-15347</f>
        <v>9378</v>
      </c>
      <c r="D31" s="33">
        <v>0</v>
      </c>
      <c r="E31" s="33">
        <v>0</v>
      </c>
      <c r="F31" s="33">
        <v>0</v>
      </c>
      <c r="G31" s="33">
        <v>0</v>
      </c>
      <c r="H31" s="33">
        <f>'10-22-15'!H31+D31+F31</f>
        <v>0</v>
      </c>
      <c r="I31" s="33">
        <f>'10-22-15'!I31+E31+G31</f>
        <v>0</v>
      </c>
      <c r="J31" s="33">
        <f aca="true" t="shared" si="9" ref="J31:J36">H31+I31</f>
        <v>0</v>
      </c>
      <c r="K31" s="33">
        <f aca="true" t="shared" si="10" ref="K31:K36">C31-J31</f>
        <v>9378</v>
      </c>
      <c r="L31" s="33">
        <f aca="true" t="shared" si="11" ref="L31:L36">C31-(J31/9.2*26.2)</f>
        <v>9378</v>
      </c>
      <c r="M31" s="42"/>
      <c r="N31" s="43"/>
    </row>
    <row r="32" spans="1:13" s="44" customFormat="1" ht="11.25" customHeight="1">
      <c r="A32" s="31" t="s">
        <v>31</v>
      </c>
      <c r="B32" s="32">
        <v>55080500</v>
      </c>
      <c r="C32" s="33">
        <v>10000</v>
      </c>
      <c r="D32" s="33">
        <f>330.8</f>
        <v>330.8</v>
      </c>
      <c r="E32" s="33">
        <f>8.6</f>
        <v>8.6</v>
      </c>
      <c r="F32" s="33">
        <v>0</v>
      </c>
      <c r="G32" s="33">
        <v>0</v>
      </c>
      <c r="H32" s="33">
        <f>'10-22-15'!H32+D32+F32</f>
        <v>1585.12</v>
      </c>
      <c r="I32" s="33">
        <f>'10-22-15'!I32+E32+G32</f>
        <v>44.83</v>
      </c>
      <c r="J32" s="33">
        <f t="shared" si="9"/>
        <v>1629.9499999999998</v>
      </c>
      <c r="K32" s="33">
        <f t="shared" si="10"/>
        <v>8370.05</v>
      </c>
      <c r="L32" s="33">
        <f t="shared" si="11"/>
        <v>5358.185869565217</v>
      </c>
      <c r="M32" s="45"/>
    </row>
    <row r="33" spans="1:13" s="44" customFormat="1" ht="11.25" customHeight="1">
      <c r="A33" s="31" t="s">
        <v>32</v>
      </c>
      <c r="B33" s="32">
        <v>55050300</v>
      </c>
      <c r="C33" s="33">
        <v>15347</v>
      </c>
      <c r="D33" s="33">
        <v>0</v>
      </c>
      <c r="E33" s="33">
        <v>0</v>
      </c>
      <c r="F33" s="33">
        <v>1120</v>
      </c>
      <c r="G33" s="33">
        <v>60.47</v>
      </c>
      <c r="H33" s="33">
        <f>'10-22-15'!H33+D33+F33</f>
        <v>7399</v>
      </c>
      <c r="I33" s="33">
        <f>'10-22-15'!I33+E33+G33</f>
        <v>399.5</v>
      </c>
      <c r="J33" s="33">
        <f t="shared" si="9"/>
        <v>7798.5</v>
      </c>
      <c r="K33" s="33">
        <f t="shared" si="10"/>
        <v>7548.5</v>
      </c>
      <c r="L33" s="33">
        <f t="shared" si="11"/>
        <v>-6861.771739130436</v>
      </c>
      <c r="M33" s="45"/>
    </row>
    <row r="34" spans="1:13" s="44" customFormat="1" ht="11.25" customHeight="1">
      <c r="A34" s="31" t="s">
        <v>43</v>
      </c>
      <c r="B34" s="32">
        <v>55160300</v>
      </c>
      <c r="C34" s="33">
        <v>43385.81</v>
      </c>
      <c r="D34" s="33">
        <v>0</v>
      </c>
      <c r="E34" s="33">
        <v>0</v>
      </c>
      <c r="F34" s="33">
        <v>3154.25</v>
      </c>
      <c r="G34" s="33">
        <v>170.32</v>
      </c>
      <c r="H34" s="33">
        <f>'10-22-15'!H34+D34+F34</f>
        <v>29019.120000000003</v>
      </c>
      <c r="I34" s="33">
        <f>'10-22-15'!I34+E34+G34</f>
        <v>1566.9499999999996</v>
      </c>
      <c r="J34" s="33">
        <f t="shared" si="9"/>
        <v>30586.070000000003</v>
      </c>
      <c r="K34" s="33">
        <f t="shared" si="10"/>
        <v>12799.739999999994</v>
      </c>
      <c r="L34" s="33">
        <f t="shared" si="11"/>
        <v>-43717.99804347828</v>
      </c>
      <c r="M34" s="45"/>
    </row>
    <row r="35" spans="1:13" s="44" customFormat="1" ht="11.25" customHeight="1" hidden="1">
      <c r="A35" s="31" t="s">
        <v>47</v>
      </c>
      <c r="B35" s="32">
        <v>55010100</v>
      </c>
      <c r="C35" s="33"/>
      <c r="D35" s="33">
        <f>-32.1</f>
        <v>-32.1</v>
      </c>
      <c r="E35" s="33">
        <f>-0.83</f>
        <v>-0.83</v>
      </c>
      <c r="F35" s="33"/>
      <c r="G35" s="33"/>
      <c r="H35" s="33">
        <f>'10-22-15'!H35+D35+F35</f>
        <v>-32.1</v>
      </c>
      <c r="I35" s="33">
        <f>'10-22-15'!I35+E35+G35</f>
        <v>-0.84</v>
      </c>
      <c r="J35" s="33">
        <f t="shared" si="9"/>
        <v>-32.940000000000005</v>
      </c>
      <c r="K35" s="33">
        <f t="shared" si="10"/>
        <v>32.940000000000005</v>
      </c>
      <c r="L35" s="33">
        <f t="shared" si="11"/>
        <v>93.80739130434785</v>
      </c>
      <c r="M35" s="45"/>
    </row>
    <row r="36" spans="1:13" s="44" customFormat="1" ht="11.25" customHeight="1">
      <c r="A36" s="31" t="s">
        <v>24</v>
      </c>
      <c r="B36" s="32" t="s">
        <v>25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f>'10-22-15'!H36+D36+F36</f>
        <v>0</v>
      </c>
      <c r="I36" s="33">
        <f>'10-22-15'!I36+E36+G36</f>
        <v>0</v>
      </c>
      <c r="J36" s="33">
        <f t="shared" si="9"/>
        <v>0</v>
      </c>
      <c r="K36" s="33">
        <f t="shared" si="10"/>
        <v>0</v>
      </c>
      <c r="L36" s="33">
        <f t="shared" si="11"/>
        <v>0</v>
      </c>
      <c r="M36" s="45"/>
    </row>
    <row r="37" spans="1:14" ht="24.75" customHeight="1">
      <c r="A37" s="75" t="s">
        <v>40</v>
      </c>
      <c r="B37" s="76"/>
      <c r="C37" s="49">
        <f>SUM(C31:C36)</f>
        <v>78110.81</v>
      </c>
      <c r="D37" s="49">
        <f aca="true" t="shared" si="12" ref="D37:L37">SUM(D31:D36)</f>
        <v>298.7</v>
      </c>
      <c r="E37" s="49">
        <f t="shared" si="12"/>
        <v>7.77</v>
      </c>
      <c r="F37" s="49">
        <f t="shared" si="12"/>
        <v>4274.25</v>
      </c>
      <c r="G37" s="49">
        <f t="shared" si="12"/>
        <v>230.79</v>
      </c>
      <c r="H37" s="49">
        <f t="shared" si="12"/>
        <v>37971.14000000001</v>
      </c>
      <c r="I37" s="49">
        <f t="shared" si="12"/>
        <v>2010.4399999999996</v>
      </c>
      <c r="J37" s="49">
        <f t="shared" si="12"/>
        <v>39981.58</v>
      </c>
      <c r="K37" s="49">
        <f t="shared" si="12"/>
        <v>38129.229999999996</v>
      </c>
      <c r="L37" s="49">
        <f t="shared" si="12"/>
        <v>-35749.77652173915</v>
      </c>
      <c r="M37" s="38"/>
      <c r="N37" s="39"/>
    </row>
    <row r="38" spans="1:14" ht="11.25" customHeight="1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8"/>
      <c r="N38" s="39"/>
    </row>
    <row r="39" spans="1:14" ht="11.25" customHeight="1">
      <c r="A39" s="28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8"/>
      <c r="N39" s="39"/>
    </row>
    <row r="40" spans="1:14" ht="24.75" customHeight="1">
      <c r="A40" s="76" t="s">
        <v>42</v>
      </c>
      <c r="B40" s="76"/>
      <c r="C40" s="49">
        <f>C12+C18+C23+C28+C37</f>
        <v>352600.81</v>
      </c>
      <c r="D40" s="49">
        <f aca="true" t="shared" si="13" ref="D40:L40">D12+D18+D23+D28+D37</f>
        <v>6590.52</v>
      </c>
      <c r="E40" s="49">
        <f t="shared" si="13"/>
        <v>171.25</v>
      </c>
      <c r="F40" s="49">
        <f t="shared" si="13"/>
        <v>7435.23</v>
      </c>
      <c r="G40" s="49">
        <f t="shared" si="13"/>
        <v>401.40999999999997</v>
      </c>
      <c r="H40" s="49">
        <f t="shared" si="13"/>
        <v>127258.18</v>
      </c>
      <c r="I40" s="49">
        <f t="shared" si="13"/>
        <v>5146.299999999999</v>
      </c>
      <c r="J40" s="49">
        <f t="shared" si="13"/>
        <v>132404.48</v>
      </c>
      <c r="K40" s="49">
        <f t="shared" si="13"/>
        <v>220196.33000000002</v>
      </c>
      <c r="L40" s="49">
        <f t="shared" si="13"/>
        <v>-24464.122173913092</v>
      </c>
      <c r="M40" s="38"/>
      <c r="N40" s="39"/>
    </row>
    <row r="41" spans="1:14" ht="11.25" customHeight="1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38"/>
      <c r="N41" s="39"/>
    </row>
    <row r="42" spans="1:14" ht="11.25" customHeight="1">
      <c r="A42" s="54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38"/>
      <c r="N42" s="39"/>
    </row>
    <row r="43" spans="1:14" s="44" customFormat="1" ht="12" customHeight="1">
      <c r="A43" s="31" t="s">
        <v>27</v>
      </c>
      <c r="B43" s="31" t="s">
        <v>28</v>
      </c>
      <c r="C43" s="33">
        <v>61829</v>
      </c>
      <c r="D43" s="33">
        <v>1613.32</v>
      </c>
      <c r="E43" s="33">
        <v>41.94</v>
      </c>
      <c r="F43" s="33">
        <v>0</v>
      </c>
      <c r="G43" s="33">
        <v>0</v>
      </c>
      <c r="H43" s="33">
        <f>'10-22-15'!H43+D43+F43</f>
        <v>20143.17</v>
      </c>
      <c r="I43" s="33">
        <f>'10-22-15'!I43+E43+G43</f>
        <v>699.5</v>
      </c>
      <c r="J43" s="33">
        <f>H43+I43</f>
        <v>20842.67</v>
      </c>
      <c r="K43" s="33">
        <f>C43-J43</f>
        <v>40986.33</v>
      </c>
      <c r="L43" s="33">
        <f>C43-(J43/9.2*26.2)</f>
        <v>2472.7006521739095</v>
      </c>
      <c r="M43" s="42"/>
      <c r="N43" s="43"/>
    </row>
    <row r="44" spans="1:14" ht="12" customHeight="1">
      <c r="A44" s="6"/>
      <c r="B44" s="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38"/>
      <c r="N44" s="39"/>
    </row>
    <row r="45" spans="1:14" ht="12" customHeight="1">
      <c r="A45" s="6" t="s">
        <v>29</v>
      </c>
      <c r="B45" s="6" t="s">
        <v>35</v>
      </c>
      <c r="C45" s="27">
        <v>15000</v>
      </c>
      <c r="D45" s="27">
        <v>0</v>
      </c>
      <c r="E45" s="27">
        <v>0</v>
      </c>
      <c r="F45" s="27">
        <v>740.88</v>
      </c>
      <c r="G45" s="27">
        <v>40</v>
      </c>
      <c r="H45" s="33">
        <f>'10-22-15'!H45+D45+F45</f>
        <v>5814.45</v>
      </c>
      <c r="I45" s="33">
        <f>'10-22-15'!I45+E45+G45</f>
        <v>313.93</v>
      </c>
      <c r="J45" s="27">
        <f>H45+I45</f>
        <v>6128.38</v>
      </c>
      <c r="K45" s="27">
        <f>C45-J45</f>
        <v>8871.619999999999</v>
      </c>
      <c r="L45" s="33">
        <f>C45-(J45/9.2*26.2)</f>
        <v>-2452.5604347826084</v>
      </c>
      <c r="M45" s="38"/>
      <c r="N45" s="39"/>
    </row>
    <row r="46" spans="1:14" ht="12" customHeight="1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38"/>
      <c r="N46" s="39"/>
    </row>
    <row r="47" spans="1:14" ht="12" customHeight="1">
      <c r="A47" s="50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38"/>
      <c r="N47" s="39"/>
    </row>
    <row r="48" spans="1:14" ht="24.75" customHeight="1">
      <c r="A48" s="51" t="s">
        <v>41</v>
      </c>
      <c r="B48" s="52"/>
      <c r="C48" s="53">
        <f>C43+C45</f>
        <v>76829</v>
      </c>
      <c r="D48" s="53">
        <f aca="true" t="shared" si="14" ref="D48:L48">D43+D45</f>
        <v>1613.32</v>
      </c>
      <c r="E48" s="53">
        <f t="shared" si="14"/>
        <v>41.94</v>
      </c>
      <c r="F48" s="53">
        <f t="shared" si="14"/>
        <v>740.88</v>
      </c>
      <c r="G48" s="53">
        <f t="shared" si="14"/>
        <v>40</v>
      </c>
      <c r="H48" s="53">
        <f t="shared" si="14"/>
        <v>25957.62</v>
      </c>
      <c r="I48" s="53">
        <f t="shared" si="14"/>
        <v>1013.4300000000001</v>
      </c>
      <c r="J48" s="53">
        <f t="shared" si="14"/>
        <v>26971.05</v>
      </c>
      <c r="K48" s="53">
        <f t="shared" si="14"/>
        <v>49857.95</v>
      </c>
      <c r="L48" s="53">
        <f t="shared" si="14"/>
        <v>20.14021739130112</v>
      </c>
      <c r="M48" s="38"/>
      <c r="N48" s="12"/>
    </row>
    <row r="49" spans="1:14" ht="24" customHeight="1">
      <c r="A49" s="9"/>
      <c r="B49" s="10"/>
      <c r="C49" s="11"/>
      <c r="H49" s="11"/>
      <c r="I49" s="11"/>
      <c r="J49" s="11"/>
      <c r="K49" s="11"/>
      <c r="L49" s="11"/>
      <c r="M49" s="38"/>
      <c r="N49" s="12"/>
    </row>
    <row r="50" spans="1:14" ht="33.75">
      <c r="A50" s="57" t="s">
        <v>44</v>
      </c>
      <c r="B50" s="58">
        <v>43385.81</v>
      </c>
      <c r="C50" s="13"/>
      <c r="D50" s="13"/>
      <c r="E50" s="13"/>
      <c r="F50" s="13"/>
      <c r="G50" s="13"/>
      <c r="H50" s="46"/>
      <c r="I50" s="46"/>
      <c r="J50" s="46"/>
      <c r="K50" s="46"/>
      <c r="L50" s="46"/>
      <c r="M50" s="38"/>
      <c r="N50" s="12"/>
    </row>
    <row r="51" spans="1:14" ht="33.75">
      <c r="A51" s="9" t="s">
        <v>45</v>
      </c>
      <c r="B51" s="58">
        <v>10000</v>
      </c>
      <c r="C51" s="16"/>
      <c r="D51" s="11"/>
      <c r="E51" s="11"/>
      <c r="F51" s="11"/>
      <c r="G51" s="11"/>
      <c r="H51" s="11"/>
      <c r="I51" s="2"/>
      <c r="J51" s="11"/>
      <c r="K51" s="11"/>
      <c r="L51" s="11"/>
      <c r="M51" s="38"/>
      <c r="N51" s="12"/>
    </row>
    <row r="52" spans="1:14" ht="22.5">
      <c r="A52" s="14" t="s">
        <v>46</v>
      </c>
      <c r="B52" s="58">
        <v>15347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8"/>
      <c r="N52" s="12"/>
    </row>
    <row r="53" spans="1:14" ht="15" customHeight="1">
      <c r="A53" s="14"/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7"/>
    </row>
    <row r="54" spans="1:14" ht="15">
      <c r="A54" s="14"/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2"/>
    </row>
    <row r="55" spans="1:14" ht="22.5" customHeight="1">
      <c r="A55" s="14"/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  <c r="N55" s="12"/>
    </row>
    <row r="56" spans="1:14" ht="15">
      <c r="A56" s="18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N56" s="12"/>
    </row>
    <row r="57" spans="1:14" ht="15" customHeight="1">
      <c r="A57" s="18"/>
      <c r="B57" s="10"/>
      <c r="C57" s="21"/>
      <c r="D57" s="21"/>
      <c r="E57" s="21"/>
      <c r="F57" s="21"/>
      <c r="G57" s="21"/>
      <c r="H57" s="21"/>
      <c r="I57" s="21"/>
      <c r="J57" s="21"/>
      <c r="K57" s="21"/>
      <c r="L57" s="21"/>
      <c r="N57" s="12"/>
    </row>
    <row r="58" spans="1:14" ht="15" customHeight="1">
      <c r="A58" s="19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>
      <c r="A59" s="19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8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15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25.5" customHeight="1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 customHeight="1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15" customHeight="1">
      <c r="A64" s="20"/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47"/>
      <c r="N64" s="12"/>
    </row>
    <row r="65" spans="1:14" ht="15" customHeight="1">
      <c r="A65" s="22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24"/>
    </row>
    <row r="66" spans="1:14" ht="11.25" customHeight="1">
      <c r="A66" s="23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5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2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7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N72" s="24"/>
    </row>
    <row r="73" spans="1:13" ht="15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36"/>
    </row>
    <row r="74" spans="1:13" ht="15">
      <c r="A74" s="22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36"/>
    </row>
    <row r="75" spans="1:12" ht="15">
      <c r="A75" s="22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5">
      <c r="A76" s="24"/>
      <c r="B76" s="24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4" s="35" customFormat="1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  <c r="N81" s="36"/>
    </row>
    <row r="82" spans="1:12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</row>
  </sheetData>
  <sheetProtection/>
  <mergeCells count="6">
    <mergeCell ref="A12:B12"/>
    <mergeCell ref="A18:B18"/>
    <mergeCell ref="A23:B23"/>
    <mergeCell ref="A28:B28"/>
    <mergeCell ref="A37:B37"/>
    <mergeCell ref="A40:B4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F45" sqref="F45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8.14062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s="44" customFormat="1" ht="11.25" customHeight="1">
      <c r="A3" s="31" t="s">
        <v>11</v>
      </c>
      <c r="B3" s="32">
        <v>55010500</v>
      </c>
      <c r="C3" s="33">
        <v>9670</v>
      </c>
      <c r="D3" s="33">
        <v>0</v>
      </c>
      <c r="E3" s="33">
        <v>0</v>
      </c>
      <c r="F3" s="33">
        <v>0</v>
      </c>
      <c r="G3" s="33">
        <v>0</v>
      </c>
      <c r="H3" s="33">
        <f>'11-05-15'!H3+D3+F3</f>
        <v>604.8</v>
      </c>
      <c r="I3" s="33">
        <f>'11-05-15'!I3+E3+G3</f>
        <v>32.629999999999995</v>
      </c>
      <c r="J3" s="33">
        <f>H3+I3</f>
        <v>637.43</v>
      </c>
      <c r="K3" s="33">
        <f>C3-J3</f>
        <v>9032.57</v>
      </c>
      <c r="L3" s="33">
        <f>C3-(J3/10.2*26.2)</f>
        <v>8032.679803921568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v>32649</v>
      </c>
      <c r="D4" s="33">
        <v>332.71</v>
      </c>
      <c r="E4" s="33">
        <v>8.65</v>
      </c>
      <c r="F4" s="33">
        <v>144.16</v>
      </c>
      <c r="G4" s="33">
        <v>7.78</v>
      </c>
      <c r="H4" s="33">
        <f>'11-05-15'!H4+D4+F4</f>
        <v>4609.86</v>
      </c>
      <c r="I4" s="33">
        <f>'11-05-15'!I4+E4+G4</f>
        <v>184.8</v>
      </c>
      <c r="J4" s="33">
        <f>H4+I4</f>
        <v>4794.66</v>
      </c>
      <c r="K4" s="33">
        <f>C4-J4</f>
        <v>27854.34</v>
      </c>
      <c r="L4" s="33">
        <f aca="true" t="shared" si="0" ref="L4:L11">C4-(J4/10.2*26.2)</f>
        <v>20333.304705882354</v>
      </c>
      <c r="M4" s="45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324.75</v>
      </c>
      <c r="E5" s="33">
        <v>8.44</v>
      </c>
      <c r="F5" s="33">
        <v>0</v>
      </c>
      <c r="G5" s="33">
        <v>0</v>
      </c>
      <c r="H5" s="33">
        <f>'11-05-15'!H5+D5+F5</f>
        <v>5097.17</v>
      </c>
      <c r="I5" s="33">
        <f>'11-05-15'!I5+E5+G5</f>
        <v>132.44000000000003</v>
      </c>
      <c r="J5" s="33">
        <f aca="true" t="shared" si="1" ref="J5:J10">H5+I5</f>
        <v>5229.61</v>
      </c>
      <c r="K5" s="33">
        <f aca="true" t="shared" si="2" ref="K5:K10">C5-J5</f>
        <v>12744.39</v>
      </c>
      <c r="L5" s="33">
        <f t="shared" si="0"/>
        <v>4541.08019607843</v>
      </c>
      <c r="M5" s="45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441.9</v>
      </c>
      <c r="E6" s="33">
        <v>11.47</v>
      </c>
      <c r="F6" s="33">
        <v>0</v>
      </c>
      <c r="G6" s="33">
        <v>0</v>
      </c>
      <c r="H6" s="33">
        <f>'11-05-15'!H6+D6+F6</f>
        <v>4312.13</v>
      </c>
      <c r="I6" s="33">
        <f>'11-05-15'!I6+E6+G6</f>
        <v>111.97</v>
      </c>
      <c r="J6" s="33">
        <f>H6+I6</f>
        <v>4424.1</v>
      </c>
      <c r="K6" s="33">
        <f t="shared" si="2"/>
        <v>13549.9</v>
      </c>
      <c r="L6" s="33">
        <f t="shared" si="0"/>
        <v>6610.135294117645</v>
      </c>
      <c r="M6" s="45"/>
      <c r="N6" s="61"/>
    </row>
    <row r="7" spans="1:13" s="44" customFormat="1" ht="11.25" customHeight="1">
      <c r="A7" s="31" t="s">
        <v>15</v>
      </c>
      <c r="B7" s="32">
        <v>55030200</v>
      </c>
      <c r="C7" s="33">
        <v>24330</v>
      </c>
      <c r="D7" s="33">
        <v>525.19</v>
      </c>
      <c r="E7" s="33">
        <v>13.65</v>
      </c>
      <c r="F7" s="33">
        <v>0</v>
      </c>
      <c r="G7" s="33">
        <v>0</v>
      </c>
      <c r="H7" s="33">
        <f>'11-05-15'!H7+D7+F7</f>
        <v>8263.64</v>
      </c>
      <c r="I7" s="33">
        <f>'11-05-15'!I7+E7+G7</f>
        <v>214.77000000000004</v>
      </c>
      <c r="J7" s="33">
        <f t="shared" si="1"/>
        <v>8478.41</v>
      </c>
      <c r="K7" s="33">
        <f t="shared" si="2"/>
        <v>15851.59</v>
      </c>
      <c r="L7" s="33">
        <f t="shared" si="0"/>
        <v>2552.123333333333</v>
      </c>
      <c r="M7" s="45"/>
    </row>
    <row r="8" spans="1:13" s="44" customFormat="1" ht="11.25" customHeight="1">
      <c r="A8" s="31" t="s">
        <v>16</v>
      </c>
      <c r="B8" s="32">
        <v>55050200</v>
      </c>
      <c r="C8" s="33">
        <f>29837</f>
        <v>29837</v>
      </c>
      <c r="D8" s="33">
        <v>576.39</v>
      </c>
      <c r="E8" s="33">
        <v>14.98</v>
      </c>
      <c r="F8" s="33">
        <v>203.18</v>
      </c>
      <c r="G8" s="33">
        <v>10.97</v>
      </c>
      <c r="H8" s="33">
        <f>'11-05-15'!H8+D8+F8</f>
        <v>10359.04</v>
      </c>
      <c r="I8" s="33">
        <f>'11-05-15'!I8+E8+G8</f>
        <v>393.96</v>
      </c>
      <c r="J8" s="33">
        <f t="shared" si="1"/>
        <v>10753</v>
      </c>
      <c r="K8" s="33">
        <f t="shared" si="2"/>
        <v>19084</v>
      </c>
      <c r="L8" s="33">
        <f t="shared" si="0"/>
        <v>2216.5490196078426</v>
      </c>
      <c r="M8" s="45"/>
    </row>
    <row r="9" spans="1:13" s="44" customFormat="1" ht="11.25" customHeight="1">
      <c r="A9" s="31" t="s">
        <v>17</v>
      </c>
      <c r="B9" s="32">
        <v>55070100</v>
      </c>
      <c r="C9" s="33">
        <f>26873+10510+5358</f>
        <v>42741</v>
      </c>
      <c r="D9" s="33">
        <v>1148.25</v>
      </c>
      <c r="E9" s="33">
        <v>29.85</v>
      </c>
      <c r="F9" s="33">
        <v>1521.39</v>
      </c>
      <c r="G9" s="33">
        <v>82.15</v>
      </c>
      <c r="H9" s="33">
        <f>'11-05-15'!H9+D9+F9</f>
        <v>22974.1</v>
      </c>
      <c r="I9" s="33">
        <f>'11-05-15'!I9+E9+G9</f>
        <v>781.0400000000001</v>
      </c>
      <c r="J9" s="33">
        <f t="shared" si="1"/>
        <v>23755.14</v>
      </c>
      <c r="K9" s="33">
        <f t="shared" si="2"/>
        <v>18985.86</v>
      </c>
      <c r="L9" s="33">
        <f t="shared" si="0"/>
        <v>-18277.104705882353</v>
      </c>
      <c r="M9" s="45"/>
    </row>
    <row r="10" spans="1:13" s="44" customFormat="1" ht="11.25" customHeight="1">
      <c r="A10" s="31" t="s">
        <v>18</v>
      </c>
      <c r="B10" s="32">
        <v>55070400</v>
      </c>
      <c r="C10" s="33">
        <v>3000</v>
      </c>
      <c r="D10" s="33">
        <v>0</v>
      </c>
      <c r="E10" s="33">
        <v>0</v>
      </c>
      <c r="F10" s="33">
        <v>0</v>
      </c>
      <c r="G10" s="33">
        <v>0</v>
      </c>
      <c r="H10" s="33">
        <f>'11-05-15'!H10+D10+F10</f>
        <v>0</v>
      </c>
      <c r="I10" s="33">
        <f>'11-05-15'!I10+E10+G10</f>
        <v>0</v>
      </c>
      <c r="J10" s="33">
        <f t="shared" si="1"/>
        <v>0</v>
      </c>
      <c r="K10" s="33">
        <f t="shared" si="2"/>
        <v>3000</v>
      </c>
      <c r="L10" s="33">
        <f t="shared" si="0"/>
        <v>3000</v>
      </c>
      <c r="M10" s="45"/>
    </row>
    <row r="11" spans="1:13" s="44" customFormat="1" ht="11.25" customHeight="1">
      <c r="A11" s="31" t="s">
        <v>20</v>
      </c>
      <c r="B11" s="32">
        <v>55080100</v>
      </c>
      <c r="C11" s="33">
        <v>23173</v>
      </c>
      <c r="D11" s="33">
        <v>1140.46</v>
      </c>
      <c r="E11" s="33">
        <v>29.65</v>
      </c>
      <c r="F11" s="33">
        <v>193.82</v>
      </c>
      <c r="G11" s="33">
        <v>10.46</v>
      </c>
      <c r="H11" s="33">
        <f>'11-05-15'!H11+D11+F11</f>
        <v>11018.7</v>
      </c>
      <c r="I11" s="33">
        <f>'11-05-15'!I11+E11+G11</f>
        <v>336</v>
      </c>
      <c r="J11" s="33">
        <f>H11+I11</f>
        <v>11354.7</v>
      </c>
      <c r="K11" s="33">
        <f>C11-J11</f>
        <v>11818.3</v>
      </c>
      <c r="L11" s="33">
        <f t="shared" si="0"/>
        <v>-5992.99411764706</v>
      </c>
      <c r="M11" s="45"/>
    </row>
    <row r="12" spans="1:14" ht="24.75" customHeight="1">
      <c r="A12" s="75" t="s">
        <v>36</v>
      </c>
      <c r="B12" s="76"/>
      <c r="C12" s="49">
        <f>SUM(C3:C11)</f>
        <v>201348</v>
      </c>
      <c r="D12" s="49">
        <f aca="true" t="shared" si="3" ref="D12:L12">SUM(D3:D11)</f>
        <v>4489.65</v>
      </c>
      <c r="E12" s="49">
        <f t="shared" si="3"/>
        <v>116.69</v>
      </c>
      <c r="F12" s="49">
        <f t="shared" si="3"/>
        <v>2062.55</v>
      </c>
      <c r="G12" s="49">
        <f t="shared" si="3"/>
        <v>111.36000000000001</v>
      </c>
      <c r="H12" s="49">
        <f t="shared" si="3"/>
        <v>67239.44</v>
      </c>
      <c r="I12" s="49">
        <f t="shared" si="3"/>
        <v>2187.61</v>
      </c>
      <c r="J12" s="49">
        <f t="shared" si="3"/>
        <v>69427.05</v>
      </c>
      <c r="K12" s="49">
        <f t="shared" si="3"/>
        <v>131920.95</v>
      </c>
      <c r="L12" s="49">
        <f t="shared" si="3"/>
        <v>23015.773529411767</v>
      </c>
      <c r="M12" s="38"/>
      <c r="N12" s="39"/>
    </row>
    <row r="13" spans="1:14" ht="11.25" customHeight="1">
      <c r="A13" s="28"/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s="44" customFormat="1" ht="11.25" customHeight="1">
      <c r="A15" s="31" t="s">
        <v>19</v>
      </c>
      <c r="B15" s="32">
        <v>55030100</v>
      </c>
      <c r="C15" s="33">
        <v>13540</v>
      </c>
      <c r="D15" s="33">
        <v>396.45</v>
      </c>
      <c r="E15" s="33">
        <v>10.3</v>
      </c>
      <c r="F15" s="33">
        <v>0</v>
      </c>
      <c r="G15" s="33">
        <v>0</v>
      </c>
      <c r="H15" s="33">
        <f>'11-05-15'!H15+D15+F15</f>
        <v>3575.45</v>
      </c>
      <c r="I15" s="33">
        <f>'11-05-15'!I15+E15+G15</f>
        <v>108.52</v>
      </c>
      <c r="J15" s="33">
        <f aca="true" t="shared" si="4" ref="J15:J22">H15+I15</f>
        <v>3683.97</v>
      </c>
      <c r="K15" s="33">
        <f aca="true" t="shared" si="5" ref="K15:K22">C15-J15</f>
        <v>9856.03</v>
      </c>
      <c r="L15" s="33">
        <f>C15-(J15/10.2*26.2)</f>
        <v>4077.2535294117642</v>
      </c>
      <c r="M15" s="42"/>
      <c r="N15" s="43"/>
    </row>
    <row r="16" spans="1:14" s="44" customFormat="1" ht="11.25" customHeight="1">
      <c r="A16" s="31" t="s">
        <v>33</v>
      </c>
      <c r="B16" s="32">
        <v>55110100</v>
      </c>
      <c r="C16" s="33">
        <v>7073</v>
      </c>
      <c r="D16" s="33">
        <v>58.1</v>
      </c>
      <c r="E16" s="33">
        <v>1.51</v>
      </c>
      <c r="F16" s="33">
        <v>0</v>
      </c>
      <c r="G16" s="33">
        <v>0</v>
      </c>
      <c r="H16" s="33">
        <f>'11-05-15'!H16+D16+F16</f>
        <v>352.22</v>
      </c>
      <c r="I16" s="33">
        <f>'11-05-15'!I16+E16+G16</f>
        <v>9.12</v>
      </c>
      <c r="J16" s="33">
        <f t="shared" si="4"/>
        <v>361.34000000000003</v>
      </c>
      <c r="K16" s="33">
        <f t="shared" si="5"/>
        <v>6711.66</v>
      </c>
      <c r="L16" s="33">
        <f>C16-(J16/10.2*26.2)</f>
        <v>6144.852156862745</v>
      </c>
      <c r="M16" s="42"/>
      <c r="N16" s="43"/>
    </row>
    <row r="17" spans="1:14" s="44" customFormat="1" ht="11.25" customHeight="1">
      <c r="A17" s="31" t="s">
        <v>23</v>
      </c>
      <c r="B17" s="32">
        <v>55160100</v>
      </c>
      <c r="C17" s="33">
        <v>16062</v>
      </c>
      <c r="D17" s="33">
        <v>307.69</v>
      </c>
      <c r="E17" s="33">
        <v>7.99</v>
      </c>
      <c r="F17" s="33">
        <v>48</v>
      </c>
      <c r="G17" s="33">
        <v>2.59</v>
      </c>
      <c r="H17" s="33">
        <f>'11-05-15'!H17+D17+F17</f>
        <v>5345.689999999999</v>
      </c>
      <c r="I17" s="33">
        <f>'11-05-15'!I17+E17+G17</f>
        <v>192.53000000000003</v>
      </c>
      <c r="J17" s="33">
        <f t="shared" si="4"/>
        <v>5538.219999999998</v>
      </c>
      <c r="K17" s="33">
        <f t="shared" si="5"/>
        <v>10523.780000000002</v>
      </c>
      <c r="L17" s="33">
        <f>C17-(J17/10.2*26.2)</f>
        <v>1836.3760784313745</v>
      </c>
      <c r="M17" s="42"/>
      <c r="N17" s="60"/>
    </row>
    <row r="18" spans="1:14" ht="24.75" customHeight="1">
      <c r="A18" s="75" t="s">
        <v>37</v>
      </c>
      <c r="B18" s="76"/>
      <c r="C18" s="49">
        <f>SUM(C15:C17)</f>
        <v>36675</v>
      </c>
      <c r="D18" s="49">
        <f aca="true" t="shared" si="6" ref="D18:L18">SUM(D15:D17)</f>
        <v>762.24</v>
      </c>
      <c r="E18" s="49">
        <f t="shared" si="6"/>
        <v>19.8</v>
      </c>
      <c r="F18" s="49">
        <f t="shared" si="6"/>
        <v>48</v>
      </c>
      <c r="G18" s="49">
        <f t="shared" si="6"/>
        <v>2.59</v>
      </c>
      <c r="H18" s="49">
        <f t="shared" si="6"/>
        <v>9273.359999999999</v>
      </c>
      <c r="I18" s="49">
        <f t="shared" si="6"/>
        <v>310.17</v>
      </c>
      <c r="J18" s="49">
        <f t="shared" si="6"/>
        <v>9583.529999999999</v>
      </c>
      <c r="K18" s="49">
        <f t="shared" si="6"/>
        <v>27091.470000000005</v>
      </c>
      <c r="L18" s="49">
        <f t="shared" si="6"/>
        <v>12058.481764705884</v>
      </c>
      <c r="M18" s="38"/>
      <c r="N18" s="41"/>
    </row>
    <row r="19" spans="1:14" ht="11.25" customHeight="1">
      <c r="A19" s="28"/>
      <c r="B19" s="28"/>
      <c r="C19" s="8"/>
      <c r="D19" s="8"/>
      <c r="E19" s="8"/>
      <c r="F19" s="8"/>
      <c r="G19" s="8"/>
      <c r="H19" s="8"/>
      <c r="I19" s="8"/>
      <c r="J19" s="8"/>
      <c r="K19" s="8"/>
      <c r="L19" s="8"/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s="44" customFormat="1" ht="11.25" customHeight="1">
      <c r="A21" s="31" t="s">
        <v>21</v>
      </c>
      <c r="B21" s="32">
        <v>55090100</v>
      </c>
      <c r="C21" s="33">
        <v>26923</v>
      </c>
      <c r="D21" s="33">
        <v>253.12</v>
      </c>
      <c r="E21" s="33">
        <v>6.58</v>
      </c>
      <c r="F21" s="33">
        <f>781.08+(-604.8)</f>
        <v>176.2800000000001</v>
      </c>
      <c r="G21" s="33">
        <f>42.17+(-32.65)</f>
        <v>9.520000000000003</v>
      </c>
      <c r="H21" s="33">
        <f>'11-05-15'!H21+D21+F21</f>
        <v>17457.96</v>
      </c>
      <c r="I21" s="33">
        <f>'11-05-15'!I21+E21+G21</f>
        <v>775.7099999999998</v>
      </c>
      <c r="J21" s="33">
        <f t="shared" si="4"/>
        <v>18233.67</v>
      </c>
      <c r="K21" s="33">
        <f t="shared" si="5"/>
        <v>8689.330000000002</v>
      </c>
      <c r="L21" s="33">
        <f>C21-(J21/10.2*26.2)</f>
        <v>-19912.50529411764</v>
      </c>
      <c r="M21" s="42"/>
      <c r="N21" s="60"/>
    </row>
    <row r="22" spans="1:14" s="44" customFormat="1" ht="11.25" customHeight="1">
      <c r="A22" s="31" t="s">
        <v>22</v>
      </c>
      <c r="B22" s="32">
        <v>55100100</v>
      </c>
      <c r="C22" s="33">
        <v>2026</v>
      </c>
      <c r="D22" s="33">
        <v>0</v>
      </c>
      <c r="E22" s="33">
        <v>0</v>
      </c>
      <c r="F22" s="33">
        <v>0</v>
      </c>
      <c r="G22" s="33">
        <v>0</v>
      </c>
      <c r="H22" s="33">
        <f>'11-05-15'!H22+D22+F22</f>
        <v>388.72</v>
      </c>
      <c r="I22" s="33">
        <f>'11-05-15'!I22+E22+G22</f>
        <v>20.98</v>
      </c>
      <c r="J22" s="33">
        <f t="shared" si="4"/>
        <v>409.70000000000005</v>
      </c>
      <c r="K22" s="33">
        <f t="shared" si="5"/>
        <v>1616.3</v>
      </c>
      <c r="L22" s="33">
        <f>C22-(J22/10.2*26.2)</f>
        <v>973.6333333333332</v>
      </c>
      <c r="M22" s="42"/>
      <c r="N22" s="60"/>
    </row>
    <row r="23" spans="1:14" ht="24.75" customHeight="1">
      <c r="A23" s="75" t="s">
        <v>38</v>
      </c>
      <c r="B23" s="76"/>
      <c r="C23" s="49">
        <f>SUM(C21:C22)</f>
        <v>28949</v>
      </c>
      <c r="D23" s="49">
        <f aca="true" t="shared" si="7" ref="D23:L23">SUM(D21:D22)</f>
        <v>253.12</v>
      </c>
      <c r="E23" s="49">
        <f t="shared" si="7"/>
        <v>6.58</v>
      </c>
      <c r="F23" s="49">
        <f t="shared" si="7"/>
        <v>176.2800000000001</v>
      </c>
      <c r="G23" s="49">
        <f t="shared" si="7"/>
        <v>9.520000000000003</v>
      </c>
      <c r="H23" s="49">
        <f t="shared" si="7"/>
        <v>17846.68</v>
      </c>
      <c r="I23" s="49">
        <f t="shared" si="7"/>
        <v>796.6899999999998</v>
      </c>
      <c r="J23" s="49">
        <f t="shared" si="7"/>
        <v>18643.37</v>
      </c>
      <c r="K23" s="49">
        <f t="shared" si="7"/>
        <v>10305.630000000001</v>
      </c>
      <c r="L23" s="49">
        <f t="shared" si="7"/>
        <v>-18938.87196078431</v>
      </c>
      <c r="M23" s="38"/>
      <c r="N23" s="41"/>
    </row>
    <row r="24" spans="1:14" ht="11.25" customHeight="1">
      <c r="A24" s="2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8"/>
      <c r="N24" s="39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3" s="44" customFormat="1" ht="11.25" customHeight="1">
      <c r="A26" s="31" t="s">
        <v>26</v>
      </c>
      <c r="B26" s="32">
        <v>55130100</v>
      </c>
      <c r="C26" s="33">
        <v>4523</v>
      </c>
      <c r="D26" s="33">
        <v>25.68</v>
      </c>
      <c r="E26" s="33">
        <v>0.66</v>
      </c>
      <c r="F26" s="33">
        <v>0</v>
      </c>
      <c r="G26" s="33">
        <v>0</v>
      </c>
      <c r="H26" s="33">
        <f>'11-05-15'!H26+D26+F26</f>
        <v>1409.7200000000003</v>
      </c>
      <c r="I26" s="33">
        <f>'11-05-15'!I26+E26+G26</f>
        <v>36.57</v>
      </c>
      <c r="J26" s="33">
        <f>H26+I26</f>
        <v>1446.2900000000002</v>
      </c>
      <c r="K26" s="33">
        <f>C26-J26</f>
        <v>3076.71</v>
      </c>
      <c r="L26" s="33">
        <f>C26-(J26/10.2*26.2)</f>
        <v>808.0198039215684</v>
      </c>
      <c r="M26" s="45"/>
    </row>
    <row r="27" spans="1:13" s="44" customFormat="1" ht="11.25" customHeight="1">
      <c r="A27" s="31" t="s">
        <v>30</v>
      </c>
      <c r="B27" s="32">
        <v>55140100</v>
      </c>
      <c r="C27" s="33">
        <v>2995</v>
      </c>
      <c r="D27" s="33">
        <v>0</v>
      </c>
      <c r="E27" s="33">
        <v>0</v>
      </c>
      <c r="F27" s="33">
        <v>154.08</v>
      </c>
      <c r="G27" s="33">
        <v>8.32</v>
      </c>
      <c r="H27" s="33">
        <f>'11-05-15'!H27+D27+F27</f>
        <v>1489.44</v>
      </c>
      <c r="I27" s="33">
        <f>'11-05-15'!I27+E27+G27</f>
        <v>80.34</v>
      </c>
      <c r="J27" s="33">
        <f>H27+I27</f>
        <v>1569.78</v>
      </c>
      <c r="K27" s="33">
        <f>C27-J27</f>
        <v>1425.22</v>
      </c>
      <c r="L27" s="33">
        <f>C27-(J27/10.2*26.2)</f>
        <v>-1037.1799999999998</v>
      </c>
      <c r="M27" s="45"/>
    </row>
    <row r="28" spans="1:14" s="44" customFormat="1" ht="24.75" customHeight="1">
      <c r="A28" s="75" t="s">
        <v>39</v>
      </c>
      <c r="B28" s="76"/>
      <c r="C28" s="49">
        <f aca="true" t="shared" si="8" ref="C28:L28">SUM(C26:C27)</f>
        <v>7518</v>
      </c>
      <c r="D28" s="49">
        <f t="shared" si="8"/>
        <v>25.68</v>
      </c>
      <c r="E28" s="49">
        <f t="shared" si="8"/>
        <v>0.66</v>
      </c>
      <c r="F28" s="49">
        <f t="shared" si="8"/>
        <v>154.08</v>
      </c>
      <c r="G28" s="49">
        <f t="shared" si="8"/>
        <v>8.32</v>
      </c>
      <c r="H28" s="49">
        <f t="shared" si="8"/>
        <v>2899.1600000000003</v>
      </c>
      <c r="I28" s="49">
        <f t="shared" si="8"/>
        <v>116.91</v>
      </c>
      <c r="J28" s="49">
        <f t="shared" si="8"/>
        <v>3016.07</v>
      </c>
      <c r="K28" s="49">
        <f t="shared" si="8"/>
        <v>4501.93</v>
      </c>
      <c r="L28" s="49">
        <f t="shared" si="8"/>
        <v>-229.16019607843145</v>
      </c>
      <c r="M28" s="42"/>
      <c r="N28" s="43"/>
    </row>
    <row r="29" spans="1:14" ht="11.25" customHeight="1">
      <c r="A29" s="2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8"/>
      <c r="N29" s="39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s="44" customFormat="1" ht="11.25" customHeight="1">
      <c r="A31" s="31" t="s">
        <v>34</v>
      </c>
      <c r="B31" s="32">
        <v>55010000</v>
      </c>
      <c r="C31" s="33">
        <f>24725-15347</f>
        <v>9378</v>
      </c>
      <c r="D31" s="33">
        <v>0</v>
      </c>
      <c r="E31" s="33">
        <v>0</v>
      </c>
      <c r="F31" s="33">
        <v>0</v>
      </c>
      <c r="G31" s="33">
        <v>0</v>
      </c>
      <c r="H31" s="33">
        <f>'11-05-15'!H31+D31+F31</f>
        <v>0</v>
      </c>
      <c r="I31" s="33">
        <f>'11-05-15'!I31+E31+G31</f>
        <v>0</v>
      </c>
      <c r="J31" s="33">
        <f aca="true" t="shared" si="9" ref="J31:J36">H31+I31</f>
        <v>0</v>
      </c>
      <c r="K31" s="33">
        <f aca="true" t="shared" si="10" ref="K31:K36">C31-J31</f>
        <v>9378</v>
      </c>
      <c r="L31" s="33">
        <f aca="true" t="shared" si="11" ref="L31:L36">C31-(J31/10.2*26.2)</f>
        <v>9378</v>
      </c>
      <c r="M31" s="42"/>
      <c r="N31" s="43"/>
    </row>
    <row r="32" spans="1:13" s="44" customFormat="1" ht="11.25" customHeight="1">
      <c r="A32" s="31" t="s">
        <v>31</v>
      </c>
      <c r="B32" s="32">
        <v>55080500</v>
      </c>
      <c r="C32" s="33">
        <v>10000</v>
      </c>
      <c r="D32" s="33">
        <v>264.64</v>
      </c>
      <c r="E32" s="33">
        <v>6.88</v>
      </c>
      <c r="F32" s="33">
        <v>0</v>
      </c>
      <c r="G32" s="33">
        <v>0</v>
      </c>
      <c r="H32" s="33">
        <f>'11-05-15'!H32+D32+F32</f>
        <v>1849.7599999999998</v>
      </c>
      <c r="I32" s="33">
        <f>'11-05-15'!I32+E32+G32</f>
        <v>51.71</v>
      </c>
      <c r="J32" s="33">
        <f t="shared" si="9"/>
        <v>1901.4699999999998</v>
      </c>
      <c r="K32" s="33">
        <f t="shared" si="10"/>
        <v>8098.530000000001</v>
      </c>
      <c r="L32" s="33">
        <f t="shared" si="11"/>
        <v>5115.831960784314</v>
      </c>
      <c r="M32" s="45"/>
    </row>
    <row r="33" spans="1:13" s="44" customFormat="1" ht="11.25" customHeight="1">
      <c r="A33" s="31" t="s">
        <v>32</v>
      </c>
      <c r="B33" s="32">
        <v>55050300</v>
      </c>
      <c r="C33" s="33">
        <v>15347</v>
      </c>
      <c r="D33" s="33">
        <v>0</v>
      </c>
      <c r="E33" s="33">
        <v>0</v>
      </c>
      <c r="F33" s="33">
        <v>784</v>
      </c>
      <c r="G33" s="33">
        <v>42.33</v>
      </c>
      <c r="H33" s="33">
        <f>'11-05-15'!H33+D33+F33</f>
        <v>8183</v>
      </c>
      <c r="I33" s="33">
        <f>'11-05-15'!I33+E33+G33</f>
        <v>441.83</v>
      </c>
      <c r="J33" s="33">
        <f t="shared" si="9"/>
        <v>8624.83</v>
      </c>
      <c r="K33" s="33">
        <f t="shared" si="10"/>
        <v>6722.17</v>
      </c>
      <c r="L33" s="33">
        <f t="shared" si="11"/>
        <v>-6806.975098039216</v>
      </c>
      <c r="M33" s="45"/>
    </row>
    <row r="34" spans="1:13" s="44" customFormat="1" ht="11.25" customHeight="1">
      <c r="A34" s="31" t="s">
        <v>43</v>
      </c>
      <c r="B34" s="32">
        <v>55160300</v>
      </c>
      <c r="C34" s="33">
        <v>43385.81</v>
      </c>
      <c r="D34" s="33">
        <v>0</v>
      </c>
      <c r="E34" s="33">
        <v>0</v>
      </c>
      <c r="F34" s="33">
        <v>3154.25</v>
      </c>
      <c r="G34" s="33">
        <v>170.32</v>
      </c>
      <c r="H34" s="33">
        <f>'11-05-15'!H34+D34+F34</f>
        <v>32173.370000000003</v>
      </c>
      <c r="I34" s="33">
        <f>'11-05-15'!I34+E34+G34</f>
        <v>1737.2699999999995</v>
      </c>
      <c r="J34" s="33">
        <f t="shared" si="9"/>
        <v>33910.64</v>
      </c>
      <c r="K34" s="33">
        <f t="shared" si="10"/>
        <v>9475.169999999998</v>
      </c>
      <c r="L34" s="33">
        <f t="shared" si="11"/>
        <v>-43717.99078431373</v>
      </c>
      <c r="M34" s="45"/>
    </row>
    <row r="35" spans="1:13" s="44" customFormat="1" ht="11.25" customHeight="1" hidden="1">
      <c r="A35" s="31" t="s">
        <v>47</v>
      </c>
      <c r="B35" s="32">
        <v>55010100</v>
      </c>
      <c r="C35" s="33"/>
      <c r="D35" s="33">
        <f>-32.1</f>
        <v>-32.1</v>
      </c>
      <c r="E35" s="33">
        <f>-0.83</f>
        <v>-0.83</v>
      </c>
      <c r="F35" s="33"/>
      <c r="G35" s="33"/>
      <c r="H35" s="33">
        <f>'11-05-15'!H35+D35+F35</f>
        <v>-64.2</v>
      </c>
      <c r="I35" s="33">
        <f>'11-05-15'!I35+E35+G35</f>
        <v>-1.67</v>
      </c>
      <c r="J35" s="33">
        <f t="shared" si="9"/>
        <v>-65.87</v>
      </c>
      <c r="K35" s="33">
        <f t="shared" si="10"/>
        <v>65.87</v>
      </c>
      <c r="L35" s="33">
        <f t="shared" si="11"/>
        <v>169.19549019607845</v>
      </c>
      <c r="M35" s="45"/>
    </row>
    <row r="36" spans="1:13" s="44" customFormat="1" ht="11.25" customHeight="1">
      <c r="A36" s="31" t="s">
        <v>24</v>
      </c>
      <c r="B36" s="32" t="s">
        <v>25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f>'11-05-15'!H36+D36+F36</f>
        <v>0</v>
      </c>
      <c r="I36" s="33">
        <f>'11-05-15'!I36+E36+G36</f>
        <v>0</v>
      </c>
      <c r="J36" s="33">
        <f t="shared" si="9"/>
        <v>0</v>
      </c>
      <c r="K36" s="33">
        <f t="shared" si="10"/>
        <v>0</v>
      </c>
      <c r="L36" s="33">
        <f t="shared" si="11"/>
        <v>0</v>
      </c>
      <c r="M36" s="45"/>
    </row>
    <row r="37" spans="1:14" ht="24.75" customHeight="1">
      <c r="A37" s="75" t="s">
        <v>40</v>
      </c>
      <c r="B37" s="76"/>
      <c r="C37" s="49">
        <f>SUM(C31:C36)</f>
        <v>78110.81</v>
      </c>
      <c r="D37" s="49">
        <f aca="true" t="shared" si="12" ref="D37:L37">SUM(D31:D36)</f>
        <v>232.54</v>
      </c>
      <c r="E37" s="49">
        <f t="shared" si="12"/>
        <v>6.05</v>
      </c>
      <c r="F37" s="49">
        <f t="shared" si="12"/>
        <v>3938.25</v>
      </c>
      <c r="G37" s="49">
        <f t="shared" si="12"/>
        <v>212.64999999999998</v>
      </c>
      <c r="H37" s="49">
        <f t="shared" si="12"/>
        <v>42141.93000000001</v>
      </c>
      <c r="I37" s="49">
        <f t="shared" si="12"/>
        <v>2229.1399999999994</v>
      </c>
      <c r="J37" s="49">
        <f t="shared" si="12"/>
        <v>44371.07</v>
      </c>
      <c r="K37" s="49">
        <f t="shared" si="12"/>
        <v>33739.74</v>
      </c>
      <c r="L37" s="49">
        <f t="shared" si="12"/>
        <v>-35861.93843137255</v>
      </c>
      <c r="M37" s="38"/>
      <c r="N37" s="39"/>
    </row>
    <row r="38" spans="1:14" ht="11.25" customHeight="1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8"/>
      <c r="N38" s="39"/>
    </row>
    <row r="39" spans="1:14" ht="11.25" customHeight="1">
      <c r="A39" s="28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8"/>
      <c r="N39" s="39"/>
    </row>
    <row r="40" spans="1:14" ht="24.75" customHeight="1">
      <c r="A40" s="76" t="s">
        <v>42</v>
      </c>
      <c r="B40" s="76"/>
      <c r="C40" s="49">
        <f>C12+C18+C23+C28+C37</f>
        <v>352600.81</v>
      </c>
      <c r="D40" s="49">
        <f aca="true" t="shared" si="13" ref="D40:L40">D12+D18+D23+D28+D37</f>
        <v>5763.23</v>
      </c>
      <c r="E40" s="49">
        <f t="shared" si="13"/>
        <v>149.78000000000003</v>
      </c>
      <c r="F40" s="49">
        <f t="shared" si="13"/>
        <v>6379.16</v>
      </c>
      <c r="G40" s="49">
        <f t="shared" si="13"/>
        <v>344.44</v>
      </c>
      <c r="H40" s="49">
        <f t="shared" si="13"/>
        <v>139400.57</v>
      </c>
      <c r="I40" s="49">
        <f t="shared" si="13"/>
        <v>5640.5199999999995</v>
      </c>
      <c r="J40" s="49">
        <f t="shared" si="13"/>
        <v>145041.09</v>
      </c>
      <c r="K40" s="49">
        <f t="shared" si="13"/>
        <v>207559.72</v>
      </c>
      <c r="L40" s="49">
        <f t="shared" si="13"/>
        <v>-19955.71529411764</v>
      </c>
      <c r="M40" s="38"/>
      <c r="N40" s="39"/>
    </row>
    <row r="41" spans="1:14" ht="11.25" customHeight="1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38"/>
      <c r="N41" s="39"/>
    </row>
    <row r="42" spans="1:14" ht="11.25" customHeight="1">
      <c r="A42" s="54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38"/>
      <c r="N42" s="39"/>
    </row>
    <row r="43" spans="1:14" s="44" customFormat="1" ht="12" customHeight="1">
      <c r="A43" s="31" t="s">
        <v>27</v>
      </c>
      <c r="B43" s="31" t="s">
        <v>28</v>
      </c>
      <c r="C43" s="33">
        <v>61829</v>
      </c>
      <c r="D43" s="33">
        <v>1454.62</v>
      </c>
      <c r="E43" s="33">
        <v>37.82</v>
      </c>
      <c r="F43" s="33">
        <v>0</v>
      </c>
      <c r="G43" s="33">
        <v>0</v>
      </c>
      <c r="H43" s="33">
        <f>'11-05-15'!H43+D43+F43</f>
        <v>21597.789999999997</v>
      </c>
      <c r="I43" s="33">
        <f>'11-05-15'!I43+E43+G43</f>
        <v>737.32</v>
      </c>
      <c r="J43" s="33">
        <f>H43+I43</f>
        <v>22335.109999999997</v>
      </c>
      <c r="K43" s="33">
        <f>C43-J43</f>
        <v>39493.89</v>
      </c>
      <c r="L43" s="33">
        <f>C43-(J43/10.2*26.2)</f>
        <v>4458.423333333332</v>
      </c>
      <c r="M43" s="42"/>
      <c r="N43" s="43"/>
    </row>
    <row r="44" spans="1:14" ht="12" customHeight="1">
      <c r="A44" s="6"/>
      <c r="B44" s="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38"/>
      <c r="N44" s="39"/>
    </row>
    <row r="45" spans="1:14" ht="12" customHeight="1">
      <c r="A45" s="6" t="s">
        <v>29</v>
      </c>
      <c r="B45" s="6" t="s">
        <v>35</v>
      </c>
      <c r="C45" s="27">
        <v>15000</v>
      </c>
      <c r="D45" s="27">
        <v>0</v>
      </c>
      <c r="E45" s="27">
        <v>0</v>
      </c>
      <c r="F45" s="27">
        <v>620.28</v>
      </c>
      <c r="G45" s="27">
        <v>33.49</v>
      </c>
      <c r="H45" s="33">
        <f>'11-05-15'!H45+D45+F45</f>
        <v>6434.73</v>
      </c>
      <c r="I45" s="33">
        <f>'11-05-15'!I45+E45+G45</f>
        <v>347.42</v>
      </c>
      <c r="J45" s="27">
        <f>H45+I45</f>
        <v>6782.15</v>
      </c>
      <c r="K45" s="27">
        <f>C45-J45</f>
        <v>8217.85</v>
      </c>
      <c r="L45" s="33">
        <f>C45-(J45/10.2*26.2)</f>
        <v>-2420.8166666666657</v>
      </c>
      <c r="M45" s="38"/>
      <c r="N45" s="39"/>
    </row>
    <row r="46" spans="1:14" ht="12" customHeight="1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38"/>
      <c r="N46" s="39"/>
    </row>
    <row r="47" spans="1:14" ht="12" customHeight="1">
      <c r="A47" s="50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38"/>
      <c r="N47" s="39"/>
    </row>
    <row r="48" spans="1:14" ht="24.75" customHeight="1">
      <c r="A48" s="51" t="s">
        <v>41</v>
      </c>
      <c r="B48" s="52"/>
      <c r="C48" s="53">
        <f>C43+C45</f>
        <v>76829</v>
      </c>
      <c r="D48" s="53">
        <f aca="true" t="shared" si="14" ref="D48:L48">D43+D45</f>
        <v>1454.62</v>
      </c>
      <c r="E48" s="53">
        <f t="shared" si="14"/>
        <v>37.82</v>
      </c>
      <c r="F48" s="53">
        <f t="shared" si="14"/>
        <v>620.28</v>
      </c>
      <c r="G48" s="53">
        <f t="shared" si="14"/>
        <v>33.49</v>
      </c>
      <c r="H48" s="53">
        <f t="shared" si="14"/>
        <v>28032.519999999997</v>
      </c>
      <c r="I48" s="53">
        <f t="shared" si="14"/>
        <v>1084.74</v>
      </c>
      <c r="J48" s="53">
        <f t="shared" si="14"/>
        <v>29117.259999999995</v>
      </c>
      <c r="K48" s="53">
        <f t="shared" si="14"/>
        <v>47711.74</v>
      </c>
      <c r="L48" s="53">
        <f t="shared" si="14"/>
        <v>2037.6066666666666</v>
      </c>
      <c r="M48" s="38"/>
      <c r="N48" s="12"/>
    </row>
    <row r="49" spans="1:14" ht="24" customHeight="1">
      <c r="A49" s="9"/>
      <c r="B49" s="10"/>
      <c r="C49" s="11"/>
      <c r="H49" s="11"/>
      <c r="I49" s="11"/>
      <c r="J49" s="11"/>
      <c r="K49" s="11"/>
      <c r="L49" s="11"/>
      <c r="M49" s="38"/>
      <c r="N49" s="12"/>
    </row>
    <row r="50" spans="1:14" ht="33.75">
      <c r="A50" s="57" t="s">
        <v>44</v>
      </c>
      <c r="B50" s="58">
        <v>43385.81</v>
      </c>
      <c r="C50" s="13"/>
      <c r="D50" s="13"/>
      <c r="E50" s="13"/>
      <c r="F50" s="13"/>
      <c r="G50" s="13"/>
      <c r="H50" s="46"/>
      <c r="I50" s="46"/>
      <c r="J50" s="46"/>
      <c r="K50" s="46"/>
      <c r="L50" s="46"/>
      <c r="M50" s="38"/>
      <c r="N50" s="12"/>
    </row>
    <row r="51" spans="1:14" ht="33.75">
      <c r="A51" s="9" t="s">
        <v>45</v>
      </c>
      <c r="B51" s="58">
        <v>10000</v>
      </c>
      <c r="C51" s="16"/>
      <c r="D51" s="11"/>
      <c r="E51" s="11"/>
      <c r="F51" s="11"/>
      <c r="G51" s="11"/>
      <c r="H51" s="11"/>
      <c r="I51" s="2"/>
      <c r="J51" s="11"/>
      <c r="K51" s="11"/>
      <c r="L51" s="11"/>
      <c r="M51" s="38"/>
      <c r="N51" s="12"/>
    </row>
    <row r="52" spans="1:14" ht="22.5">
      <c r="A52" s="14" t="s">
        <v>46</v>
      </c>
      <c r="B52" s="58">
        <v>15347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8"/>
      <c r="N52" s="12"/>
    </row>
    <row r="53" spans="1:14" ht="15">
      <c r="A53" s="14"/>
      <c r="B53" s="5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7"/>
    </row>
    <row r="54" spans="1:14" ht="15">
      <c r="A54" s="14"/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2"/>
    </row>
    <row r="55" spans="1:14" ht="22.5" customHeight="1">
      <c r="A55" s="14"/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  <c r="N55" s="12"/>
    </row>
    <row r="56" spans="1:14" ht="15">
      <c r="A56" s="18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N56" s="12"/>
    </row>
    <row r="57" spans="1:14" ht="15" customHeight="1">
      <c r="A57" s="18"/>
      <c r="B57" s="10"/>
      <c r="C57" s="21"/>
      <c r="D57" s="21"/>
      <c r="E57" s="21"/>
      <c r="F57" s="21"/>
      <c r="G57" s="21"/>
      <c r="H57" s="21"/>
      <c r="I57" s="21"/>
      <c r="J57" s="21"/>
      <c r="K57" s="21"/>
      <c r="L57" s="21"/>
      <c r="N57" s="12"/>
    </row>
    <row r="58" spans="1:14" ht="15" customHeight="1">
      <c r="A58" s="19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>
      <c r="A59" s="19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8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15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25.5" customHeight="1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 customHeight="1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15" customHeight="1">
      <c r="A64" s="20"/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47"/>
      <c r="N64" s="12"/>
    </row>
    <row r="65" spans="1:14" ht="15" customHeight="1">
      <c r="A65" s="22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24"/>
    </row>
    <row r="66" spans="1:14" ht="11.25" customHeight="1">
      <c r="A66" s="23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5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2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7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N72" s="24"/>
    </row>
    <row r="73" spans="1:13" ht="15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36"/>
    </row>
    <row r="74" spans="1:13" ht="15">
      <c r="A74" s="22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36"/>
    </row>
    <row r="75" spans="1:12" ht="15">
      <c r="A75" s="22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5">
      <c r="A76" s="24"/>
      <c r="B76" s="24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4" s="35" customFormat="1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  <c r="N81" s="36"/>
    </row>
    <row r="82" spans="1:12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</row>
  </sheetData>
  <sheetProtection/>
  <mergeCells count="6">
    <mergeCell ref="A12:B12"/>
    <mergeCell ref="A18:B18"/>
    <mergeCell ref="A23:B23"/>
    <mergeCell ref="A28:B28"/>
    <mergeCell ref="A37:B37"/>
    <mergeCell ref="A40:B4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2" topLeftCell="A30" activePane="bottomLeft" state="frozen"/>
      <selection pane="topLeft" activeCell="A1" sqref="A1"/>
      <selection pane="bottomLeft" activeCell="F46" sqref="F46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8.14062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s="44" customFormat="1" ht="11.25" customHeight="1">
      <c r="A3" s="31" t="s">
        <v>11</v>
      </c>
      <c r="B3" s="32">
        <v>55010500</v>
      </c>
      <c r="C3" s="33">
        <f>9670-5000</f>
        <v>4670</v>
      </c>
      <c r="D3" s="33">
        <v>0</v>
      </c>
      <c r="E3" s="33">
        <v>0</v>
      </c>
      <c r="F3" s="33">
        <v>0</v>
      </c>
      <c r="G3" s="33">
        <v>0</v>
      </c>
      <c r="H3" s="33">
        <f>'11-19-15'!H3+D3+F3</f>
        <v>604.8</v>
      </c>
      <c r="I3" s="33">
        <f>'11-19-15'!I3+E3+G3</f>
        <v>32.629999999999995</v>
      </c>
      <c r="J3" s="33">
        <f>H3+I3</f>
        <v>637.43</v>
      </c>
      <c r="K3" s="33">
        <f>C3-J3</f>
        <v>4032.57</v>
      </c>
      <c r="L3" s="33">
        <f>C3-(J3/11.2*26.2)</f>
        <v>3178.869107142857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v>32649</v>
      </c>
      <c r="D4" s="33">
        <v>247.95</v>
      </c>
      <c r="E4" s="33">
        <v>6.43</v>
      </c>
      <c r="F4" s="33">
        <v>144.16</v>
      </c>
      <c r="G4" s="33">
        <v>7.77</v>
      </c>
      <c r="H4" s="33">
        <f>'11-19-15'!H4+D4+F4</f>
        <v>5001.969999999999</v>
      </c>
      <c r="I4" s="33">
        <f>'11-19-15'!I4+E4+G4</f>
        <v>199.00000000000003</v>
      </c>
      <c r="J4" s="33">
        <f>H4+I4</f>
        <v>5200.969999999999</v>
      </c>
      <c r="K4" s="33">
        <f>C4-J4</f>
        <v>27448.03</v>
      </c>
      <c r="L4" s="33">
        <f aca="true" t="shared" si="0" ref="L4:L12">C4-(J4/11.2*26.2)</f>
        <v>20482.44517857143</v>
      </c>
      <c r="M4" s="45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300.18</v>
      </c>
      <c r="E5" s="33">
        <v>7.79</v>
      </c>
      <c r="F5" s="33">
        <v>0</v>
      </c>
      <c r="G5" s="33">
        <v>0</v>
      </c>
      <c r="H5" s="33">
        <f>'11-19-15'!H5+D5+F5</f>
        <v>5397.35</v>
      </c>
      <c r="I5" s="33">
        <f>'11-19-15'!I5+E5+G5</f>
        <v>140.23000000000002</v>
      </c>
      <c r="J5" s="33">
        <f aca="true" t="shared" si="1" ref="J5:J11">H5+I5</f>
        <v>5537.58</v>
      </c>
      <c r="K5" s="33">
        <f aca="true" t="shared" si="2" ref="K5:K11">C5-J5</f>
        <v>12436.42</v>
      </c>
      <c r="L5" s="33">
        <f t="shared" si="0"/>
        <v>5020.018214285714</v>
      </c>
      <c r="M5" s="45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451.01</v>
      </c>
      <c r="E6" s="33">
        <v>11.7</v>
      </c>
      <c r="F6" s="33">
        <v>0</v>
      </c>
      <c r="G6" s="33">
        <v>0</v>
      </c>
      <c r="H6" s="33">
        <f>'11-19-15'!H6+D6+F6</f>
        <v>4763.14</v>
      </c>
      <c r="I6" s="33">
        <f>'11-19-15'!I6+E6+G6</f>
        <v>123.67</v>
      </c>
      <c r="J6" s="33">
        <f>H6+I6</f>
        <v>4886.81</v>
      </c>
      <c r="K6" s="33">
        <f t="shared" si="2"/>
        <v>13087.189999999999</v>
      </c>
      <c r="L6" s="33">
        <f t="shared" si="0"/>
        <v>6542.355178571426</v>
      </c>
      <c r="M6" s="45"/>
      <c r="N6" s="61"/>
    </row>
    <row r="7" spans="1:13" s="44" customFormat="1" ht="11.25" customHeight="1">
      <c r="A7" s="31" t="s">
        <v>15</v>
      </c>
      <c r="B7" s="32">
        <v>55030200</v>
      </c>
      <c r="C7" s="33">
        <v>24330</v>
      </c>
      <c r="D7" s="33">
        <v>759.09</v>
      </c>
      <c r="E7" s="33">
        <v>19.73</v>
      </c>
      <c r="F7" s="33">
        <v>0</v>
      </c>
      <c r="G7" s="33">
        <v>0</v>
      </c>
      <c r="H7" s="33">
        <f>'11-19-15'!H7+D7+F7</f>
        <v>9022.73</v>
      </c>
      <c r="I7" s="33">
        <f>'11-19-15'!I7+E7+G7</f>
        <v>234.50000000000003</v>
      </c>
      <c r="J7" s="33">
        <f t="shared" si="1"/>
        <v>9257.23</v>
      </c>
      <c r="K7" s="33">
        <f t="shared" si="2"/>
        <v>15072.77</v>
      </c>
      <c r="L7" s="33">
        <f t="shared" si="0"/>
        <v>2674.694107142859</v>
      </c>
      <c r="M7" s="45"/>
    </row>
    <row r="8" spans="1:13" s="44" customFormat="1" ht="11.25" customHeight="1">
      <c r="A8" s="31" t="s">
        <v>16</v>
      </c>
      <c r="B8" s="32">
        <v>55050200</v>
      </c>
      <c r="C8" s="33">
        <f>29837</f>
        <v>29837</v>
      </c>
      <c r="D8" s="33">
        <v>777.2</v>
      </c>
      <c r="E8" s="33">
        <v>20.19</v>
      </c>
      <c r="F8" s="33">
        <v>127.58</v>
      </c>
      <c r="G8" s="33">
        <v>6.88</v>
      </c>
      <c r="H8" s="33">
        <f>'11-19-15'!H8+D8+F8</f>
        <v>11263.820000000002</v>
      </c>
      <c r="I8" s="33">
        <f>'11-19-15'!I8+E8+G8</f>
        <v>421.03</v>
      </c>
      <c r="J8" s="33">
        <f t="shared" si="1"/>
        <v>11684.850000000002</v>
      </c>
      <c r="K8" s="33">
        <f t="shared" si="2"/>
        <v>18152.149999999998</v>
      </c>
      <c r="L8" s="33">
        <f t="shared" si="0"/>
        <v>2502.797321428563</v>
      </c>
      <c r="M8" s="45"/>
    </row>
    <row r="9" spans="1:13" s="44" customFormat="1" ht="11.25" customHeight="1">
      <c r="A9" s="31" t="s">
        <v>51</v>
      </c>
      <c r="B9" s="32">
        <v>55050400</v>
      </c>
      <c r="C9" s="33">
        <v>5000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f t="shared" si="1"/>
        <v>0</v>
      </c>
      <c r="K9" s="33">
        <f t="shared" si="2"/>
        <v>5000</v>
      </c>
      <c r="L9" s="33">
        <f t="shared" si="0"/>
        <v>5000</v>
      </c>
      <c r="M9" s="45"/>
    </row>
    <row r="10" spans="1:13" s="44" customFormat="1" ht="11.25" customHeight="1">
      <c r="A10" s="31" t="s">
        <v>17</v>
      </c>
      <c r="B10" s="32">
        <v>55070100</v>
      </c>
      <c r="C10" s="33">
        <f>26873+10510+5358</f>
        <v>42741</v>
      </c>
      <c r="D10" s="33">
        <v>1097.1</v>
      </c>
      <c r="E10" s="33">
        <v>28.52</v>
      </c>
      <c r="F10" s="33">
        <v>685</v>
      </c>
      <c r="G10" s="33">
        <v>36.97</v>
      </c>
      <c r="H10" s="33">
        <f>'11-19-15'!H9+D10+F10</f>
        <v>24756.199999999997</v>
      </c>
      <c r="I10" s="33">
        <f>'11-19-15'!I9+E10+G10</f>
        <v>846.5300000000001</v>
      </c>
      <c r="J10" s="33">
        <f t="shared" si="1"/>
        <v>25602.729999999996</v>
      </c>
      <c r="K10" s="33">
        <f t="shared" si="2"/>
        <v>17138.270000000004</v>
      </c>
      <c r="L10" s="33">
        <f t="shared" si="0"/>
        <v>-17151.10053571428</v>
      </c>
      <c r="M10" s="45"/>
    </row>
    <row r="11" spans="1:13" s="44" customFormat="1" ht="11.25" customHeight="1">
      <c r="A11" s="31" t="s">
        <v>18</v>
      </c>
      <c r="B11" s="32">
        <v>55070400</v>
      </c>
      <c r="C11" s="33">
        <v>3000</v>
      </c>
      <c r="D11" s="33">
        <v>0</v>
      </c>
      <c r="E11" s="33">
        <v>0</v>
      </c>
      <c r="F11" s="33">
        <v>0</v>
      </c>
      <c r="G11" s="33">
        <v>0</v>
      </c>
      <c r="H11" s="33">
        <f>'11-19-15'!H10+D11+F11</f>
        <v>0</v>
      </c>
      <c r="I11" s="33">
        <f>'11-19-15'!I10+E11+G11</f>
        <v>0</v>
      </c>
      <c r="J11" s="33">
        <f t="shared" si="1"/>
        <v>0</v>
      </c>
      <c r="K11" s="33">
        <f t="shared" si="2"/>
        <v>3000</v>
      </c>
      <c r="L11" s="33">
        <f t="shared" si="0"/>
        <v>3000</v>
      </c>
      <c r="M11" s="45"/>
    </row>
    <row r="12" spans="1:13" s="44" customFormat="1" ht="11.25" customHeight="1">
      <c r="A12" s="31" t="s">
        <v>20</v>
      </c>
      <c r="B12" s="32">
        <v>55080100</v>
      </c>
      <c r="C12" s="33">
        <v>23173</v>
      </c>
      <c r="D12" s="33">
        <v>775.59</v>
      </c>
      <c r="E12" s="33">
        <v>20.15</v>
      </c>
      <c r="F12" s="33">
        <v>92.51</v>
      </c>
      <c r="G12" s="33">
        <v>4.98</v>
      </c>
      <c r="H12" s="33">
        <f>'11-19-15'!H11+D12+F12</f>
        <v>11886.800000000001</v>
      </c>
      <c r="I12" s="33">
        <f>'11-19-15'!I11+E12+G12</f>
        <v>361.13</v>
      </c>
      <c r="J12" s="33">
        <f>H12+I12</f>
        <v>12247.93</v>
      </c>
      <c r="K12" s="33">
        <f>C12-J12</f>
        <v>10925.07</v>
      </c>
      <c r="L12" s="33">
        <f t="shared" si="0"/>
        <v>-5478.4076785714315</v>
      </c>
      <c r="M12" s="45"/>
    </row>
    <row r="13" spans="1:14" ht="24.75" customHeight="1">
      <c r="A13" s="75" t="s">
        <v>36</v>
      </c>
      <c r="B13" s="76"/>
      <c r="C13" s="49">
        <f>SUM(C3:C12)</f>
        <v>201348</v>
      </c>
      <c r="D13" s="49">
        <f aca="true" t="shared" si="3" ref="D13:L13">SUM(D3:D12)</f>
        <v>4408.12</v>
      </c>
      <c r="E13" s="49">
        <f t="shared" si="3"/>
        <v>114.50999999999999</v>
      </c>
      <c r="F13" s="49">
        <f t="shared" si="3"/>
        <v>1049.25</v>
      </c>
      <c r="G13" s="49">
        <f t="shared" si="3"/>
        <v>56.599999999999994</v>
      </c>
      <c r="H13" s="49">
        <f t="shared" si="3"/>
        <v>72696.81</v>
      </c>
      <c r="I13" s="49">
        <f t="shared" si="3"/>
        <v>2358.7200000000003</v>
      </c>
      <c r="J13" s="49">
        <f t="shared" si="3"/>
        <v>75055.53</v>
      </c>
      <c r="K13" s="49">
        <f t="shared" si="3"/>
        <v>126292.47</v>
      </c>
      <c r="L13" s="49">
        <f t="shared" si="3"/>
        <v>25771.670892857135</v>
      </c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28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38"/>
      <c r="N15" s="39"/>
    </row>
    <row r="16" spans="1:14" s="44" customFormat="1" ht="11.25" customHeight="1">
      <c r="A16" s="31" t="s">
        <v>19</v>
      </c>
      <c r="B16" s="32">
        <v>55030100</v>
      </c>
      <c r="C16" s="33">
        <v>13540</v>
      </c>
      <c r="D16" s="33">
        <v>255.49</v>
      </c>
      <c r="E16" s="33">
        <v>6.63</v>
      </c>
      <c r="F16" s="33">
        <v>0</v>
      </c>
      <c r="G16" s="33">
        <v>0</v>
      </c>
      <c r="H16" s="33">
        <f>'11-19-15'!H15+D16+F16</f>
        <v>3830.9399999999996</v>
      </c>
      <c r="I16" s="33">
        <f>'11-19-15'!I15+E16+G16</f>
        <v>115.14999999999999</v>
      </c>
      <c r="J16" s="33">
        <f aca="true" t="shared" si="4" ref="J16:J23">H16+I16</f>
        <v>3946.0899999999997</v>
      </c>
      <c r="K16" s="33">
        <f aca="true" t="shared" si="5" ref="K16:K23">C16-J16</f>
        <v>9593.91</v>
      </c>
      <c r="L16" s="33">
        <f>C16-(J16/11.2*26.2)</f>
        <v>4308.968035714286</v>
      </c>
      <c r="M16" s="42"/>
      <c r="N16" s="43"/>
    </row>
    <row r="17" spans="1:14" s="44" customFormat="1" ht="11.25" customHeight="1">
      <c r="A17" s="31" t="s">
        <v>33</v>
      </c>
      <c r="B17" s="32">
        <v>55110100</v>
      </c>
      <c r="C17" s="33">
        <v>7073</v>
      </c>
      <c r="D17" s="33">
        <v>47.72</v>
      </c>
      <c r="E17" s="33">
        <v>1.23</v>
      </c>
      <c r="F17" s="33">
        <v>0</v>
      </c>
      <c r="G17" s="33">
        <v>0</v>
      </c>
      <c r="H17" s="33">
        <f>'11-19-15'!H16+D17+F17</f>
        <v>399.94000000000005</v>
      </c>
      <c r="I17" s="33">
        <f>'11-19-15'!I16+E17+G17</f>
        <v>10.35</v>
      </c>
      <c r="J17" s="33">
        <f t="shared" si="4"/>
        <v>410.2900000000001</v>
      </c>
      <c r="K17" s="33">
        <f t="shared" si="5"/>
        <v>6662.71</v>
      </c>
      <c r="L17" s="33">
        <f>C17-(J17/11.2*26.2)</f>
        <v>6113.214464285714</v>
      </c>
      <c r="M17" s="42"/>
      <c r="N17" s="43"/>
    </row>
    <row r="18" spans="1:14" s="44" customFormat="1" ht="11.25" customHeight="1">
      <c r="A18" s="31" t="s">
        <v>23</v>
      </c>
      <c r="B18" s="32">
        <v>55160100</v>
      </c>
      <c r="C18" s="33">
        <v>16062</v>
      </c>
      <c r="D18" s="33">
        <v>183.28</v>
      </c>
      <c r="E18" s="33">
        <v>4.75</v>
      </c>
      <c r="F18" s="33">
        <v>70.48</v>
      </c>
      <c r="G18" s="33">
        <v>3.8</v>
      </c>
      <c r="H18" s="33">
        <f>'11-19-15'!H17+D18+F18</f>
        <v>5599.449999999998</v>
      </c>
      <c r="I18" s="33">
        <f>'11-19-15'!I17+E18+G18</f>
        <v>201.08000000000004</v>
      </c>
      <c r="J18" s="33">
        <f t="shared" si="4"/>
        <v>5800.529999999998</v>
      </c>
      <c r="K18" s="33">
        <f t="shared" si="5"/>
        <v>10261.470000000001</v>
      </c>
      <c r="L18" s="33">
        <f>C18-(J18/11.2*26.2)</f>
        <v>2492.903035714291</v>
      </c>
      <c r="M18" s="42"/>
      <c r="N18" s="60"/>
    </row>
    <row r="19" spans="1:14" ht="24.75" customHeight="1">
      <c r="A19" s="75" t="s">
        <v>37</v>
      </c>
      <c r="B19" s="76"/>
      <c r="C19" s="49">
        <f>SUM(C16:C18)</f>
        <v>36675</v>
      </c>
      <c r="D19" s="49">
        <f aca="true" t="shared" si="6" ref="D19:L19">SUM(D16:D18)</f>
        <v>486.49</v>
      </c>
      <c r="E19" s="49">
        <f t="shared" si="6"/>
        <v>12.61</v>
      </c>
      <c r="F19" s="49">
        <f t="shared" si="6"/>
        <v>70.48</v>
      </c>
      <c r="G19" s="49">
        <f t="shared" si="6"/>
        <v>3.8</v>
      </c>
      <c r="H19" s="49">
        <f t="shared" si="6"/>
        <v>9830.329999999998</v>
      </c>
      <c r="I19" s="49">
        <f t="shared" si="6"/>
        <v>326.58000000000004</v>
      </c>
      <c r="J19" s="49">
        <f t="shared" si="6"/>
        <v>10156.909999999998</v>
      </c>
      <c r="K19" s="49">
        <f t="shared" si="6"/>
        <v>26518.09</v>
      </c>
      <c r="L19" s="49">
        <f t="shared" si="6"/>
        <v>12915.08553571429</v>
      </c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28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38"/>
      <c r="N21" s="41"/>
    </row>
    <row r="22" spans="1:14" s="44" customFormat="1" ht="11.25" customHeight="1">
      <c r="A22" s="31" t="s">
        <v>21</v>
      </c>
      <c r="B22" s="32">
        <v>55090100</v>
      </c>
      <c r="C22" s="33">
        <v>26923</v>
      </c>
      <c r="D22" s="33">
        <v>244.08</v>
      </c>
      <c r="E22" s="33">
        <v>6.33</v>
      </c>
      <c r="F22" s="33">
        <f>273.46</f>
        <v>273.46</v>
      </c>
      <c r="G22" s="33">
        <f>14.76</f>
        <v>14.76</v>
      </c>
      <c r="H22" s="33">
        <f>'11-19-15'!H21+D22+F22</f>
        <v>17975.5</v>
      </c>
      <c r="I22" s="33">
        <f>'11-19-15'!I21+E22+G22</f>
        <v>796.7999999999998</v>
      </c>
      <c r="J22" s="33">
        <f t="shared" si="4"/>
        <v>18772.3</v>
      </c>
      <c r="K22" s="33">
        <f t="shared" si="5"/>
        <v>8150.700000000001</v>
      </c>
      <c r="L22" s="33">
        <f>C22-(J22/11.2*26.2)</f>
        <v>-16990.773214285713</v>
      </c>
      <c r="M22" s="42"/>
      <c r="N22" s="60"/>
    </row>
    <row r="23" spans="1:14" s="44" customFormat="1" ht="11.25" customHeight="1">
      <c r="A23" s="31" t="s">
        <v>22</v>
      </c>
      <c r="B23" s="32">
        <v>55100100</v>
      </c>
      <c r="C23" s="33">
        <v>2026</v>
      </c>
      <c r="D23" s="33">
        <v>0</v>
      </c>
      <c r="E23" s="33">
        <v>0</v>
      </c>
      <c r="F23" s="33">
        <v>0</v>
      </c>
      <c r="G23" s="33">
        <v>0</v>
      </c>
      <c r="H23" s="33">
        <f>'11-19-15'!H22+D23+F23</f>
        <v>388.72</v>
      </c>
      <c r="I23" s="33">
        <f>'11-19-15'!I22+E23+G23</f>
        <v>20.98</v>
      </c>
      <c r="J23" s="33">
        <f t="shared" si="4"/>
        <v>409.70000000000005</v>
      </c>
      <c r="K23" s="33">
        <f t="shared" si="5"/>
        <v>1616.3</v>
      </c>
      <c r="L23" s="33">
        <f>C23-(J23/11.2*26.2)</f>
        <v>1067.5946428571428</v>
      </c>
      <c r="M23" s="42"/>
      <c r="N23" s="60"/>
    </row>
    <row r="24" spans="1:14" ht="24.75" customHeight="1">
      <c r="A24" s="75" t="s">
        <v>38</v>
      </c>
      <c r="B24" s="76"/>
      <c r="C24" s="49">
        <f>SUM(C22:C23)</f>
        <v>28949</v>
      </c>
      <c r="D24" s="49">
        <f aca="true" t="shared" si="7" ref="D24:L24">SUM(D22:D23)</f>
        <v>244.08</v>
      </c>
      <c r="E24" s="49">
        <f t="shared" si="7"/>
        <v>6.33</v>
      </c>
      <c r="F24" s="49">
        <f t="shared" si="7"/>
        <v>273.46</v>
      </c>
      <c r="G24" s="49">
        <f t="shared" si="7"/>
        <v>14.76</v>
      </c>
      <c r="H24" s="49">
        <f t="shared" si="7"/>
        <v>18364.22</v>
      </c>
      <c r="I24" s="49">
        <f t="shared" si="7"/>
        <v>817.7799999999999</v>
      </c>
      <c r="J24" s="49">
        <f t="shared" si="7"/>
        <v>19182</v>
      </c>
      <c r="K24" s="49">
        <f t="shared" si="7"/>
        <v>9767</v>
      </c>
      <c r="L24" s="49">
        <f t="shared" si="7"/>
        <v>-15923.17857142857</v>
      </c>
      <c r="M24" s="38"/>
      <c r="N24" s="41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4" ht="11.2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8"/>
      <c r="N26" s="39"/>
    </row>
    <row r="27" spans="1:13" s="44" customFormat="1" ht="11.25" customHeight="1">
      <c r="A27" s="31" t="s">
        <v>26</v>
      </c>
      <c r="B27" s="32">
        <v>55130100</v>
      </c>
      <c r="C27" s="33">
        <v>4523</v>
      </c>
      <c r="D27" s="33">
        <v>85.6</v>
      </c>
      <c r="E27" s="33">
        <v>2.22</v>
      </c>
      <c r="F27" s="33">
        <v>0</v>
      </c>
      <c r="G27" s="33">
        <v>0</v>
      </c>
      <c r="H27" s="33">
        <f>'11-19-15'!H26+D27+F27</f>
        <v>1495.3200000000002</v>
      </c>
      <c r="I27" s="33">
        <f>'11-19-15'!I26+E27+G27</f>
        <v>38.79</v>
      </c>
      <c r="J27" s="33">
        <f>H27+I27</f>
        <v>1534.1100000000001</v>
      </c>
      <c r="K27" s="33">
        <f>C27-J27</f>
        <v>2988.89</v>
      </c>
      <c r="L27" s="33">
        <f>C27-(J27/11.2*26.2)</f>
        <v>934.278392857143</v>
      </c>
      <c r="M27" s="45"/>
    </row>
    <row r="28" spans="1:13" s="44" customFormat="1" ht="11.25" customHeight="1">
      <c r="A28" s="31" t="s">
        <v>30</v>
      </c>
      <c r="B28" s="32">
        <v>55140100</v>
      </c>
      <c r="C28" s="33">
        <v>2995</v>
      </c>
      <c r="D28" s="33">
        <v>0</v>
      </c>
      <c r="E28" s="33">
        <v>0</v>
      </c>
      <c r="F28" s="33">
        <v>136.96</v>
      </c>
      <c r="G28" s="33">
        <v>7.38</v>
      </c>
      <c r="H28" s="33">
        <f>'11-19-15'!H27+D28+F28</f>
        <v>1626.4</v>
      </c>
      <c r="I28" s="33">
        <f>'11-19-15'!I27+E28+G28</f>
        <v>87.72</v>
      </c>
      <c r="J28" s="33">
        <f>H28+I28</f>
        <v>1714.1200000000001</v>
      </c>
      <c r="K28" s="33">
        <f>C28-J28</f>
        <v>1280.8799999999999</v>
      </c>
      <c r="L28" s="33">
        <f>C28-(J28/11.2*26.2)</f>
        <v>-1014.8164285714288</v>
      </c>
      <c r="M28" s="45"/>
    </row>
    <row r="29" spans="1:14" s="44" customFormat="1" ht="24.75" customHeight="1">
      <c r="A29" s="75" t="s">
        <v>39</v>
      </c>
      <c r="B29" s="76"/>
      <c r="C29" s="49">
        <f aca="true" t="shared" si="8" ref="C29:L29">SUM(C27:C28)</f>
        <v>7518</v>
      </c>
      <c r="D29" s="49">
        <f t="shared" si="8"/>
        <v>85.6</v>
      </c>
      <c r="E29" s="49">
        <f t="shared" si="8"/>
        <v>2.22</v>
      </c>
      <c r="F29" s="49">
        <f t="shared" si="8"/>
        <v>136.96</v>
      </c>
      <c r="G29" s="49">
        <f t="shared" si="8"/>
        <v>7.38</v>
      </c>
      <c r="H29" s="49">
        <f t="shared" si="8"/>
        <v>3121.7200000000003</v>
      </c>
      <c r="I29" s="49">
        <f t="shared" si="8"/>
        <v>126.50999999999999</v>
      </c>
      <c r="J29" s="49">
        <f t="shared" si="8"/>
        <v>3248.2300000000005</v>
      </c>
      <c r="K29" s="49">
        <f t="shared" si="8"/>
        <v>4269.7699999999995</v>
      </c>
      <c r="L29" s="49">
        <f t="shared" si="8"/>
        <v>-80.5380357142858</v>
      </c>
      <c r="M29" s="42"/>
      <c r="N29" s="43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8"/>
      <c r="N31" s="39"/>
    </row>
    <row r="32" spans="1:14" s="44" customFormat="1" ht="11.25" customHeight="1">
      <c r="A32" s="31" t="s">
        <v>34</v>
      </c>
      <c r="B32" s="32">
        <v>55010000</v>
      </c>
      <c r="C32" s="33">
        <f>24725-15347</f>
        <v>9378</v>
      </c>
      <c r="D32" s="33">
        <v>0</v>
      </c>
      <c r="E32" s="33">
        <v>0</v>
      </c>
      <c r="F32" s="33">
        <v>0</v>
      </c>
      <c r="G32" s="33">
        <v>0</v>
      </c>
      <c r="H32" s="33">
        <f>'11-19-15'!H31+D32+F32</f>
        <v>0</v>
      </c>
      <c r="I32" s="33">
        <f>'11-19-15'!I31+E32+G32</f>
        <v>0</v>
      </c>
      <c r="J32" s="33">
        <f aca="true" t="shared" si="9" ref="J32:J37">H32+I32</f>
        <v>0</v>
      </c>
      <c r="K32" s="33">
        <f aca="true" t="shared" si="10" ref="K32:K37">C32-J32</f>
        <v>9378</v>
      </c>
      <c r="L32" s="33">
        <f aca="true" t="shared" si="11" ref="L32:L37">C32-(J32/11.2*26.2)</f>
        <v>9378</v>
      </c>
      <c r="M32" s="42"/>
      <c r="N32" s="43"/>
    </row>
    <row r="33" spans="1:13" s="44" customFormat="1" ht="11.25" customHeight="1">
      <c r="A33" s="31" t="s">
        <v>31</v>
      </c>
      <c r="B33" s="32">
        <v>55080500</v>
      </c>
      <c r="C33" s="33">
        <v>10000</v>
      </c>
      <c r="D33" s="33">
        <v>330.8</v>
      </c>
      <c r="E33" s="33">
        <v>8.59</v>
      </c>
      <c r="F33" s="33">
        <v>0</v>
      </c>
      <c r="G33" s="33">
        <v>0</v>
      </c>
      <c r="H33" s="33">
        <f>'11-19-15'!H32+D33+F33</f>
        <v>2180.56</v>
      </c>
      <c r="I33" s="33">
        <f>'11-19-15'!I32+E33+G33</f>
        <v>60.3</v>
      </c>
      <c r="J33" s="33">
        <f t="shared" si="9"/>
        <v>2240.86</v>
      </c>
      <c r="K33" s="33">
        <f t="shared" si="10"/>
        <v>7759.139999999999</v>
      </c>
      <c r="L33" s="33">
        <f t="shared" si="11"/>
        <v>4757.988214285714</v>
      </c>
      <c r="M33" s="45"/>
    </row>
    <row r="34" spans="1:13" s="44" customFormat="1" ht="11.25" customHeight="1">
      <c r="A34" s="31" t="s">
        <v>32</v>
      </c>
      <c r="B34" s="32">
        <v>55050300</v>
      </c>
      <c r="C34" s="33">
        <v>15347</v>
      </c>
      <c r="D34" s="33">
        <v>0</v>
      </c>
      <c r="E34" s="33">
        <v>0</v>
      </c>
      <c r="F34" s="33">
        <v>798</v>
      </c>
      <c r="G34" s="33">
        <v>43.08</v>
      </c>
      <c r="H34" s="33">
        <f>'11-19-15'!H33+D34+F34</f>
        <v>8981</v>
      </c>
      <c r="I34" s="33">
        <f>'11-19-15'!I33+E34+G34</f>
        <v>484.90999999999997</v>
      </c>
      <c r="J34" s="33">
        <f t="shared" si="9"/>
        <v>9465.91</v>
      </c>
      <c r="K34" s="33">
        <f t="shared" si="10"/>
        <v>5881.09</v>
      </c>
      <c r="L34" s="33">
        <f t="shared" si="11"/>
        <v>-6796.468035714286</v>
      </c>
      <c r="M34" s="45"/>
    </row>
    <row r="35" spans="1:13" s="44" customFormat="1" ht="11.25" customHeight="1">
      <c r="A35" s="31" t="s">
        <v>43</v>
      </c>
      <c r="B35" s="32">
        <v>55160300</v>
      </c>
      <c r="C35" s="33">
        <v>43385.81</v>
      </c>
      <c r="D35" s="33">
        <v>0</v>
      </c>
      <c r="E35" s="33">
        <v>0</v>
      </c>
      <c r="F35" s="33">
        <v>3154.25</v>
      </c>
      <c r="G35" s="33">
        <v>170.32</v>
      </c>
      <c r="H35" s="33">
        <f>'11-19-15'!H34+D35+F35</f>
        <v>35327.62</v>
      </c>
      <c r="I35" s="33">
        <f>'11-19-15'!I34+E35+G35</f>
        <v>1907.5899999999995</v>
      </c>
      <c r="J35" s="33">
        <f t="shared" si="9"/>
        <v>37235.21</v>
      </c>
      <c r="K35" s="33">
        <f t="shared" si="10"/>
        <v>6150.5999999999985</v>
      </c>
      <c r="L35" s="33">
        <f t="shared" si="11"/>
        <v>-43717.984821428574</v>
      </c>
      <c r="M35" s="45"/>
    </row>
    <row r="36" spans="1:13" s="44" customFormat="1" ht="11.25" customHeight="1" hidden="1">
      <c r="A36" s="31" t="s">
        <v>47</v>
      </c>
      <c r="B36" s="32">
        <v>55010100</v>
      </c>
      <c r="C36" s="33"/>
      <c r="D36" s="33"/>
      <c r="E36" s="33"/>
      <c r="F36" s="33"/>
      <c r="G36" s="33"/>
      <c r="H36" s="33">
        <f>'11-19-15'!H35+D36+F36</f>
        <v>-64.2</v>
      </c>
      <c r="I36" s="33">
        <f>'11-19-15'!I35+E36+G36</f>
        <v>-1.67</v>
      </c>
      <c r="J36" s="33">
        <f t="shared" si="9"/>
        <v>-65.87</v>
      </c>
      <c r="K36" s="33">
        <f t="shared" si="10"/>
        <v>65.87</v>
      </c>
      <c r="L36" s="33">
        <f t="shared" si="11"/>
        <v>154.08875</v>
      </c>
      <c r="M36" s="45"/>
    </row>
    <row r="37" spans="1:13" s="44" customFormat="1" ht="11.25" customHeight="1">
      <c r="A37" s="31" t="s">
        <v>48</v>
      </c>
      <c r="B37" s="32" t="s">
        <v>49</v>
      </c>
      <c r="C37" s="33">
        <v>4086</v>
      </c>
      <c r="D37" s="33">
        <v>0</v>
      </c>
      <c r="E37" s="33">
        <v>0</v>
      </c>
      <c r="F37" s="33">
        <v>0</v>
      </c>
      <c r="G37" s="33">
        <v>0</v>
      </c>
      <c r="H37" s="33">
        <f>'11-19-15'!H36+D37+F37</f>
        <v>0</v>
      </c>
      <c r="I37" s="33">
        <f>'11-19-15'!I36+E37+G37</f>
        <v>0</v>
      </c>
      <c r="J37" s="33">
        <f t="shared" si="9"/>
        <v>0</v>
      </c>
      <c r="K37" s="33">
        <f t="shared" si="10"/>
        <v>4086</v>
      </c>
      <c r="L37" s="33">
        <f t="shared" si="11"/>
        <v>4086</v>
      </c>
      <c r="M37" s="45"/>
    </row>
    <row r="38" spans="1:14" ht="24.75" customHeight="1">
      <c r="A38" s="75" t="s">
        <v>40</v>
      </c>
      <c r="B38" s="76"/>
      <c r="C38" s="49">
        <f>SUM(C32:C37)</f>
        <v>82196.81</v>
      </c>
      <c r="D38" s="49">
        <f aca="true" t="shared" si="12" ref="D38:L38">SUM(D32:D37)</f>
        <v>330.8</v>
      </c>
      <c r="E38" s="49">
        <f t="shared" si="12"/>
        <v>8.59</v>
      </c>
      <c r="F38" s="49">
        <f t="shared" si="12"/>
        <v>3952.25</v>
      </c>
      <c r="G38" s="49">
        <f t="shared" si="12"/>
        <v>213.39999999999998</v>
      </c>
      <c r="H38" s="49">
        <f t="shared" si="12"/>
        <v>46424.98</v>
      </c>
      <c r="I38" s="49">
        <f t="shared" si="12"/>
        <v>2451.129999999999</v>
      </c>
      <c r="J38" s="49">
        <f t="shared" si="12"/>
        <v>48876.10999999999</v>
      </c>
      <c r="K38" s="49">
        <f t="shared" si="12"/>
        <v>33320.7</v>
      </c>
      <c r="L38" s="49">
        <f t="shared" si="12"/>
        <v>-32138.37589285714</v>
      </c>
      <c r="M38" s="38"/>
      <c r="N38" s="39"/>
    </row>
    <row r="39" spans="1:14" ht="11.25" customHeight="1">
      <c r="A39" s="28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8"/>
      <c r="N39" s="39"/>
    </row>
    <row r="40" spans="1:14" ht="11.25" customHeight="1">
      <c r="A40" s="28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8"/>
      <c r="N40" s="39"/>
    </row>
    <row r="41" spans="1:14" ht="24.75" customHeight="1">
      <c r="A41" s="76" t="s">
        <v>42</v>
      </c>
      <c r="B41" s="76"/>
      <c r="C41" s="49">
        <f>C13+C19+C24+C29+C38</f>
        <v>356686.81</v>
      </c>
      <c r="D41" s="49">
        <f aca="true" t="shared" si="13" ref="D41:L41">D13+D19+D24+D29+D38</f>
        <v>5555.09</v>
      </c>
      <c r="E41" s="49">
        <f t="shared" si="13"/>
        <v>144.26</v>
      </c>
      <c r="F41" s="49">
        <f t="shared" si="13"/>
        <v>5482.4</v>
      </c>
      <c r="G41" s="49">
        <f t="shared" si="13"/>
        <v>295.93999999999994</v>
      </c>
      <c r="H41" s="49">
        <f t="shared" si="13"/>
        <v>150438.06</v>
      </c>
      <c r="I41" s="49">
        <f t="shared" si="13"/>
        <v>6080.719999999999</v>
      </c>
      <c r="J41" s="49">
        <f t="shared" si="13"/>
        <v>156518.78</v>
      </c>
      <c r="K41" s="49">
        <f t="shared" si="13"/>
        <v>200168.02999999997</v>
      </c>
      <c r="L41" s="49">
        <f t="shared" si="13"/>
        <v>-9455.336071428574</v>
      </c>
      <c r="M41" s="38"/>
      <c r="N41" s="39"/>
    </row>
    <row r="42" spans="1:14" ht="11.25" customHeight="1">
      <c r="A42" s="54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38"/>
      <c r="N42" s="39"/>
    </row>
    <row r="43" spans="1:14" ht="11.25" customHeight="1">
      <c r="A43" s="54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38"/>
      <c r="N43" s="39"/>
    </row>
    <row r="44" spans="1:14" s="44" customFormat="1" ht="12" customHeight="1">
      <c r="A44" s="31" t="s">
        <v>27</v>
      </c>
      <c r="B44" s="31" t="s">
        <v>28</v>
      </c>
      <c r="C44" s="33">
        <v>61829</v>
      </c>
      <c r="D44" s="33">
        <v>968.21</v>
      </c>
      <c r="E44" s="33">
        <v>25.15</v>
      </c>
      <c r="F44" s="33">
        <v>0</v>
      </c>
      <c r="G44" s="33">
        <v>0</v>
      </c>
      <c r="H44" s="33">
        <f>'11-19-15'!H43+D44+F44</f>
        <v>22565.999999999996</v>
      </c>
      <c r="I44" s="33">
        <f>'11-19-15'!I43+E44+G44</f>
        <v>762.47</v>
      </c>
      <c r="J44" s="33">
        <f>H44+I44</f>
        <v>23328.469999999998</v>
      </c>
      <c r="K44" s="33">
        <f>C44-J44</f>
        <v>38500.53</v>
      </c>
      <c r="L44" s="33">
        <f>C44-(J44/11.2*26.2)</f>
        <v>7257.043392857144</v>
      </c>
      <c r="M44" s="42"/>
      <c r="N44" s="43"/>
    </row>
    <row r="45" spans="1:14" ht="12" customHeight="1">
      <c r="A45" s="6"/>
      <c r="B45" s="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38"/>
      <c r="N45" s="39"/>
    </row>
    <row r="46" spans="1:14" ht="12" customHeight="1">
      <c r="A46" s="6" t="s">
        <v>29</v>
      </c>
      <c r="B46" s="6" t="s">
        <v>35</v>
      </c>
      <c r="C46" s="27">
        <v>15000</v>
      </c>
      <c r="D46" s="27">
        <v>0</v>
      </c>
      <c r="E46" s="27">
        <v>0</v>
      </c>
      <c r="F46" s="27">
        <v>551.36</v>
      </c>
      <c r="G46" s="27">
        <v>29.77</v>
      </c>
      <c r="H46" s="33">
        <f>'11-19-15'!H45+D46+F46</f>
        <v>6986.089999999999</v>
      </c>
      <c r="I46" s="33">
        <f>'11-19-15'!I45+E46+G46</f>
        <v>377.19</v>
      </c>
      <c r="J46" s="27">
        <f>H46+I46</f>
        <v>7363.279999999999</v>
      </c>
      <c r="K46" s="27">
        <f>C46-J46</f>
        <v>7636.720000000001</v>
      </c>
      <c r="L46" s="33">
        <f>C46-(J46/11.2*26.2)</f>
        <v>-2224.8157142857126</v>
      </c>
      <c r="M46" s="38"/>
      <c r="N46" s="39"/>
    </row>
    <row r="47" spans="1:14" ht="12" customHeight="1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38"/>
      <c r="N47" s="39"/>
    </row>
    <row r="48" spans="1:14" ht="12" customHeight="1">
      <c r="A48" s="50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38"/>
      <c r="N48" s="39"/>
    </row>
    <row r="49" spans="1:14" ht="24.75" customHeight="1">
      <c r="A49" s="51" t="s">
        <v>41</v>
      </c>
      <c r="B49" s="52"/>
      <c r="C49" s="53">
        <f>C44+C46</f>
        <v>76829</v>
      </c>
      <c r="D49" s="53">
        <f aca="true" t="shared" si="14" ref="D49:L49">D44+D46</f>
        <v>968.21</v>
      </c>
      <c r="E49" s="53">
        <f t="shared" si="14"/>
        <v>25.15</v>
      </c>
      <c r="F49" s="53">
        <f t="shared" si="14"/>
        <v>551.36</v>
      </c>
      <c r="G49" s="53">
        <f t="shared" si="14"/>
        <v>29.77</v>
      </c>
      <c r="H49" s="53">
        <f t="shared" si="14"/>
        <v>29552.089999999997</v>
      </c>
      <c r="I49" s="53">
        <f t="shared" si="14"/>
        <v>1139.66</v>
      </c>
      <c r="J49" s="53">
        <f t="shared" si="14"/>
        <v>30691.749999999996</v>
      </c>
      <c r="K49" s="53">
        <f t="shared" si="14"/>
        <v>46137.25</v>
      </c>
      <c r="L49" s="53">
        <f t="shared" si="14"/>
        <v>5032.227678571431</v>
      </c>
      <c r="M49" s="38"/>
      <c r="N49" s="12"/>
    </row>
    <row r="50" spans="1:14" ht="24" customHeight="1">
      <c r="A50" s="9"/>
      <c r="B50" s="10"/>
      <c r="C50" s="11"/>
      <c r="H50" s="11"/>
      <c r="I50" s="11"/>
      <c r="J50" s="11"/>
      <c r="K50" s="11"/>
      <c r="L50" s="11"/>
      <c r="M50" s="38"/>
      <c r="N50" s="12"/>
    </row>
    <row r="51" spans="1:14" ht="33.75">
      <c r="A51" s="57" t="s">
        <v>44</v>
      </c>
      <c r="B51" s="58">
        <v>43385.81</v>
      </c>
      <c r="C51" s="13"/>
      <c r="D51" s="13"/>
      <c r="E51" s="13"/>
      <c r="F51" s="13"/>
      <c r="G51" s="13"/>
      <c r="H51" s="46"/>
      <c r="I51" s="46"/>
      <c r="J51" s="46"/>
      <c r="K51" s="46"/>
      <c r="L51" s="46"/>
      <c r="M51" s="38"/>
      <c r="N51" s="12"/>
    </row>
    <row r="52" spans="1:14" ht="33.75">
      <c r="A52" s="9" t="s">
        <v>45</v>
      </c>
      <c r="B52" s="58">
        <v>10000</v>
      </c>
      <c r="C52" s="16"/>
      <c r="D52" s="11"/>
      <c r="E52" s="11"/>
      <c r="F52" s="11"/>
      <c r="G52" s="11"/>
      <c r="H52" s="11"/>
      <c r="I52" s="2"/>
      <c r="J52" s="11"/>
      <c r="K52" s="11"/>
      <c r="L52" s="11"/>
      <c r="M52" s="38"/>
      <c r="N52" s="12"/>
    </row>
    <row r="53" spans="1:14" ht="22.5">
      <c r="A53" s="14" t="s">
        <v>46</v>
      </c>
      <c r="B53" s="58">
        <v>15347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2"/>
    </row>
    <row r="54" spans="1:14" ht="33.75">
      <c r="A54" s="14" t="s">
        <v>50</v>
      </c>
      <c r="B54" s="58">
        <v>5000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7"/>
    </row>
    <row r="55" spans="1:14" ht="15">
      <c r="A55" s="14"/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  <c r="N55" s="12"/>
    </row>
    <row r="56" spans="1:14" ht="22.5" customHeight="1">
      <c r="A56" s="14"/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  <c r="N56" s="12"/>
    </row>
    <row r="57" spans="1:14" ht="15">
      <c r="A57" s="18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N57" s="12"/>
    </row>
    <row r="58" spans="1:14" ht="15" customHeight="1">
      <c r="A58" s="18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 customHeight="1">
      <c r="A59" s="19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9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15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25.5" customHeight="1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15" customHeight="1">
      <c r="A64" s="18"/>
      <c r="B64" s="10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12"/>
    </row>
    <row r="65" spans="1:14" ht="15" customHeight="1">
      <c r="A65" s="20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12"/>
    </row>
    <row r="66" spans="1:14" ht="15" customHeight="1">
      <c r="A66" s="22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3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5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7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47"/>
      <c r="N72" s="24"/>
    </row>
    <row r="73" spans="1:14" ht="11.25" customHeight="1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N73" s="24"/>
    </row>
    <row r="74" spans="1:13" ht="15">
      <c r="A74" s="22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36"/>
    </row>
    <row r="75" spans="1:13" ht="15">
      <c r="A75" s="22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36"/>
    </row>
    <row r="76" spans="1:12" ht="15">
      <c r="A76" s="22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4" s="35" customFormat="1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  <c r="N82" s="36"/>
    </row>
    <row r="83" spans="1:12" ht="15">
      <c r="A83" s="24"/>
      <c r="B83" s="24"/>
      <c r="C83" s="48"/>
      <c r="D83" s="48"/>
      <c r="E83" s="48"/>
      <c r="F83" s="48"/>
      <c r="G83" s="48"/>
      <c r="H83" s="48"/>
      <c r="I83" s="48"/>
      <c r="J83" s="48"/>
      <c r="K83" s="48"/>
      <c r="L83" s="48"/>
    </row>
  </sheetData>
  <sheetProtection/>
  <mergeCells count="6">
    <mergeCell ref="A13:B13"/>
    <mergeCell ref="A19:B19"/>
    <mergeCell ref="A24:B24"/>
    <mergeCell ref="A29:B29"/>
    <mergeCell ref="A38:B38"/>
    <mergeCell ref="A41:B4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46" sqref="H46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8.14062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s="44" customFormat="1" ht="11.25" customHeight="1">
      <c r="A3" s="31" t="s">
        <v>11</v>
      </c>
      <c r="B3" s="32">
        <v>55010500</v>
      </c>
      <c r="C3" s="33">
        <f>9670-5000</f>
        <v>4670</v>
      </c>
      <c r="D3" s="33">
        <v>0</v>
      </c>
      <c r="E3" s="33">
        <v>0</v>
      </c>
      <c r="F3" s="33">
        <v>0</v>
      </c>
      <c r="G3" s="33">
        <v>0</v>
      </c>
      <c r="H3" s="33">
        <f>'12-03-15'!H3+D3+F3</f>
        <v>604.8</v>
      </c>
      <c r="I3" s="33">
        <f>'12-03-15'!I3+E3+G3</f>
        <v>32.629999999999995</v>
      </c>
      <c r="J3" s="33">
        <f>H3+I3</f>
        <v>637.43</v>
      </c>
      <c r="K3" s="33">
        <f>C3-J3</f>
        <v>4032.57</v>
      </c>
      <c r="L3" s="33">
        <f>C3-(J3/12.2*26.2)</f>
        <v>3301.0929508196723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v>32649</v>
      </c>
      <c r="D4" s="33">
        <v>358.75</v>
      </c>
      <c r="E4" s="33">
        <v>9.32</v>
      </c>
      <c r="F4" s="33">
        <v>0</v>
      </c>
      <c r="G4" s="33">
        <v>0</v>
      </c>
      <c r="H4" s="33">
        <f>'12-03-15'!H4+D4+F4</f>
        <v>5360.719999999999</v>
      </c>
      <c r="I4" s="33">
        <f>'12-03-15'!I4+E4+G4</f>
        <v>208.32000000000002</v>
      </c>
      <c r="J4" s="33">
        <f>H4+I4</f>
        <v>5569.039999999999</v>
      </c>
      <c r="K4" s="33">
        <f>C4-J4</f>
        <v>27079.96</v>
      </c>
      <c r="L4" s="33">
        <f aca="true" t="shared" si="0" ref="L4:L12">C4-(J4/12.2*26.2)</f>
        <v>20689.25836065574</v>
      </c>
      <c r="M4" s="45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304.42</v>
      </c>
      <c r="E5" s="33">
        <v>7.91</v>
      </c>
      <c r="F5" s="33">
        <v>0</v>
      </c>
      <c r="G5" s="33">
        <v>0</v>
      </c>
      <c r="H5" s="33">
        <f>'12-03-15'!H5+D5+F5</f>
        <v>5701.77</v>
      </c>
      <c r="I5" s="33">
        <f>'12-03-15'!I5+E5+G5</f>
        <v>148.14000000000001</v>
      </c>
      <c r="J5" s="33">
        <f aca="true" t="shared" si="1" ref="J5:J11">H5+I5</f>
        <v>5849.910000000001</v>
      </c>
      <c r="K5" s="33">
        <f aca="true" t="shared" si="2" ref="K5:K11">C5-J5</f>
        <v>12124.09</v>
      </c>
      <c r="L5" s="33">
        <f t="shared" si="0"/>
        <v>5411.0785245901625</v>
      </c>
      <c r="M5" s="45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524.1</v>
      </c>
      <c r="E6" s="33">
        <v>13.61</v>
      </c>
      <c r="F6" s="33">
        <v>0</v>
      </c>
      <c r="G6" s="33">
        <v>0</v>
      </c>
      <c r="H6" s="33">
        <f>'12-03-15'!H6+D6+F6</f>
        <v>5287.240000000001</v>
      </c>
      <c r="I6" s="33">
        <f>'12-03-15'!I6+E6+G6</f>
        <v>137.28</v>
      </c>
      <c r="J6" s="33">
        <f>H6+I6</f>
        <v>5424.52</v>
      </c>
      <c r="K6" s="33">
        <f t="shared" si="2"/>
        <v>12549.48</v>
      </c>
      <c r="L6" s="33">
        <f t="shared" si="0"/>
        <v>6324.6209836065555</v>
      </c>
      <c r="M6" s="45"/>
      <c r="N6" s="61"/>
    </row>
    <row r="7" spans="1:13" s="44" customFormat="1" ht="11.25" customHeight="1">
      <c r="A7" s="31" t="s">
        <v>15</v>
      </c>
      <c r="B7" s="32">
        <v>55030200</v>
      </c>
      <c r="C7" s="33">
        <v>24330</v>
      </c>
      <c r="D7" s="33">
        <v>818.28</v>
      </c>
      <c r="E7" s="33">
        <v>21.27</v>
      </c>
      <c r="F7" s="33">
        <v>0</v>
      </c>
      <c r="G7" s="33">
        <v>0</v>
      </c>
      <c r="H7" s="33">
        <f>'12-03-15'!H7+D7+F7</f>
        <v>9841.01</v>
      </c>
      <c r="I7" s="33">
        <f>'12-03-15'!I7+E7+G7</f>
        <v>255.77000000000004</v>
      </c>
      <c r="J7" s="33">
        <f t="shared" si="1"/>
        <v>10096.78</v>
      </c>
      <c r="K7" s="33">
        <f t="shared" si="2"/>
        <v>14233.22</v>
      </c>
      <c r="L7" s="33">
        <f t="shared" si="0"/>
        <v>2646.751147540981</v>
      </c>
      <c r="M7" s="45"/>
    </row>
    <row r="8" spans="1:13" s="44" customFormat="1" ht="11.25" customHeight="1">
      <c r="A8" s="31" t="s">
        <v>16</v>
      </c>
      <c r="B8" s="32">
        <v>55050200</v>
      </c>
      <c r="C8" s="33">
        <f>29837</f>
        <v>29837</v>
      </c>
      <c r="D8" s="33">
        <v>616.23</v>
      </c>
      <c r="E8" s="33">
        <v>16.02</v>
      </c>
      <c r="F8" s="33">
        <v>429.98</v>
      </c>
      <c r="G8" s="33">
        <v>23.21</v>
      </c>
      <c r="H8" s="33">
        <f>'12-03-15'!H8+D8+F8</f>
        <v>12310.03</v>
      </c>
      <c r="I8" s="33">
        <f>'12-03-15'!I8+E8+G8</f>
        <v>460.25999999999993</v>
      </c>
      <c r="J8" s="33">
        <f t="shared" si="1"/>
        <v>12770.29</v>
      </c>
      <c r="K8" s="33">
        <f t="shared" si="2"/>
        <v>17066.71</v>
      </c>
      <c r="L8" s="33">
        <f t="shared" si="0"/>
        <v>2412.2788524590105</v>
      </c>
      <c r="M8" s="45"/>
    </row>
    <row r="9" spans="1:13" s="44" customFormat="1" ht="11.25" customHeight="1">
      <c r="A9" s="31" t="s">
        <v>51</v>
      </c>
      <c r="B9" s="32">
        <v>55050400</v>
      </c>
      <c r="C9" s="33">
        <v>5000</v>
      </c>
      <c r="D9" s="33">
        <v>0</v>
      </c>
      <c r="E9" s="33">
        <v>0</v>
      </c>
      <c r="F9" s="33">
        <v>0</v>
      </c>
      <c r="G9" s="33">
        <v>0</v>
      </c>
      <c r="H9" s="33">
        <f>'12-03-15'!H9+D9+F9</f>
        <v>0</v>
      </c>
      <c r="I9" s="33">
        <f>'12-03-15'!I9+E9+G9</f>
        <v>0</v>
      </c>
      <c r="J9" s="33">
        <f t="shared" si="1"/>
        <v>0</v>
      </c>
      <c r="K9" s="33">
        <f t="shared" si="2"/>
        <v>5000</v>
      </c>
      <c r="L9" s="33">
        <f t="shared" si="0"/>
        <v>5000</v>
      </c>
      <c r="M9" s="45"/>
    </row>
    <row r="10" spans="1:13" s="44" customFormat="1" ht="11.25" customHeight="1">
      <c r="A10" s="31" t="s">
        <v>17</v>
      </c>
      <c r="B10" s="32">
        <v>55070100</v>
      </c>
      <c r="C10" s="33">
        <f>26873+10510+5358</f>
        <v>42741</v>
      </c>
      <c r="D10" s="33">
        <v>1202.06</v>
      </c>
      <c r="E10" s="33">
        <v>31.25</v>
      </c>
      <c r="F10" s="33">
        <v>984</v>
      </c>
      <c r="G10" s="33">
        <v>53.13</v>
      </c>
      <c r="H10" s="33">
        <f>'12-03-15'!H10+D10+F10</f>
        <v>26942.26</v>
      </c>
      <c r="I10" s="33">
        <f>'12-03-15'!I10+E10+G10</f>
        <v>930.9100000000001</v>
      </c>
      <c r="J10" s="33">
        <f t="shared" si="1"/>
        <v>27873.17</v>
      </c>
      <c r="K10" s="33">
        <f t="shared" si="2"/>
        <v>14867.830000000002</v>
      </c>
      <c r="L10" s="33">
        <f t="shared" si="0"/>
        <v>-17117.77491803279</v>
      </c>
      <c r="M10" s="45"/>
    </row>
    <row r="11" spans="1:13" s="44" customFormat="1" ht="11.25" customHeight="1">
      <c r="A11" s="31" t="s">
        <v>18</v>
      </c>
      <c r="B11" s="32">
        <v>55070400</v>
      </c>
      <c r="C11" s="33">
        <v>3000</v>
      </c>
      <c r="D11" s="33">
        <v>0</v>
      </c>
      <c r="E11" s="33">
        <v>0</v>
      </c>
      <c r="F11" s="33">
        <v>0</v>
      </c>
      <c r="G11" s="33">
        <v>0</v>
      </c>
      <c r="H11" s="33">
        <f>'12-03-15'!H11+D11+F11</f>
        <v>0</v>
      </c>
      <c r="I11" s="33">
        <f>'12-03-15'!I11+E11+G11</f>
        <v>0</v>
      </c>
      <c r="J11" s="33">
        <f t="shared" si="1"/>
        <v>0</v>
      </c>
      <c r="K11" s="33">
        <f t="shared" si="2"/>
        <v>3000</v>
      </c>
      <c r="L11" s="33">
        <f t="shared" si="0"/>
        <v>3000</v>
      </c>
      <c r="M11" s="45"/>
    </row>
    <row r="12" spans="1:13" s="44" customFormat="1" ht="11.25" customHeight="1">
      <c r="A12" s="31" t="s">
        <v>20</v>
      </c>
      <c r="B12" s="32">
        <v>55080100</v>
      </c>
      <c r="C12" s="33">
        <v>23173</v>
      </c>
      <c r="D12" s="33">
        <v>922.55</v>
      </c>
      <c r="E12" s="33">
        <v>23.98</v>
      </c>
      <c r="F12" s="33">
        <v>185.02</v>
      </c>
      <c r="G12" s="33">
        <v>9.99</v>
      </c>
      <c r="H12" s="33">
        <f>'12-03-15'!H12+D12+F12</f>
        <v>12994.37</v>
      </c>
      <c r="I12" s="33">
        <f>'12-03-15'!I12+E12+G12</f>
        <v>395.1</v>
      </c>
      <c r="J12" s="33">
        <f>H12+I12</f>
        <v>13389.470000000001</v>
      </c>
      <c r="K12" s="33">
        <f>C12-J12</f>
        <v>9783.529999999999</v>
      </c>
      <c r="L12" s="33">
        <f t="shared" si="0"/>
        <v>-5581.435573770497</v>
      </c>
      <c r="M12" s="45"/>
    </row>
    <row r="13" spans="1:14" ht="24.75" customHeight="1">
      <c r="A13" s="75" t="s">
        <v>36</v>
      </c>
      <c r="B13" s="76"/>
      <c r="C13" s="49">
        <f>SUM(C3:C12)</f>
        <v>201348</v>
      </c>
      <c r="D13" s="49">
        <f aca="true" t="shared" si="3" ref="D13:L13">SUM(D3:D12)</f>
        <v>4746.389999999999</v>
      </c>
      <c r="E13" s="49">
        <f t="shared" si="3"/>
        <v>123.36</v>
      </c>
      <c r="F13" s="49">
        <f t="shared" si="3"/>
        <v>1599</v>
      </c>
      <c r="G13" s="49">
        <f t="shared" si="3"/>
        <v>86.33</v>
      </c>
      <c r="H13" s="49">
        <f t="shared" si="3"/>
        <v>79042.2</v>
      </c>
      <c r="I13" s="49">
        <f t="shared" si="3"/>
        <v>2568.4100000000003</v>
      </c>
      <c r="J13" s="49">
        <f t="shared" si="3"/>
        <v>81610.61</v>
      </c>
      <c r="K13" s="49">
        <f t="shared" si="3"/>
        <v>119737.39</v>
      </c>
      <c r="L13" s="49">
        <f t="shared" si="3"/>
        <v>26085.870327868834</v>
      </c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28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38"/>
      <c r="N15" s="39"/>
    </row>
    <row r="16" spans="1:14" s="44" customFormat="1" ht="11.25" customHeight="1">
      <c r="A16" s="31" t="s">
        <v>19</v>
      </c>
      <c r="B16" s="32">
        <v>55030100</v>
      </c>
      <c r="C16" s="33">
        <v>13540</v>
      </c>
      <c r="D16" s="33">
        <v>286.32</v>
      </c>
      <c r="E16" s="33">
        <v>7.44</v>
      </c>
      <c r="F16" s="33">
        <v>0</v>
      </c>
      <c r="G16" s="33">
        <v>0</v>
      </c>
      <c r="H16" s="33">
        <f>'12-03-15'!H16+D16+F16</f>
        <v>4117.259999999999</v>
      </c>
      <c r="I16" s="33">
        <f>'12-03-15'!I16+E16+G16</f>
        <v>122.58999999999999</v>
      </c>
      <c r="J16" s="33">
        <f aca="true" t="shared" si="4" ref="J16:J23">H16+I16</f>
        <v>4239.849999999999</v>
      </c>
      <c r="K16" s="33">
        <f aca="true" t="shared" si="5" ref="K16:K23">C16-J16</f>
        <v>9300.150000000001</v>
      </c>
      <c r="L16" s="33">
        <f>C16-(J16/12.2*26.2)</f>
        <v>4434.748360655738</v>
      </c>
      <c r="M16" s="42"/>
      <c r="N16" s="43"/>
    </row>
    <row r="17" spans="1:14" s="44" customFormat="1" ht="11.25" customHeight="1">
      <c r="A17" s="31" t="s">
        <v>33</v>
      </c>
      <c r="B17" s="32">
        <v>55110100</v>
      </c>
      <c r="C17" s="33">
        <v>7073</v>
      </c>
      <c r="D17" s="33">
        <v>26.97</v>
      </c>
      <c r="E17" s="33">
        <v>0.7</v>
      </c>
      <c r="F17" s="33">
        <v>0</v>
      </c>
      <c r="G17" s="33">
        <v>0</v>
      </c>
      <c r="H17" s="33">
        <f>'12-03-15'!H17+D17+F17</f>
        <v>426.9100000000001</v>
      </c>
      <c r="I17" s="33">
        <f>'12-03-15'!I17+E17+G17</f>
        <v>11.049999999999999</v>
      </c>
      <c r="J17" s="33">
        <f t="shared" si="4"/>
        <v>437.9600000000001</v>
      </c>
      <c r="K17" s="33">
        <f t="shared" si="5"/>
        <v>6635.04</v>
      </c>
      <c r="L17" s="33">
        <f>C17-(J17/12.2*26.2)</f>
        <v>6132.462950819672</v>
      </c>
      <c r="M17" s="42"/>
      <c r="N17" s="43"/>
    </row>
    <row r="18" spans="1:14" s="44" customFormat="1" ht="11.25" customHeight="1">
      <c r="A18" s="31" t="s">
        <v>23</v>
      </c>
      <c r="B18" s="32">
        <v>55160100</v>
      </c>
      <c r="C18" s="33">
        <v>16062</v>
      </c>
      <c r="D18" s="33">
        <v>170.66</v>
      </c>
      <c r="E18" s="33">
        <v>4.43</v>
      </c>
      <c r="F18" s="33">
        <v>658.45</v>
      </c>
      <c r="G18" s="33">
        <v>35.55</v>
      </c>
      <c r="H18" s="33">
        <f>'12-03-15'!H18+D18+F18</f>
        <v>6428.559999999998</v>
      </c>
      <c r="I18" s="33">
        <f>'12-03-15'!I18+E18+G18</f>
        <v>241.06000000000006</v>
      </c>
      <c r="J18" s="33">
        <f t="shared" si="4"/>
        <v>6669.619999999998</v>
      </c>
      <c r="K18" s="33">
        <f t="shared" si="5"/>
        <v>9392.380000000001</v>
      </c>
      <c r="L18" s="33">
        <f>C18-(J18/12.2*26.2)</f>
        <v>1738.7177049180373</v>
      </c>
      <c r="M18" s="42"/>
      <c r="N18" s="60"/>
    </row>
    <row r="19" spans="1:14" ht="24.75" customHeight="1">
      <c r="A19" s="75" t="s">
        <v>37</v>
      </c>
      <c r="B19" s="76"/>
      <c r="C19" s="49">
        <f>SUM(C16:C18)</f>
        <v>36675</v>
      </c>
      <c r="D19" s="49">
        <f aca="true" t="shared" si="6" ref="D19:L19">SUM(D16:D18)</f>
        <v>483.94999999999993</v>
      </c>
      <c r="E19" s="49">
        <f t="shared" si="6"/>
        <v>12.57</v>
      </c>
      <c r="F19" s="49">
        <f t="shared" si="6"/>
        <v>658.45</v>
      </c>
      <c r="G19" s="49">
        <f t="shared" si="6"/>
        <v>35.55</v>
      </c>
      <c r="H19" s="49">
        <f t="shared" si="6"/>
        <v>10972.729999999996</v>
      </c>
      <c r="I19" s="49">
        <f t="shared" si="6"/>
        <v>374.70000000000005</v>
      </c>
      <c r="J19" s="49">
        <f t="shared" si="6"/>
        <v>11347.429999999997</v>
      </c>
      <c r="K19" s="49">
        <f t="shared" si="6"/>
        <v>25327.570000000003</v>
      </c>
      <c r="L19" s="49">
        <f t="shared" si="6"/>
        <v>12305.929016393447</v>
      </c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28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38"/>
      <c r="N21" s="41"/>
    </row>
    <row r="22" spans="1:14" s="44" customFormat="1" ht="11.25" customHeight="1">
      <c r="A22" s="31" t="s">
        <v>21</v>
      </c>
      <c r="B22" s="32">
        <v>55090100</v>
      </c>
      <c r="C22" s="33">
        <v>26923</v>
      </c>
      <c r="D22" s="33">
        <v>325.44</v>
      </c>
      <c r="E22" s="33">
        <v>8.46</v>
      </c>
      <c r="F22" s="33">
        <v>361.6</v>
      </c>
      <c r="G22" s="33">
        <v>19.52</v>
      </c>
      <c r="H22" s="33">
        <f>'12-03-15'!H22+D22+F22</f>
        <v>18662.539999999997</v>
      </c>
      <c r="I22" s="33">
        <f>'12-03-15'!I22+E22+G22</f>
        <v>824.7799999999999</v>
      </c>
      <c r="J22" s="33">
        <f t="shared" si="4"/>
        <v>19487.319999999996</v>
      </c>
      <c r="K22" s="33">
        <f t="shared" si="5"/>
        <v>7435.680000000004</v>
      </c>
      <c r="L22" s="33">
        <f>C22-(J22/12.2*26.2)</f>
        <v>-14926.818360655729</v>
      </c>
      <c r="M22" s="42"/>
      <c r="N22" s="60"/>
    </row>
    <row r="23" spans="1:14" s="44" customFormat="1" ht="11.25" customHeight="1">
      <c r="A23" s="31" t="s">
        <v>22</v>
      </c>
      <c r="B23" s="32">
        <v>55100100</v>
      </c>
      <c r="C23" s="33">
        <v>2026</v>
      </c>
      <c r="D23" s="33">
        <v>0</v>
      </c>
      <c r="E23" s="33">
        <v>0</v>
      </c>
      <c r="F23" s="33">
        <v>0</v>
      </c>
      <c r="G23" s="33">
        <v>0</v>
      </c>
      <c r="H23" s="33">
        <f>'12-03-15'!H23+D23+F23</f>
        <v>388.72</v>
      </c>
      <c r="I23" s="33">
        <f>'12-03-15'!I23+E23+G23</f>
        <v>20.98</v>
      </c>
      <c r="J23" s="33">
        <f t="shared" si="4"/>
        <v>409.70000000000005</v>
      </c>
      <c r="K23" s="33">
        <f t="shared" si="5"/>
        <v>1616.3</v>
      </c>
      <c r="L23" s="33">
        <f>C23-(J23/12.2*26.2)</f>
        <v>1146.1524590163933</v>
      </c>
      <c r="M23" s="42"/>
      <c r="N23" s="60"/>
    </row>
    <row r="24" spans="1:14" ht="24.75" customHeight="1">
      <c r="A24" s="75" t="s">
        <v>38</v>
      </c>
      <c r="B24" s="76"/>
      <c r="C24" s="49">
        <f>SUM(C22:C23)</f>
        <v>28949</v>
      </c>
      <c r="D24" s="49">
        <f aca="true" t="shared" si="7" ref="D24:L24">SUM(D22:D23)</f>
        <v>325.44</v>
      </c>
      <c r="E24" s="49">
        <f t="shared" si="7"/>
        <v>8.46</v>
      </c>
      <c r="F24" s="49">
        <f t="shared" si="7"/>
        <v>361.6</v>
      </c>
      <c r="G24" s="49">
        <f t="shared" si="7"/>
        <v>19.52</v>
      </c>
      <c r="H24" s="49">
        <f t="shared" si="7"/>
        <v>19051.26</v>
      </c>
      <c r="I24" s="49">
        <f t="shared" si="7"/>
        <v>845.7599999999999</v>
      </c>
      <c r="J24" s="49">
        <f t="shared" si="7"/>
        <v>19897.019999999997</v>
      </c>
      <c r="K24" s="49">
        <f t="shared" si="7"/>
        <v>9051.980000000003</v>
      </c>
      <c r="L24" s="49">
        <f t="shared" si="7"/>
        <v>-13780.665901639335</v>
      </c>
      <c r="M24" s="38"/>
      <c r="N24" s="41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4" ht="11.2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8"/>
      <c r="N26" s="39"/>
    </row>
    <row r="27" spans="1:13" s="44" customFormat="1" ht="11.25" customHeight="1">
      <c r="A27" s="31" t="s">
        <v>26</v>
      </c>
      <c r="B27" s="32">
        <v>55130100</v>
      </c>
      <c r="C27" s="33">
        <v>4523</v>
      </c>
      <c r="D27" s="33">
        <v>73.83</v>
      </c>
      <c r="E27" s="33">
        <v>1.91</v>
      </c>
      <c r="F27" s="33">
        <v>0</v>
      </c>
      <c r="G27" s="33">
        <v>0</v>
      </c>
      <c r="H27" s="33">
        <f>'12-03-15'!H27+D27+F27</f>
        <v>1569.15</v>
      </c>
      <c r="I27" s="33">
        <f>'12-03-15'!I27+E27+G27</f>
        <v>40.699999999999996</v>
      </c>
      <c r="J27" s="33">
        <f>H27+I27</f>
        <v>1609.8500000000001</v>
      </c>
      <c r="K27" s="33">
        <f>C27-J27</f>
        <v>2913.1499999999996</v>
      </c>
      <c r="L27" s="33">
        <f>C27-(J27/12.2*26.2)</f>
        <v>1065.781147540983</v>
      </c>
      <c r="M27" s="45"/>
    </row>
    <row r="28" spans="1:13" s="44" customFormat="1" ht="11.25" customHeight="1">
      <c r="A28" s="31" t="s">
        <v>30</v>
      </c>
      <c r="B28" s="32">
        <v>55140100</v>
      </c>
      <c r="C28" s="33">
        <v>2995</v>
      </c>
      <c r="D28" s="33">
        <v>0</v>
      </c>
      <c r="E28" s="33">
        <v>0</v>
      </c>
      <c r="F28" s="33">
        <v>196.88</v>
      </c>
      <c r="G28" s="33">
        <v>10.63</v>
      </c>
      <c r="H28" s="33">
        <f>'12-03-15'!H28+D28+F28</f>
        <v>1823.2800000000002</v>
      </c>
      <c r="I28" s="33">
        <f>'12-03-15'!I28+E28+G28</f>
        <v>98.35</v>
      </c>
      <c r="J28" s="33">
        <f>H28+I28</f>
        <v>1921.63</v>
      </c>
      <c r="K28" s="33">
        <f>C28-J28</f>
        <v>1073.37</v>
      </c>
      <c r="L28" s="33">
        <f>C28-(J28/12.2*26.2)</f>
        <v>-1131.7791803278687</v>
      </c>
      <c r="M28" s="45"/>
    </row>
    <row r="29" spans="1:14" s="44" customFormat="1" ht="24.75" customHeight="1">
      <c r="A29" s="75" t="s">
        <v>39</v>
      </c>
      <c r="B29" s="76"/>
      <c r="C29" s="49">
        <f aca="true" t="shared" si="8" ref="C29:L29">SUM(C27:C28)</f>
        <v>7518</v>
      </c>
      <c r="D29" s="49">
        <f t="shared" si="8"/>
        <v>73.83</v>
      </c>
      <c r="E29" s="49">
        <f t="shared" si="8"/>
        <v>1.91</v>
      </c>
      <c r="F29" s="49">
        <f t="shared" si="8"/>
        <v>196.88</v>
      </c>
      <c r="G29" s="49">
        <f t="shared" si="8"/>
        <v>10.63</v>
      </c>
      <c r="H29" s="49">
        <f t="shared" si="8"/>
        <v>3392.4300000000003</v>
      </c>
      <c r="I29" s="49">
        <f t="shared" si="8"/>
        <v>139.04999999999998</v>
      </c>
      <c r="J29" s="49">
        <f t="shared" si="8"/>
        <v>3531.4800000000005</v>
      </c>
      <c r="K29" s="49">
        <f t="shared" si="8"/>
        <v>3986.5199999999995</v>
      </c>
      <c r="L29" s="49">
        <f t="shared" si="8"/>
        <v>-65.99803278688569</v>
      </c>
      <c r="M29" s="42"/>
      <c r="N29" s="43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8"/>
      <c r="N31" s="39"/>
    </row>
    <row r="32" spans="1:14" s="44" customFormat="1" ht="11.25" customHeight="1">
      <c r="A32" s="31" t="s">
        <v>34</v>
      </c>
      <c r="B32" s="32">
        <v>55010000</v>
      </c>
      <c r="C32" s="33">
        <f>24725-15347</f>
        <v>9378</v>
      </c>
      <c r="D32" s="33">
        <v>0</v>
      </c>
      <c r="E32" s="33">
        <v>0</v>
      </c>
      <c r="F32" s="33">
        <v>0</v>
      </c>
      <c r="G32" s="33">
        <v>0</v>
      </c>
      <c r="H32" s="33">
        <f>'12-03-15'!H32+D32+F32</f>
        <v>0</v>
      </c>
      <c r="I32" s="33">
        <f>'12-03-15'!I32+E32+G32</f>
        <v>0</v>
      </c>
      <c r="J32" s="33">
        <f aca="true" t="shared" si="9" ref="J32:J37">H32+I32</f>
        <v>0</v>
      </c>
      <c r="K32" s="33">
        <f aca="true" t="shared" si="10" ref="K32:K37">C32-J32</f>
        <v>9378</v>
      </c>
      <c r="L32" s="33">
        <f aca="true" t="shared" si="11" ref="L32:L37">C32-(J32/12.2*26.2)</f>
        <v>9378</v>
      </c>
      <c r="M32" s="42"/>
      <c r="N32" s="43"/>
    </row>
    <row r="33" spans="1:13" s="44" customFormat="1" ht="11.25" customHeight="1">
      <c r="A33" s="31" t="s">
        <v>31</v>
      </c>
      <c r="B33" s="32">
        <v>55080500</v>
      </c>
      <c r="C33" s="33">
        <v>10000</v>
      </c>
      <c r="D33" s="33">
        <v>396.96</v>
      </c>
      <c r="E33" s="33">
        <v>10.32</v>
      </c>
      <c r="F33" s="33">
        <v>0</v>
      </c>
      <c r="G33" s="33">
        <v>0</v>
      </c>
      <c r="H33" s="33">
        <f>'12-03-15'!H33+D33+F33</f>
        <v>2577.52</v>
      </c>
      <c r="I33" s="33">
        <f>'12-03-15'!I33+E33+G33</f>
        <v>70.62</v>
      </c>
      <c r="J33" s="33">
        <f t="shared" si="9"/>
        <v>2648.14</v>
      </c>
      <c r="K33" s="33">
        <f t="shared" si="10"/>
        <v>7351.860000000001</v>
      </c>
      <c r="L33" s="33">
        <f t="shared" si="11"/>
        <v>4313.010819672131</v>
      </c>
      <c r="M33" s="45"/>
    </row>
    <row r="34" spans="1:13" s="44" customFormat="1" ht="11.25" customHeight="1">
      <c r="A34" s="31" t="s">
        <v>32</v>
      </c>
      <c r="B34" s="32">
        <v>55050300</v>
      </c>
      <c r="C34" s="33">
        <v>15347</v>
      </c>
      <c r="D34" s="33">
        <v>0</v>
      </c>
      <c r="E34" s="33">
        <v>0</v>
      </c>
      <c r="F34" s="33">
        <v>1008</v>
      </c>
      <c r="G34" s="33">
        <v>54.43</v>
      </c>
      <c r="H34" s="33">
        <f>'12-03-15'!H34+D34+F34</f>
        <v>9989</v>
      </c>
      <c r="I34" s="33">
        <f>'12-03-15'!I34+E34+G34</f>
        <v>539.3399999999999</v>
      </c>
      <c r="J34" s="33">
        <f t="shared" si="9"/>
        <v>10528.34</v>
      </c>
      <c r="K34" s="33">
        <f t="shared" si="10"/>
        <v>4818.66</v>
      </c>
      <c r="L34" s="33">
        <f t="shared" si="11"/>
        <v>-7263.041639344265</v>
      </c>
      <c r="M34" s="45"/>
    </row>
    <row r="35" spans="1:13" s="44" customFormat="1" ht="11.25" customHeight="1">
      <c r="A35" s="31" t="s">
        <v>43</v>
      </c>
      <c r="B35" s="32">
        <v>55160300</v>
      </c>
      <c r="C35" s="33">
        <v>43385.81</v>
      </c>
      <c r="D35" s="33">
        <v>0</v>
      </c>
      <c r="E35" s="33">
        <v>0</v>
      </c>
      <c r="F35" s="33">
        <v>3154.25</v>
      </c>
      <c r="G35" s="33">
        <v>170.32</v>
      </c>
      <c r="H35" s="33">
        <f>'12-03-15'!H35+D35+F35</f>
        <v>38481.87</v>
      </c>
      <c r="I35" s="33">
        <f>'12-03-15'!I35+E35+G35</f>
        <v>2077.9099999999994</v>
      </c>
      <c r="J35" s="33">
        <f t="shared" si="9"/>
        <v>40559.78</v>
      </c>
      <c r="K35" s="33">
        <f t="shared" si="10"/>
        <v>2826.029999999999</v>
      </c>
      <c r="L35" s="33">
        <f t="shared" si="11"/>
        <v>-43717.97983606557</v>
      </c>
      <c r="M35" s="45"/>
    </row>
    <row r="36" spans="1:13" s="44" customFormat="1" ht="11.25" customHeight="1" hidden="1">
      <c r="A36" s="31" t="s">
        <v>47</v>
      </c>
      <c r="B36" s="32">
        <v>55010100</v>
      </c>
      <c r="C36" s="33"/>
      <c r="D36" s="33"/>
      <c r="E36" s="33"/>
      <c r="F36" s="33"/>
      <c r="G36" s="33"/>
      <c r="H36" s="33">
        <f>'12-03-15'!H36+D36+F36</f>
        <v>-64.2</v>
      </c>
      <c r="I36" s="33">
        <f>'12-03-15'!I36+E36+G36</f>
        <v>-1.67</v>
      </c>
      <c r="J36" s="33">
        <f t="shared" si="9"/>
        <v>-65.87</v>
      </c>
      <c r="K36" s="33">
        <f t="shared" si="10"/>
        <v>65.87</v>
      </c>
      <c r="L36" s="33">
        <f t="shared" si="11"/>
        <v>141.45852459016396</v>
      </c>
      <c r="M36" s="45"/>
    </row>
    <row r="37" spans="1:13" s="44" customFormat="1" ht="11.25" customHeight="1">
      <c r="A37" s="31" t="s">
        <v>48</v>
      </c>
      <c r="B37" s="32" t="s">
        <v>49</v>
      </c>
      <c r="C37" s="33">
        <v>4086</v>
      </c>
      <c r="D37" s="33">
        <v>0</v>
      </c>
      <c r="E37" s="33">
        <v>0</v>
      </c>
      <c r="F37" s="33">
        <v>0</v>
      </c>
      <c r="G37" s="33">
        <v>0</v>
      </c>
      <c r="H37" s="33">
        <f>'12-03-15'!H37+D37+F37</f>
        <v>0</v>
      </c>
      <c r="I37" s="33">
        <f>'12-03-15'!I37+E37+G37</f>
        <v>0</v>
      </c>
      <c r="J37" s="33">
        <f t="shared" si="9"/>
        <v>0</v>
      </c>
      <c r="K37" s="33">
        <f t="shared" si="10"/>
        <v>4086</v>
      </c>
      <c r="L37" s="33">
        <f t="shared" si="11"/>
        <v>4086</v>
      </c>
      <c r="M37" s="45"/>
    </row>
    <row r="38" spans="1:14" ht="24.75" customHeight="1">
      <c r="A38" s="75" t="s">
        <v>40</v>
      </c>
      <c r="B38" s="76"/>
      <c r="C38" s="49">
        <f>SUM(C32:C37)</f>
        <v>82196.81</v>
      </c>
      <c r="D38" s="49">
        <f aca="true" t="shared" si="12" ref="D38:L38">SUM(D32:D37)</f>
        <v>396.96</v>
      </c>
      <c r="E38" s="49">
        <f t="shared" si="12"/>
        <v>10.32</v>
      </c>
      <c r="F38" s="49">
        <f t="shared" si="12"/>
        <v>4162.25</v>
      </c>
      <c r="G38" s="49">
        <f t="shared" si="12"/>
        <v>224.75</v>
      </c>
      <c r="H38" s="49">
        <f t="shared" si="12"/>
        <v>50984.19</v>
      </c>
      <c r="I38" s="49">
        <f t="shared" si="12"/>
        <v>2686.1999999999994</v>
      </c>
      <c r="J38" s="49">
        <f t="shared" si="12"/>
        <v>53670.38999999999</v>
      </c>
      <c r="K38" s="49">
        <f t="shared" si="12"/>
        <v>28526.42</v>
      </c>
      <c r="L38" s="49">
        <f t="shared" si="12"/>
        <v>-33062.55213114754</v>
      </c>
      <c r="M38" s="38"/>
      <c r="N38" s="39"/>
    </row>
    <row r="39" spans="1:14" ht="11.25" customHeight="1">
      <c r="A39" s="28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8"/>
      <c r="N39" s="39"/>
    </row>
    <row r="40" spans="1:14" ht="11.25" customHeight="1">
      <c r="A40" s="28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8"/>
      <c r="N40" s="39"/>
    </row>
    <row r="41" spans="1:14" ht="24.75" customHeight="1">
      <c r="A41" s="76" t="s">
        <v>42</v>
      </c>
      <c r="B41" s="76"/>
      <c r="C41" s="49">
        <f>C13+C19+C24+C29+C38</f>
        <v>356686.81</v>
      </c>
      <c r="D41" s="49">
        <f aca="true" t="shared" si="13" ref="D41:L41">D13+D19+D24+D29+D38</f>
        <v>6026.569999999999</v>
      </c>
      <c r="E41" s="49">
        <f t="shared" si="13"/>
        <v>156.62</v>
      </c>
      <c r="F41" s="49">
        <f t="shared" si="13"/>
        <v>6978.18</v>
      </c>
      <c r="G41" s="49">
        <f t="shared" si="13"/>
        <v>376.78</v>
      </c>
      <c r="H41" s="49">
        <f t="shared" si="13"/>
        <v>163442.81</v>
      </c>
      <c r="I41" s="49">
        <f t="shared" si="13"/>
        <v>6614.12</v>
      </c>
      <c r="J41" s="49">
        <f t="shared" si="13"/>
        <v>170056.93</v>
      </c>
      <c r="K41" s="49">
        <f t="shared" si="13"/>
        <v>186629.88</v>
      </c>
      <c r="L41" s="49">
        <f t="shared" si="13"/>
        <v>-8517.416721311478</v>
      </c>
      <c r="M41" s="38"/>
      <c r="N41" s="39"/>
    </row>
    <row r="42" spans="1:14" ht="11.25" customHeight="1">
      <c r="A42" s="54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38"/>
      <c r="N42" s="39"/>
    </row>
    <row r="43" spans="1:14" ht="11.25" customHeight="1">
      <c r="A43" s="54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38"/>
      <c r="N43" s="39"/>
    </row>
    <row r="44" spans="1:14" s="44" customFormat="1" ht="12" customHeight="1">
      <c r="A44" s="31" t="s">
        <v>27</v>
      </c>
      <c r="B44" s="31" t="s">
        <v>28</v>
      </c>
      <c r="C44" s="33">
        <v>61829</v>
      </c>
      <c r="D44" s="33">
        <v>1392.97</v>
      </c>
      <c r="E44" s="33">
        <v>36.21</v>
      </c>
      <c r="F44" s="33">
        <v>0</v>
      </c>
      <c r="G44" s="33">
        <v>0</v>
      </c>
      <c r="H44" s="33">
        <f>'12-03-15'!H44+D44+F44</f>
        <v>23958.969999999998</v>
      </c>
      <c r="I44" s="33">
        <f>'12-03-15'!I44+E44+G44</f>
        <v>798.6800000000001</v>
      </c>
      <c r="J44" s="33">
        <f>H44+I44</f>
        <v>24757.649999999998</v>
      </c>
      <c r="K44" s="33">
        <f>C44-J44</f>
        <v>37071.350000000006</v>
      </c>
      <c r="L44" s="33">
        <f>C44-(J44/12.2*26.2)</f>
        <v>8660.931967213117</v>
      </c>
      <c r="M44" s="42"/>
      <c r="N44" s="43"/>
    </row>
    <row r="45" spans="1:14" ht="12" customHeight="1">
      <c r="A45" s="6"/>
      <c r="B45" s="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38"/>
      <c r="N45" s="39"/>
    </row>
    <row r="46" spans="1:14" ht="12" customHeight="1">
      <c r="A46" s="6" t="s">
        <v>29</v>
      </c>
      <c r="B46" s="6" t="s">
        <v>35</v>
      </c>
      <c r="C46" s="27">
        <v>15000</v>
      </c>
      <c r="D46" s="27">
        <v>0</v>
      </c>
      <c r="E46" s="27">
        <v>0</v>
      </c>
      <c r="F46" s="27">
        <v>620.08</v>
      </c>
      <c r="G46" s="27">
        <v>33.48</v>
      </c>
      <c r="H46" s="33">
        <f>'12-03-15'!H46+D46+F46</f>
        <v>7606.169999999999</v>
      </c>
      <c r="I46" s="33">
        <f>'12-03-15'!I46+E46+G46</f>
        <v>410.67</v>
      </c>
      <c r="J46" s="27">
        <f>H46+I46</f>
        <v>8016.839999999999</v>
      </c>
      <c r="K46" s="27">
        <f>C46-J46</f>
        <v>6983.160000000001</v>
      </c>
      <c r="L46" s="33">
        <f>C46-(J46/12.2*26.2)</f>
        <v>-2216.4924590163937</v>
      </c>
      <c r="M46" s="38"/>
      <c r="N46" s="39"/>
    </row>
    <row r="47" spans="1:14" ht="12" customHeight="1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38"/>
      <c r="N47" s="39"/>
    </row>
    <row r="48" spans="1:14" ht="12" customHeight="1">
      <c r="A48" s="50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38"/>
      <c r="N48" s="39"/>
    </row>
    <row r="49" spans="1:14" ht="24.75" customHeight="1">
      <c r="A49" s="51" t="s">
        <v>41</v>
      </c>
      <c r="B49" s="52"/>
      <c r="C49" s="53">
        <f>C44+C46</f>
        <v>76829</v>
      </c>
      <c r="D49" s="53">
        <f aca="true" t="shared" si="14" ref="D49:L49">D44+D46</f>
        <v>1392.97</v>
      </c>
      <c r="E49" s="53">
        <f t="shared" si="14"/>
        <v>36.21</v>
      </c>
      <c r="F49" s="53">
        <f t="shared" si="14"/>
        <v>620.08</v>
      </c>
      <c r="G49" s="53">
        <f t="shared" si="14"/>
        <v>33.48</v>
      </c>
      <c r="H49" s="53">
        <f t="shared" si="14"/>
        <v>31565.139999999996</v>
      </c>
      <c r="I49" s="53">
        <f t="shared" si="14"/>
        <v>1209.3500000000001</v>
      </c>
      <c r="J49" s="53">
        <f t="shared" si="14"/>
        <v>32774.49</v>
      </c>
      <c r="K49" s="53">
        <f t="shared" si="14"/>
        <v>44054.51000000001</v>
      </c>
      <c r="L49" s="53">
        <f t="shared" si="14"/>
        <v>6444.439508196723</v>
      </c>
      <c r="M49" s="38"/>
      <c r="N49" s="12"/>
    </row>
    <row r="50" spans="1:14" ht="24" customHeight="1">
      <c r="A50" s="9"/>
      <c r="B50" s="10"/>
      <c r="C50" s="11"/>
      <c r="H50" s="11"/>
      <c r="I50" s="11"/>
      <c r="J50" s="11"/>
      <c r="K50" s="11"/>
      <c r="L50" s="11"/>
      <c r="M50" s="38"/>
      <c r="N50" s="12"/>
    </row>
    <row r="51" spans="1:14" ht="33.75">
      <c r="A51" s="57" t="s">
        <v>44</v>
      </c>
      <c r="B51" s="58">
        <v>43385.81</v>
      </c>
      <c r="C51" s="13"/>
      <c r="D51" s="13"/>
      <c r="E51" s="13"/>
      <c r="F51" s="13"/>
      <c r="G51" s="13"/>
      <c r="H51" s="46"/>
      <c r="I51" s="46"/>
      <c r="J51" s="46"/>
      <c r="K51" s="46"/>
      <c r="L51" s="46"/>
      <c r="M51" s="38"/>
      <c r="N51" s="12"/>
    </row>
    <row r="52" spans="1:14" ht="33.75">
      <c r="A52" s="9" t="s">
        <v>45</v>
      </c>
      <c r="B52" s="58">
        <v>10000</v>
      </c>
      <c r="C52" s="16"/>
      <c r="D52" s="11"/>
      <c r="E52" s="11"/>
      <c r="F52" s="11"/>
      <c r="G52" s="11"/>
      <c r="H52" s="11"/>
      <c r="I52" s="2"/>
      <c r="J52" s="11"/>
      <c r="K52" s="11"/>
      <c r="L52" s="11"/>
      <c r="M52" s="38"/>
      <c r="N52" s="12"/>
    </row>
    <row r="53" spans="1:14" ht="22.5">
      <c r="A53" s="14" t="s">
        <v>46</v>
      </c>
      <c r="B53" s="58">
        <v>15347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2"/>
    </row>
    <row r="54" spans="1:14" ht="33.75">
      <c r="A54" s="14" t="s">
        <v>50</v>
      </c>
      <c r="B54" s="58">
        <v>5000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7"/>
    </row>
    <row r="55" spans="1:14" ht="15">
      <c r="A55" s="14"/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  <c r="N55" s="12"/>
    </row>
    <row r="56" spans="1:14" ht="22.5" customHeight="1">
      <c r="A56" s="14"/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  <c r="N56" s="12"/>
    </row>
    <row r="57" spans="1:14" ht="15">
      <c r="A57" s="18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N57" s="12"/>
    </row>
    <row r="58" spans="1:14" ht="15" customHeight="1">
      <c r="A58" s="18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 customHeight="1">
      <c r="A59" s="19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9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15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25.5" customHeight="1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15" customHeight="1">
      <c r="A64" s="18"/>
      <c r="B64" s="10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12"/>
    </row>
    <row r="65" spans="1:14" ht="15" customHeight="1">
      <c r="A65" s="20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12"/>
    </row>
    <row r="66" spans="1:14" ht="15" customHeight="1">
      <c r="A66" s="22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3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5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7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47"/>
      <c r="N72" s="24"/>
    </row>
    <row r="73" spans="1:14" ht="11.25" customHeight="1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N73" s="24"/>
    </row>
    <row r="74" spans="1:13" ht="15">
      <c r="A74" s="22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36"/>
    </row>
    <row r="75" spans="1:13" ht="15">
      <c r="A75" s="22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36"/>
    </row>
    <row r="76" spans="1:12" ht="15">
      <c r="A76" s="22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4" s="35" customFormat="1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  <c r="N82" s="36"/>
    </row>
    <row r="83" spans="1:12" ht="15">
      <c r="A83" s="24"/>
      <c r="B83" s="24"/>
      <c r="C83" s="48"/>
      <c r="D83" s="48"/>
      <c r="E83" s="48"/>
      <c r="F83" s="48"/>
      <c r="G83" s="48"/>
      <c r="H83" s="48"/>
      <c r="I83" s="48"/>
      <c r="J83" s="48"/>
      <c r="K83" s="48"/>
      <c r="L83" s="48"/>
    </row>
  </sheetData>
  <sheetProtection/>
  <mergeCells count="6">
    <mergeCell ref="A13:B13"/>
    <mergeCell ref="A19:B19"/>
    <mergeCell ref="A24:B24"/>
    <mergeCell ref="A29:B29"/>
    <mergeCell ref="A38:B38"/>
    <mergeCell ref="A41:B4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4" sqref="K4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8.14062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s="44" customFormat="1" ht="11.25" customHeight="1">
      <c r="A3" s="31" t="s">
        <v>11</v>
      </c>
      <c r="B3" s="32">
        <v>55010500</v>
      </c>
      <c r="C3" s="33">
        <f>9670-5000</f>
        <v>4670</v>
      </c>
      <c r="D3" s="33">
        <v>0</v>
      </c>
      <c r="E3" s="33">
        <v>0</v>
      </c>
      <c r="F3" s="33">
        <v>0</v>
      </c>
      <c r="G3" s="33">
        <v>0</v>
      </c>
      <c r="H3" s="33">
        <f>'12-17-15'!H3+D3+F3</f>
        <v>604.8</v>
      </c>
      <c r="I3" s="33">
        <f>'12-17-15'!I3+E3+G3</f>
        <v>32.629999999999995</v>
      </c>
      <c r="J3" s="33">
        <f>H3+I3</f>
        <v>637.43</v>
      </c>
      <c r="K3" s="33">
        <f>C3-J3</f>
        <v>4032.57</v>
      </c>
      <c r="L3" s="33">
        <f>C3-(J3/13.2*26.2)</f>
        <v>3404.7980303030304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v>32649</v>
      </c>
      <c r="D4" s="33">
        <v>21.72</v>
      </c>
      <c r="E4" s="33">
        <v>0.56</v>
      </c>
      <c r="F4" s="33">
        <v>0</v>
      </c>
      <c r="G4" s="33">
        <v>0</v>
      </c>
      <c r="H4" s="33">
        <f>'12-17-15'!H4+D4+F4</f>
        <v>5382.44</v>
      </c>
      <c r="I4" s="33">
        <f>'12-17-15'!I4+E4+G4</f>
        <v>208.88000000000002</v>
      </c>
      <c r="J4" s="33">
        <f>H4+I4</f>
        <v>5591.32</v>
      </c>
      <c r="K4" s="33">
        <f>C4-J4</f>
        <v>27057.68</v>
      </c>
      <c r="L4" s="33">
        <f aca="true" t="shared" si="0" ref="L4:L12">C4-(J4/13.2*26.2)</f>
        <v>21551.076969696973</v>
      </c>
      <c r="M4" s="45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0</v>
      </c>
      <c r="E5" s="33">
        <v>0</v>
      </c>
      <c r="F5" s="33">
        <v>0</v>
      </c>
      <c r="G5" s="33">
        <v>0</v>
      </c>
      <c r="H5" s="33">
        <f>'12-17-15'!H5+D5+F5</f>
        <v>5701.77</v>
      </c>
      <c r="I5" s="33">
        <f>'12-17-15'!I5+E5+G5</f>
        <v>148.14000000000001</v>
      </c>
      <c r="J5" s="33">
        <f aca="true" t="shared" si="1" ref="J5:J11">H5+I5</f>
        <v>5849.910000000001</v>
      </c>
      <c r="K5" s="33">
        <f aca="true" t="shared" si="2" ref="K5:K11">C5-J5</f>
        <v>12124.09</v>
      </c>
      <c r="L5" s="33">
        <f t="shared" si="0"/>
        <v>6362.814999999999</v>
      </c>
      <c r="M5" s="45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91.95</v>
      </c>
      <c r="E6" s="33">
        <v>2.38</v>
      </c>
      <c r="F6" s="33">
        <v>0</v>
      </c>
      <c r="G6" s="33">
        <v>0</v>
      </c>
      <c r="H6" s="33">
        <f>'12-17-15'!H6+D6+F6</f>
        <v>5379.1900000000005</v>
      </c>
      <c r="I6" s="33">
        <f>'12-17-15'!I6+E6+G6</f>
        <v>139.66</v>
      </c>
      <c r="J6" s="33">
        <f>H6+I6</f>
        <v>5518.85</v>
      </c>
      <c r="K6" s="33">
        <f t="shared" si="2"/>
        <v>12455.15</v>
      </c>
      <c r="L6" s="33">
        <f t="shared" si="0"/>
        <v>7019.91893939394</v>
      </c>
      <c r="M6" s="45"/>
      <c r="N6" s="61"/>
    </row>
    <row r="7" spans="1:13" s="44" customFormat="1" ht="11.25" customHeight="1">
      <c r="A7" s="31" t="s">
        <v>15</v>
      </c>
      <c r="B7" s="32">
        <v>55030200</v>
      </c>
      <c r="C7" s="33">
        <v>24330</v>
      </c>
      <c r="D7" s="33">
        <v>323.4</v>
      </c>
      <c r="E7" s="33">
        <v>8.4</v>
      </c>
      <c r="F7" s="33">
        <v>0</v>
      </c>
      <c r="G7" s="33">
        <v>0</v>
      </c>
      <c r="H7" s="33">
        <f>'12-17-15'!H7+D7+F7</f>
        <v>10164.41</v>
      </c>
      <c r="I7" s="33">
        <f>'12-17-15'!I7+E7+G7</f>
        <v>264.17</v>
      </c>
      <c r="J7" s="33">
        <f t="shared" si="1"/>
        <v>10428.58</v>
      </c>
      <c r="K7" s="33">
        <f t="shared" si="2"/>
        <v>13901.42</v>
      </c>
      <c r="L7" s="33">
        <f t="shared" si="0"/>
        <v>3630.8487878787855</v>
      </c>
      <c r="M7" s="45"/>
    </row>
    <row r="8" spans="1:13" s="44" customFormat="1" ht="11.25" customHeight="1">
      <c r="A8" s="31" t="s">
        <v>16</v>
      </c>
      <c r="B8" s="32">
        <v>55050200</v>
      </c>
      <c r="C8" s="33">
        <f>29837</f>
        <v>29837</v>
      </c>
      <c r="D8" s="33">
        <v>200.49</v>
      </c>
      <c r="E8" s="33">
        <v>5.21</v>
      </c>
      <c r="F8" s="33">
        <v>0</v>
      </c>
      <c r="G8" s="33">
        <v>0</v>
      </c>
      <c r="H8" s="33">
        <f>'12-17-15'!H8+D8+F8</f>
        <v>12510.52</v>
      </c>
      <c r="I8" s="33">
        <f>'12-17-15'!I8+E8+G8</f>
        <v>465.4699999999999</v>
      </c>
      <c r="J8" s="33">
        <f t="shared" si="1"/>
        <v>12975.99</v>
      </c>
      <c r="K8" s="33">
        <f t="shared" si="2"/>
        <v>16861.010000000002</v>
      </c>
      <c r="L8" s="33">
        <f t="shared" si="0"/>
        <v>4081.625909090908</v>
      </c>
      <c r="M8" s="45"/>
    </row>
    <row r="9" spans="1:13" s="44" customFormat="1" ht="11.25" customHeight="1">
      <c r="A9" s="31" t="s">
        <v>51</v>
      </c>
      <c r="B9" s="32">
        <v>55050400</v>
      </c>
      <c r="C9" s="33">
        <v>5000</v>
      </c>
      <c r="D9" s="33">
        <v>0</v>
      </c>
      <c r="E9" s="33">
        <v>0</v>
      </c>
      <c r="F9" s="33">
        <v>0</v>
      </c>
      <c r="G9" s="33">
        <v>0</v>
      </c>
      <c r="H9" s="33">
        <f>'12-17-15'!H9+D9+F9</f>
        <v>0</v>
      </c>
      <c r="I9" s="33">
        <f>'12-17-15'!I9+E9+G9</f>
        <v>0</v>
      </c>
      <c r="J9" s="33">
        <f t="shared" si="1"/>
        <v>0</v>
      </c>
      <c r="K9" s="33">
        <f t="shared" si="2"/>
        <v>5000</v>
      </c>
      <c r="L9" s="33">
        <f t="shared" si="0"/>
        <v>5000</v>
      </c>
      <c r="M9" s="45"/>
    </row>
    <row r="10" spans="1:13" s="44" customFormat="1" ht="11.25" customHeight="1">
      <c r="A10" s="31" t="s">
        <v>17</v>
      </c>
      <c r="B10" s="32">
        <v>55070100</v>
      </c>
      <c r="C10" s="33">
        <f>26873+10510+5358</f>
        <v>42741</v>
      </c>
      <c r="D10" s="33">
        <v>217.07</v>
      </c>
      <c r="E10" s="33">
        <v>5.64</v>
      </c>
      <c r="F10" s="33">
        <v>354</v>
      </c>
      <c r="G10" s="33">
        <v>19.11</v>
      </c>
      <c r="H10" s="33">
        <f>'12-17-15'!H10+D10+F10</f>
        <v>27513.329999999998</v>
      </c>
      <c r="I10" s="33">
        <f>'12-17-15'!I10+E10+G10</f>
        <v>955.6600000000001</v>
      </c>
      <c r="J10" s="33">
        <f t="shared" si="1"/>
        <v>28468.989999999998</v>
      </c>
      <c r="K10" s="33">
        <f t="shared" si="2"/>
        <v>14272.010000000002</v>
      </c>
      <c r="L10" s="33">
        <f t="shared" si="0"/>
        <v>-13765.631666666668</v>
      </c>
      <c r="M10" s="45"/>
    </row>
    <row r="11" spans="1:13" s="44" customFormat="1" ht="11.25" customHeight="1">
      <c r="A11" s="31" t="s">
        <v>18</v>
      </c>
      <c r="B11" s="32">
        <v>55070400</v>
      </c>
      <c r="C11" s="33">
        <v>3000</v>
      </c>
      <c r="D11" s="33">
        <v>0</v>
      </c>
      <c r="E11" s="33">
        <v>0</v>
      </c>
      <c r="F11" s="33">
        <v>0</v>
      </c>
      <c r="G11" s="33">
        <v>0</v>
      </c>
      <c r="H11" s="33">
        <f>'12-17-15'!H11+D11+F11</f>
        <v>0</v>
      </c>
      <c r="I11" s="33">
        <f>'12-17-15'!I11+E11+G11</f>
        <v>0</v>
      </c>
      <c r="J11" s="33">
        <f t="shared" si="1"/>
        <v>0</v>
      </c>
      <c r="K11" s="33">
        <f t="shared" si="2"/>
        <v>3000</v>
      </c>
      <c r="L11" s="33">
        <f t="shared" si="0"/>
        <v>3000</v>
      </c>
      <c r="M11" s="45"/>
    </row>
    <row r="12" spans="1:13" s="44" customFormat="1" ht="11.25" customHeight="1">
      <c r="A12" s="31" t="s">
        <v>20</v>
      </c>
      <c r="B12" s="32">
        <v>55080100</v>
      </c>
      <c r="C12" s="33">
        <v>23173</v>
      </c>
      <c r="D12" s="33">
        <v>52.86</v>
      </c>
      <c r="E12" s="33">
        <v>1.37</v>
      </c>
      <c r="F12" s="33">
        <v>92.51</v>
      </c>
      <c r="G12" s="33">
        <v>4.99</v>
      </c>
      <c r="H12" s="33">
        <f>'12-17-15'!H12+D12+F12</f>
        <v>13139.740000000002</v>
      </c>
      <c r="I12" s="33">
        <f>'12-17-15'!I12+E12+G12</f>
        <v>401.46000000000004</v>
      </c>
      <c r="J12" s="33">
        <f>H12+I12</f>
        <v>13541.2</v>
      </c>
      <c r="K12" s="33">
        <f>C12-J12</f>
        <v>9631.8</v>
      </c>
      <c r="L12" s="33">
        <f t="shared" si="0"/>
        <v>-3704.2303030303046</v>
      </c>
      <c r="M12" s="45"/>
    </row>
    <row r="13" spans="1:14" ht="24.75" customHeight="1">
      <c r="A13" s="75" t="s">
        <v>36</v>
      </c>
      <c r="B13" s="76"/>
      <c r="C13" s="49">
        <f>SUM(C3:C12)</f>
        <v>201348</v>
      </c>
      <c r="D13" s="49">
        <f aca="true" t="shared" si="3" ref="D13:L13">SUM(D3:D12)</f>
        <v>907.4899999999999</v>
      </c>
      <c r="E13" s="49">
        <f t="shared" si="3"/>
        <v>23.560000000000002</v>
      </c>
      <c r="F13" s="49">
        <f t="shared" si="3"/>
        <v>446.51</v>
      </c>
      <c r="G13" s="49">
        <f t="shared" si="3"/>
        <v>24.1</v>
      </c>
      <c r="H13" s="49">
        <f t="shared" si="3"/>
        <v>80396.20000000001</v>
      </c>
      <c r="I13" s="49">
        <f t="shared" si="3"/>
        <v>2616.0699999999997</v>
      </c>
      <c r="J13" s="49">
        <f t="shared" si="3"/>
        <v>83012.27</v>
      </c>
      <c r="K13" s="49">
        <f t="shared" si="3"/>
        <v>118335.73000000003</v>
      </c>
      <c r="L13" s="49">
        <f t="shared" si="3"/>
        <v>36581.221666666665</v>
      </c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28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38"/>
      <c r="N15" s="39"/>
    </row>
    <row r="16" spans="1:14" s="44" customFormat="1" ht="11.25" customHeight="1">
      <c r="A16" s="31" t="s">
        <v>19</v>
      </c>
      <c r="B16" s="32">
        <v>55030100</v>
      </c>
      <c r="C16" s="33">
        <v>13540</v>
      </c>
      <c r="D16" s="33">
        <v>22.57</v>
      </c>
      <c r="E16" s="33">
        <v>0.58</v>
      </c>
      <c r="F16" s="33">
        <v>0</v>
      </c>
      <c r="G16" s="33">
        <v>0</v>
      </c>
      <c r="H16" s="33">
        <f>'12-17-15'!H16+D16+F16</f>
        <v>4139.829999999999</v>
      </c>
      <c r="I16" s="33">
        <f>'12-17-15'!I16+E16+G16</f>
        <v>123.16999999999999</v>
      </c>
      <c r="J16" s="33">
        <f aca="true" t="shared" si="4" ref="J16:J23">H16+I16</f>
        <v>4262.999999999999</v>
      </c>
      <c r="K16" s="33">
        <f aca="true" t="shared" si="5" ref="K16:K23">C16-J16</f>
        <v>9277</v>
      </c>
      <c r="L16" s="33">
        <f>C16-(J16/13.2*26.2)</f>
        <v>5078.590909090912</v>
      </c>
      <c r="M16" s="42"/>
      <c r="N16" s="43"/>
    </row>
    <row r="17" spans="1:14" s="44" customFormat="1" ht="11.25" customHeight="1">
      <c r="A17" s="31" t="s">
        <v>33</v>
      </c>
      <c r="B17" s="32">
        <v>55110100</v>
      </c>
      <c r="C17" s="33">
        <v>7073</v>
      </c>
      <c r="D17" s="33">
        <v>0</v>
      </c>
      <c r="E17" s="33">
        <v>0</v>
      </c>
      <c r="F17" s="33">
        <v>0</v>
      </c>
      <c r="G17" s="33">
        <v>0</v>
      </c>
      <c r="H17" s="33">
        <f>'12-17-15'!H17+D17+F17</f>
        <v>426.9100000000001</v>
      </c>
      <c r="I17" s="33">
        <f>'12-17-15'!I17+E17+G17</f>
        <v>11.049999999999999</v>
      </c>
      <c r="J17" s="33">
        <f t="shared" si="4"/>
        <v>437.9600000000001</v>
      </c>
      <c r="K17" s="33">
        <f t="shared" si="5"/>
        <v>6635.04</v>
      </c>
      <c r="L17" s="33">
        <f>C17-(J17/13.2*26.2)</f>
        <v>6203.715757575757</v>
      </c>
      <c r="M17" s="42"/>
      <c r="N17" s="43"/>
    </row>
    <row r="18" spans="1:14" s="44" customFormat="1" ht="11.25" customHeight="1">
      <c r="A18" s="31" t="s">
        <v>23</v>
      </c>
      <c r="B18" s="32">
        <v>55160100</v>
      </c>
      <c r="C18" s="33">
        <v>16062</v>
      </c>
      <c r="D18" s="33">
        <v>189</v>
      </c>
      <c r="E18" s="33">
        <v>4.91</v>
      </c>
      <c r="F18" s="33">
        <v>0</v>
      </c>
      <c r="G18" s="33">
        <v>0</v>
      </c>
      <c r="H18" s="33">
        <f>'12-17-15'!H18+D18+F18</f>
        <v>6617.559999999998</v>
      </c>
      <c r="I18" s="33">
        <f>'12-17-15'!I18+E18+G18</f>
        <v>245.97000000000006</v>
      </c>
      <c r="J18" s="33">
        <f t="shared" si="4"/>
        <v>6863.529999999998</v>
      </c>
      <c r="K18" s="33">
        <f t="shared" si="5"/>
        <v>9198.470000000001</v>
      </c>
      <c r="L18" s="33">
        <f>C18-(J18/13.2*26.2)</f>
        <v>2438.932878787882</v>
      </c>
      <c r="M18" s="42"/>
      <c r="N18" s="60"/>
    </row>
    <row r="19" spans="1:14" ht="24.75" customHeight="1">
      <c r="A19" s="75" t="s">
        <v>37</v>
      </c>
      <c r="B19" s="76"/>
      <c r="C19" s="49">
        <f>SUM(C16:C18)</f>
        <v>36675</v>
      </c>
      <c r="D19" s="49">
        <f aca="true" t="shared" si="6" ref="D19:L19">SUM(D16:D18)</f>
        <v>211.57</v>
      </c>
      <c r="E19" s="49">
        <f t="shared" si="6"/>
        <v>5.49</v>
      </c>
      <c r="F19" s="49">
        <f t="shared" si="6"/>
        <v>0</v>
      </c>
      <c r="G19" s="49">
        <f t="shared" si="6"/>
        <v>0</v>
      </c>
      <c r="H19" s="49">
        <f t="shared" si="6"/>
        <v>11184.299999999996</v>
      </c>
      <c r="I19" s="49">
        <f t="shared" si="6"/>
        <v>380.19000000000005</v>
      </c>
      <c r="J19" s="49">
        <f t="shared" si="6"/>
        <v>11564.489999999998</v>
      </c>
      <c r="K19" s="49">
        <f t="shared" si="6"/>
        <v>25110.510000000002</v>
      </c>
      <c r="L19" s="49">
        <f t="shared" si="6"/>
        <v>13721.239545454551</v>
      </c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28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38"/>
      <c r="N21" s="41"/>
    </row>
    <row r="22" spans="1:14" s="44" customFormat="1" ht="11.25" customHeight="1">
      <c r="A22" s="31" t="s">
        <v>21</v>
      </c>
      <c r="B22" s="32">
        <v>55090100</v>
      </c>
      <c r="C22" s="33">
        <v>26923</v>
      </c>
      <c r="D22" s="33">
        <f>45.2+108.48</f>
        <v>153.68</v>
      </c>
      <c r="E22" s="33">
        <f>1.17+2.82</f>
        <v>3.9899999999999998</v>
      </c>
      <c r="F22" s="33">
        <v>483.64</v>
      </c>
      <c r="G22" s="33">
        <v>26.11</v>
      </c>
      <c r="H22" s="33">
        <f>'12-17-15'!H22+D22+F22</f>
        <v>19299.859999999997</v>
      </c>
      <c r="I22" s="33">
        <f>'12-17-15'!I22+E22+G22</f>
        <v>854.8799999999999</v>
      </c>
      <c r="J22" s="33">
        <f t="shared" si="4"/>
        <v>20154.739999999998</v>
      </c>
      <c r="K22" s="33">
        <f t="shared" si="5"/>
        <v>6768.260000000002</v>
      </c>
      <c r="L22" s="33">
        <f>C22-(J22/13.2*26.2)</f>
        <v>-13081.105151515148</v>
      </c>
      <c r="M22" s="42"/>
      <c r="N22" s="60"/>
    </row>
    <row r="23" spans="1:14" s="44" customFormat="1" ht="11.25" customHeight="1">
      <c r="A23" s="31" t="s">
        <v>22</v>
      </c>
      <c r="B23" s="32">
        <v>55100100</v>
      </c>
      <c r="C23" s="33">
        <v>2026</v>
      </c>
      <c r="D23" s="33">
        <v>0</v>
      </c>
      <c r="E23" s="33">
        <v>0</v>
      </c>
      <c r="F23" s="33">
        <v>0</v>
      </c>
      <c r="G23" s="33">
        <v>0</v>
      </c>
      <c r="H23" s="33">
        <f>'12-17-15'!H23+D23+F23</f>
        <v>388.72</v>
      </c>
      <c r="I23" s="33">
        <f>'12-17-15'!I23+E23+G23</f>
        <v>20.98</v>
      </c>
      <c r="J23" s="33">
        <f t="shared" si="4"/>
        <v>409.70000000000005</v>
      </c>
      <c r="K23" s="33">
        <f t="shared" si="5"/>
        <v>1616.3</v>
      </c>
      <c r="L23" s="33">
        <f>C23-(J23/13.2*26.2)</f>
        <v>1212.8075757575757</v>
      </c>
      <c r="M23" s="42"/>
      <c r="N23" s="60"/>
    </row>
    <row r="24" spans="1:14" ht="24.75" customHeight="1">
      <c r="A24" s="75" t="s">
        <v>38</v>
      </c>
      <c r="B24" s="76"/>
      <c r="C24" s="49">
        <f>SUM(C22:C23)</f>
        <v>28949</v>
      </c>
      <c r="D24" s="49">
        <f aca="true" t="shared" si="7" ref="D24:L24">SUM(D22:D23)</f>
        <v>153.68</v>
      </c>
      <c r="E24" s="49">
        <f t="shared" si="7"/>
        <v>3.9899999999999998</v>
      </c>
      <c r="F24" s="49">
        <f t="shared" si="7"/>
        <v>483.64</v>
      </c>
      <c r="G24" s="49">
        <f t="shared" si="7"/>
        <v>26.11</v>
      </c>
      <c r="H24" s="49">
        <f t="shared" si="7"/>
        <v>19688.579999999998</v>
      </c>
      <c r="I24" s="49">
        <f t="shared" si="7"/>
        <v>875.8599999999999</v>
      </c>
      <c r="J24" s="49">
        <f t="shared" si="7"/>
        <v>20564.44</v>
      </c>
      <c r="K24" s="49">
        <f t="shared" si="7"/>
        <v>8384.560000000001</v>
      </c>
      <c r="L24" s="49">
        <f t="shared" si="7"/>
        <v>-11868.297575757573</v>
      </c>
      <c r="M24" s="38"/>
      <c r="N24" s="41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4" ht="11.2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8"/>
      <c r="N26" s="39"/>
    </row>
    <row r="27" spans="1:13" s="44" customFormat="1" ht="11.25" customHeight="1">
      <c r="A27" s="31" t="s">
        <v>26</v>
      </c>
      <c r="B27" s="32">
        <v>55130100</v>
      </c>
      <c r="C27" s="33">
        <v>4523</v>
      </c>
      <c r="D27" s="33">
        <v>0</v>
      </c>
      <c r="E27" s="33">
        <v>0</v>
      </c>
      <c r="F27" s="33">
        <v>0</v>
      </c>
      <c r="G27" s="33">
        <v>0</v>
      </c>
      <c r="H27" s="33">
        <f>'12-17-15'!H27+D27+F27</f>
        <v>1569.15</v>
      </c>
      <c r="I27" s="33">
        <f>'12-17-15'!I27+E27+G27</f>
        <v>40.699999999999996</v>
      </c>
      <c r="J27" s="33">
        <f>H27+I27</f>
        <v>1609.8500000000001</v>
      </c>
      <c r="K27" s="33">
        <f>C27-J27</f>
        <v>2913.1499999999996</v>
      </c>
      <c r="L27" s="33">
        <f>C27-(J27/13.2*26.2)</f>
        <v>1327.6916666666662</v>
      </c>
      <c r="M27" s="45"/>
    </row>
    <row r="28" spans="1:13" s="44" customFormat="1" ht="11.25" customHeight="1">
      <c r="A28" s="31" t="s">
        <v>30</v>
      </c>
      <c r="B28" s="32">
        <v>55140100</v>
      </c>
      <c r="C28" s="33">
        <v>2995</v>
      </c>
      <c r="D28" s="33">
        <v>0</v>
      </c>
      <c r="E28" s="33">
        <v>0</v>
      </c>
      <c r="F28" s="33">
        <v>68.48</v>
      </c>
      <c r="G28" s="33">
        <v>3.69</v>
      </c>
      <c r="H28" s="33">
        <f>'12-17-15'!H28+D28+F28</f>
        <v>1891.7600000000002</v>
      </c>
      <c r="I28" s="33">
        <f>'12-17-15'!I28+E28+G28</f>
        <v>102.03999999999999</v>
      </c>
      <c r="J28" s="33">
        <f>H28+I28</f>
        <v>1993.8000000000002</v>
      </c>
      <c r="K28" s="33">
        <f>C28-J28</f>
        <v>1001.1999999999998</v>
      </c>
      <c r="L28" s="33">
        <f>C28-(J28/13.2*26.2)</f>
        <v>-962.3909090909092</v>
      </c>
      <c r="M28" s="45"/>
    </row>
    <row r="29" spans="1:14" s="44" customFormat="1" ht="24.75" customHeight="1">
      <c r="A29" s="75" t="s">
        <v>39</v>
      </c>
      <c r="B29" s="76"/>
      <c r="C29" s="49">
        <f aca="true" t="shared" si="8" ref="C29:L29">SUM(C27:C28)</f>
        <v>7518</v>
      </c>
      <c r="D29" s="49">
        <f t="shared" si="8"/>
        <v>0</v>
      </c>
      <c r="E29" s="49">
        <f t="shared" si="8"/>
        <v>0</v>
      </c>
      <c r="F29" s="49">
        <f t="shared" si="8"/>
        <v>68.48</v>
      </c>
      <c r="G29" s="49">
        <f t="shared" si="8"/>
        <v>3.69</v>
      </c>
      <c r="H29" s="49">
        <f t="shared" si="8"/>
        <v>3460.9100000000003</v>
      </c>
      <c r="I29" s="49">
        <f t="shared" si="8"/>
        <v>142.73999999999998</v>
      </c>
      <c r="J29" s="62">
        <f t="shared" si="8"/>
        <v>3603.6500000000005</v>
      </c>
      <c r="K29" s="49">
        <f t="shared" si="8"/>
        <v>3914.3499999999995</v>
      </c>
      <c r="L29" s="49">
        <f t="shared" si="8"/>
        <v>365.30075757575696</v>
      </c>
      <c r="M29" s="42"/>
      <c r="N29" s="43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8"/>
      <c r="N31" s="39"/>
    </row>
    <row r="32" spans="1:14" s="44" customFormat="1" ht="11.25" customHeight="1">
      <c r="A32" s="31" t="s">
        <v>34</v>
      </c>
      <c r="B32" s="32">
        <v>55010000</v>
      </c>
      <c r="C32" s="33">
        <f>24725-15347</f>
        <v>9378</v>
      </c>
      <c r="D32" s="33">
        <v>0</v>
      </c>
      <c r="E32" s="33">
        <v>0</v>
      </c>
      <c r="F32" s="33">
        <v>0</v>
      </c>
      <c r="G32" s="33">
        <v>0</v>
      </c>
      <c r="H32" s="33">
        <f>'12-17-15'!H32+D32+F32</f>
        <v>0</v>
      </c>
      <c r="I32" s="33">
        <f>'12-17-15'!I32+E32+G32</f>
        <v>0</v>
      </c>
      <c r="J32" s="33">
        <f aca="true" t="shared" si="9" ref="J32:J37">H32+I32</f>
        <v>0</v>
      </c>
      <c r="K32" s="33">
        <f aca="true" t="shared" si="10" ref="K32:K37">C32-J32</f>
        <v>9378</v>
      </c>
      <c r="L32" s="33">
        <f aca="true" t="shared" si="11" ref="L32:L37">C32-(J32/13.2*26.2)</f>
        <v>9378</v>
      </c>
      <c r="M32" s="42"/>
      <c r="N32" s="43"/>
    </row>
    <row r="33" spans="1:13" s="44" customFormat="1" ht="11.25" customHeight="1">
      <c r="A33" s="31" t="s">
        <v>31</v>
      </c>
      <c r="B33" s="32">
        <v>55080500</v>
      </c>
      <c r="C33" s="33">
        <v>10000</v>
      </c>
      <c r="D33" s="33">
        <v>33.08</v>
      </c>
      <c r="E33" s="33">
        <v>0.86</v>
      </c>
      <c r="F33" s="33">
        <v>0</v>
      </c>
      <c r="G33" s="33">
        <v>0</v>
      </c>
      <c r="H33" s="33">
        <f>'12-17-15'!H33+D33+F33</f>
        <v>2610.6</v>
      </c>
      <c r="I33" s="33">
        <f>'12-17-15'!I33+E33+G33</f>
        <v>71.48</v>
      </c>
      <c r="J33" s="33">
        <f t="shared" si="9"/>
        <v>2682.08</v>
      </c>
      <c r="K33" s="33">
        <f t="shared" si="10"/>
        <v>7317.92</v>
      </c>
      <c r="L33" s="33">
        <f t="shared" si="11"/>
        <v>4676.477575757576</v>
      </c>
      <c r="M33" s="45"/>
    </row>
    <row r="34" spans="1:13" s="44" customFormat="1" ht="11.25" customHeight="1">
      <c r="A34" s="31" t="s">
        <v>32</v>
      </c>
      <c r="B34" s="32">
        <v>55050300</v>
      </c>
      <c r="C34" s="33">
        <v>15347</v>
      </c>
      <c r="D34" s="33">
        <v>0</v>
      </c>
      <c r="E34" s="33">
        <v>0</v>
      </c>
      <c r="F34" s="33">
        <v>0</v>
      </c>
      <c r="G34" s="33">
        <v>0</v>
      </c>
      <c r="H34" s="33">
        <f>'12-17-15'!H34+D34+F34</f>
        <v>9989</v>
      </c>
      <c r="I34" s="33">
        <f>'12-17-15'!I34+E34+G34</f>
        <v>539.3399999999999</v>
      </c>
      <c r="J34" s="33">
        <f t="shared" si="9"/>
        <v>10528.34</v>
      </c>
      <c r="K34" s="33">
        <f t="shared" si="10"/>
        <v>4818.66</v>
      </c>
      <c r="L34" s="33">
        <f t="shared" si="11"/>
        <v>-5550.159696969698</v>
      </c>
      <c r="M34" s="45"/>
    </row>
    <row r="35" spans="1:13" s="44" customFormat="1" ht="11.25" customHeight="1">
      <c r="A35" s="31" t="s">
        <v>43</v>
      </c>
      <c r="B35" s="32">
        <v>55160300</v>
      </c>
      <c r="C35" s="33">
        <v>43385.81</v>
      </c>
      <c r="D35" s="33">
        <v>0</v>
      </c>
      <c r="E35" s="33">
        <v>0</v>
      </c>
      <c r="F35" s="33">
        <v>1892.56</v>
      </c>
      <c r="G35" s="33">
        <v>102.19</v>
      </c>
      <c r="H35" s="33">
        <f>'12-17-15'!H35+D35+F35</f>
        <v>40374.43</v>
      </c>
      <c r="I35" s="33">
        <f>'12-17-15'!I35+E35+G35</f>
        <v>2180.0999999999995</v>
      </c>
      <c r="J35" s="33">
        <f t="shared" si="9"/>
        <v>42554.53</v>
      </c>
      <c r="K35" s="33">
        <f t="shared" si="10"/>
        <v>831.2799999999988</v>
      </c>
      <c r="L35" s="33">
        <f t="shared" si="11"/>
        <v>-41078.484393939405</v>
      </c>
      <c r="M35" s="45"/>
    </row>
    <row r="36" spans="1:13" s="44" customFormat="1" ht="11.25" customHeight="1" hidden="1">
      <c r="A36" s="31" t="s">
        <v>47</v>
      </c>
      <c r="B36" s="32">
        <v>55010100</v>
      </c>
      <c r="C36" s="33"/>
      <c r="D36" s="33"/>
      <c r="E36" s="33"/>
      <c r="F36" s="33"/>
      <c r="G36" s="33"/>
      <c r="H36" s="33">
        <f>'12-17-15'!H36+D36+F36</f>
        <v>-64.2</v>
      </c>
      <c r="I36" s="33">
        <f>'12-17-15'!I36+E36+G36</f>
        <v>-1.67</v>
      </c>
      <c r="J36" s="33">
        <f t="shared" si="9"/>
        <v>-65.87</v>
      </c>
      <c r="K36" s="33">
        <f t="shared" si="10"/>
        <v>65.87</v>
      </c>
      <c r="L36" s="33">
        <f t="shared" si="11"/>
        <v>130.74196969696973</v>
      </c>
      <c r="M36" s="45"/>
    </row>
    <row r="37" spans="1:13" s="44" customFormat="1" ht="11.25" customHeight="1">
      <c r="A37" s="31" t="s">
        <v>48</v>
      </c>
      <c r="B37" s="32" t="s">
        <v>49</v>
      </c>
      <c r="C37" s="33">
        <v>4086</v>
      </c>
      <c r="D37" s="33">
        <v>0</v>
      </c>
      <c r="E37" s="33">
        <v>0</v>
      </c>
      <c r="F37" s="33">
        <v>0</v>
      </c>
      <c r="G37" s="33">
        <v>0</v>
      </c>
      <c r="H37" s="33">
        <f>'12-17-15'!H37+D37+F37</f>
        <v>0</v>
      </c>
      <c r="I37" s="33">
        <f>'12-17-15'!I37+E37+G37</f>
        <v>0</v>
      </c>
      <c r="J37" s="33">
        <f t="shared" si="9"/>
        <v>0</v>
      </c>
      <c r="K37" s="33">
        <f t="shared" si="10"/>
        <v>4086</v>
      </c>
      <c r="L37" s="33">
        <f t="shared" si="11"/>
        <v>4086</v>
      </c>
      <c r="M37" s="45"/>
    </row>
    <row r="38" spans="1:14" ht="24.75" customHeight="1">
      <c r="A38" s="75" t="s">
        <v>40</v>
      </c>
      <c r="B38" s="76"/>
      <c r="C38" s="49">
        <f>SUM(C32:C37)</f>
        <v>82196.81</v>
      </c>
      <c r="D38" s="49">
        <f aca="true" t="shared" si="12" ref="D38:L38">SUM(D32:D37)</f>
        <v>33.08</v>
      </c>
      <c r="E38" s="49">
        <f t="shared" si="12"/>
        <v>0.86</v>
      </c>
      <c r="F38" s="49">
        <f t="shared" si="12"/>
        <v>1892.56</v>
      </c>
      <c r="G38" s="49">
        <f t="shared" si="12"/>
        <v>102.19</v>
      </c>
      <c r="H38" s="49">
        <f t="shared" si="12"/>
        <v>52909.83</v>
      </c>
      <c r="I38" s="49">
        <f t="shared" si="12"/>
        <v>2789.249999999999</v>
      </c>
      <c r="J38" s="49">
        <f t="shared" si="12"/>
        <v>55699.079999999994</v>
      </c>
      <c r="K38" s="49">
        <f t="shared" si="12"/>
        <v>26497.729999999996</v>
      </c>
      <c r="L38" s="49">
        <f t="shared" si="12"/>
        <v>-28357.424545454556</v>
      </c>
      <c r="M38" s="38"/>
      <c r="N38" s="39"/>
    </row>
    <row r="39" spans="1:14" ht="11.25" customHeight="1">
      <c r="A39" s="28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8"/>
      <c r="N39" s="39"/>
    </row>
    <row r="40" spans="1:14" ht="11.25" customHeight="1">
      <c r="A40" s="28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8"/>
      <c r="N40" s="39"/>
    </row>
    <row r="41" spans="1:14" ht="24.75" customHeight="1">
      <c r="A41" s="76" t="s">
        <v>42</v>
      </c>
      <c r="B41" s="76"/>
      <c r="C41" s="49">
        <f>C13+C19+C24+C29+C38</f>
        <v>356686.81</v>
      </c>
      <c r="D41" s="49">
        <f aca="true" t="shared" si="13" ref="D41:L41">D13+D19+D24+D29+D38</f>
        <v>1305.82</v>
      </c>
      <c r="E41" s="49">
        <f t="shared" si="13"/>
        <v>33.900000000000006</v>
      </c>
      <c r="F41" s="49">
        <f t="shared" si="13"/>
        <v>2891.19</v>
      </c>
      <c r="G41" s="49">
        <f t="shared" si="13"/>
        <v>156.09</v>
      </c>
      <c r="H41" s="49">
        <f t="shared" si="13"/>
        <v>167639.82</v>
      </c>
      <c r="I41" s="49">
        <f t="shared" si="13"/>
        <v>6804.109999999999</v>
      </c>
      <c r="J41" s="49">
        <f t="shared" si="13"/>
        <v>174443.93</v>
      </c>
      <c r="K41" s="49">
        <f t="shared" si="13"/>
        <v>182242.88</v>
      </c>
      <c r="L41" s="49">
        <f t="shared" si="13"/>
        <v>10442.039848484837</v>
      </c>
      <c r="M41" s="38"/>
      <c r="N41" s="39"/>
    </row>
    <row r="42" spans="1:14" ht="11.25" customHeight="1">
      <c r="A42" s="54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38"/>
      <c r="N42" s="39"/>
    </row>
    <row r="43" spans="1:14" ht="11.25" customHeight="1">
      <c r="A43" s="54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38"/>
      <c r="N43" s="39"/>
    </row>
    <row r="44" spans="1:14" s="44" customFormat="1" ht="12" customHeight="1">
      <c r="A44" s="31" t="s">
        <v>27</v>
      </c>
      <c r="B44" s="31" t="s">
        <v>28</v>
      </c>
      <c r="C44" s="33">
        <v>61829</v>
      </c>
      <c r="D44" s="33">
        <v>173.4</v>
      </c>
      <c r="E44" s="33">
        <v>4.5</v>
      </c>
      <c r="F44" s="33">
        <v>0</v>
      </c>
      <c r="G44" s="33">
        <v>0</v>
      </c>
      <c r="H44" s="33">
        <f>'12-17-15'!H44+D44+F44</f>
        <v>24132.37</v>
      </c>
      <c r="I44" s="33">
        <f>'12-17-15'!I44+E44+G44</f>
        <v>803.1800000000001</v>
      </c>
      <c r="J44" s="33">
        <f>H44+I44</f>
        <v>24935.55</v>
      </c>
      <c r="K44" s="33">
        <f>C44-J44</f>
        <v>36893.45</v>
      </c>
      <c r="L44" s="33">
        <f>C44-(J44/13.2*26.2)</f>
        <v>12335.711363636365</v>
      </c>
      <c r="M44" s="42"/>
      <c r="N44" s="43"/>
    </row>
    <row r="45" spans="1:14" ht="12" customHeight="1">
      <c r="A45" s="6"/>
      <c r="B45" s="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38"/>
      <c r="N45" s="39"/>
    </row>
    <row r="46" spans="1:14" ht="12" customHeight="1">
      <c r="A46" s="6" t="s">
        <v>29</v>
      </c>
      <c r="B46" s="6" t="s">
        <v>35</v>
      </c>
      <c r="C46" s="27">
        <v>15000</v>
      </c>
      <c r="D46" s="27">
        <v>0</v>
      </c>
      <c r="E46" s="27">
        <v>0</v>
      </c>
      <c r="F46" s="27">
        <v>344.6</v>
      </c>
      <c r="G46" s="27">
        <v>18.6</v>
      </c>
      <c r="H46" s="33">
        <f>'12-17-15'!H46+D46+F46</f>
        <v>7950.7699999999995</v>
      </c>
      <c r="I46" s="33">
        <f>'12-17-15'!I46+E46+G46</f>
        <v>429.27000000000004</v>
      </c>
      <c r="J46" s="27">
        <f>H46+I46</f>
        <v>8380.039999999999</v>
      </c>
      <c r="K46" s="27">
        <f>C46-J46</f>
        <v>6619.960000000001</v>
      </c>
      <c r="L46" s="33">
        <f>C46-(J46/13.2*26.2)</f>
        <v>-1633.1096969696955</v>
      </c>
      <c r="M46" s="38"/>
      <c r="N46" s="39"/>
    </row>
    <row r="47" spans="1:14" ht="12" customHeight="1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38"/>
      <c r="N47" s="39"/>
    </row>
    <row r="48" spans="1:14" ht="12" customHeight="1">
      <c r="A48" s="50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38"/>
      <c r="N48" s="39"/>
    </row>
    <row r="49" spans="1:14" ht="24.75" customHeight="1">
      <c r="A49" s="51" t="s">
        <v>41</v>
      </c>
      <c r="B49" s="52"/>
      <c r="C49" s="53">
        <f>C44+C46</f>
        <v>76829</v>
      </c>
      <c r="D49" s="53">
        <f aca="true" t="shared" si="14" ref="D49:L49">D44+D46</f>
        <v>173.4</v>
      </c>
      <c r="E49" s="53">
        <f t="shared" si="14"/>
        <v>4.5</v>
      </c>
      <c r="F49" s="53">
        <f t="shared" si="14"/>
        <v>344.6</v>
      </c>
      <c r="G49" s="53">
        <f t="shared" si="14"/>
        <v>18.6</v>
      </c>
      <c r="H49" s="53">
        <f t="shared" si="14"/>
        <v>32083.14</v>
      </c>
      <c r="I49" s="53">
        <f t="shared" si="14"/>
        <v>1232.45</v>
      </c>
      <c r="J49" s="53">
        <f t="shared" si="14"/>
        <v>33315.59</v>
      </c>
      <c r="K49" s="53">
        <f t="shared" si="14"/>
        <v>43513.409999999996</v>
      </c>
      <c r="L49" s="53">
        <f t="shared" si="14"/>
        <v>10702.60166666667</v>
      </c>
      <c r="M49" s="38"/>
      <c r="N49" s="12"/>
    </row>
    <row r="50" spans="1:14" ht="24" customHeight="1">
      <c r="A50" s="9"/>
      <c r="B50" s="10"/>
      <c r="C50" s="11"/>
      <c r="H50" s="11"/>
      <c r="I50" s="11"/>
      <c r="J50" s="11"/>
      <c r="K50" s="11"/>
      <c r="L50" s="11"/>
      <c r="M50" s="38"/>
      <c r="N50" s="12"/>
    </row>
    <row r="51" spans="1:14" ht="33.75">
      <c r="A51" s="57" t="s">
        <v>44</v>
      </c>
      <c r="B51" s="58">
        <v>43385.81</v>
      </c>
      <c r="C51" s="13"/>
      <c r="D51" s="13"/>
      <c r="E51" s="13"/>
      <c r="F51" s="13"/>
      <c r="G51" s="13"/>
      <c r="H51" s="46"/>
      <c r="I51" s="46"/>
      <c r="J51" s="46"/>
      <c r="K51" s="46"/>
      <c r="L51" s="46"/>
      <c r="M51" s="38"/>
      <c r="N51" s="12"/>
    </row>
    <row r="52" spans="1:14" ht="33.75">
      <c r="A52" s="9" t="s">
        <v>45</v>
      </c>
      <c r="B52" s="58">
        <v>10000</v>
      </c>
      <c r="C52" s="16"/>
      <c r="D52" s="11"/>
      <c r="E52" s="11"/>
      <c r="F52" s="11"/>
      <c r="G52" s="11"/>
      <c r="H52" s="11"/>
      <c r="I52" s="2"/>
      <c r="J52" s="11"/>
      <c r="K52" s="11"/>
      <c r="L52" s="11"/>
      <c r="M52" s="38"/>
      <c r="N52" s="12"/>
    </row>
    <row r="53" spans="1:14" ht="22.5">
      <c r="A53" s="14" t="s">
        <v>46</v>
      </c>
      <c r="B53" s="58">
        <v>15347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2"/>
    </row>
    <row r="54" spans="1:14" ht="33.75">
      <c r="A54" s="14" t="s">
        <v>50</v>
      </c>
      <c r="B54" s="58">
        <v>5000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7"/>
    </row>
    <row r="55" spans="1:14" ht="15">
      <c r="A55" s="14"/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  <c r="N55" s="12"/>
    </row>
    <row r="56" spans="1:14" ht="22.5" customHeight="1">
      <c r="A56" s="14"/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  <c r="N56" s="12"/>
    </row>
    <row r="57" spans="1:14" ht="15">
      <c r="A57" s="18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N57" s="12"/>
    </row>
    <row r="58" spans="1:14" ht="15" customHeight="1">
      <c r="A58" s="18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 customHeight="1">
      <c r="A59" s="19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9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15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25.5" customHeight="1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15" customHeight="1">
      <c r="A64" s="18"/>
      <c r="B64" s="10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12"/>
    </row>
    <row r="65" spans="1:14" ht="15" customHeight="1">
      <c r="A65" s="20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12"/>
    </row>
    <row r="66" spans="1:14" ht="15" customHeight="1">
      <c r="A66" s="22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3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5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7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47"/>
      <c r="N72" s="24"/>
    </row>
    <row r="73" spans="1:14" ht="11.25" customHeight="1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N73" s="24"/>
    </row>
    <row r="74" spans="1:13" ht="15">
      <c r="A74" s="22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36"/>
    </row>
    <row r="75" spans="1:13" ht="15">
      <c r="A75" s="22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36"/>
    </row>
    <row r="76" spans="1:12" ht="15">
      <c r="A76" s="22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4" s="35" customFormat="1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  <c r="N82" s="36"/>
    </row>
    <row r="83" spans="1:12" ht="15">
      <c r="A83" s="24"/>
      <c r="B83" s="24"/>
      <c r="C83" s="48"/>
      <c r="D83" s="48"/>
      <c r="E83" s="48"/>
      <c r="F83" s="48"/>
      <c r="G83" s="48"/>
      <c r="H83" s="48"/>
      <c r="I83" s="48"/>
      <c r="J83" s="48"/>
      <c r="K83" s="48"/>
      <c r="L83" s="48"/>
    </row>
  </sheetData>
  <sheetProtection/>
  <mergeCells count="6">
    <mergeCell ref="A13:B13"/>
    <mergeCell ref="A19:B19"/>
    <mergeCell ref="A24:B24"/>
    <mergeCell ref="A29:B29"/>
    <mergeCell ref="A38:B38"/>
    <mergeCell ref="A41:B4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4" sqref="K4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8.14062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s="44" customFormat="1" ht="11.25" customHeight="1">
      <c r="A3" s="31" t="s">
        <v>11</v>
      </c>
      <c r="B3" s="32">
        <v>55010500</v>
      </c>
      <c r="C3" s="33">
        <f>9670-5000</f>
        <v>4670</v>
      </c>
      <c r="D3" s="33">
        <v>0</v>
      </c>
      <c r="E3" s="33">
        <v>0</v>
      </c>
      <c r="F3" s="33">
        <v>0</v>
      </c>
      <c r="G3" s="33">
        <v>0</v>
      </c>
      <c r="H3" s="33">
        <f>'12-31-15'!H3+D3+F3</f>
        <v>604.8</v>
      </c>
      <c r="I3" s="33">
        <f>'12-31-15'!I3+E3+G3</f>
        <v>32.629999999999995</v>
      </c>
      <c r="J3" s="33">
        <f>H3+I3</f>
        <v>637.43</v>
      </c>
      <c r="K3" s="33">
        <f>C3-J3</f>
        <v>4032.57</v>
      </c>
      <c r="L3" s="33">
        <f>C3-(J3/14.2*26.2)</f>
        <v>3493.89676056338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v>32649</v>
      </c>
      <c r="D4" s="33">
        <v>113.11</v>
      </c>
      <c r="E4" s="33">
        <v>2.94</v>
      </c>
      <c r="F4" s="33">
        <v>0</v>
      </c>
      <c r="G4" s="33">
        <v>0</v>
      </c>
      <c r="H4" s="33">
        <f>'12-31-15'!H4+D4+F4</f>
        <v>5495.549999999999</v>
      </c>
      <c r="I4" s="33">
        <f>'12-31-15'!I4+E4+G4</f>
        <v>211.82000000000002</v>
      </c>
      <c r="J4" s="33">
        <f>H4+I4</f>
        <v>5707.369999999999</v>
      </c>
      <c r="K4" s="33">
        <f>C4-J4</f>
        <v>26941.63</v>
      </c>
      <c r="L4" s="33">
        <f aca="true" t="shared" si="0" ref="L4:L12">C4-(J4/14.2*26.2)</f>
        <v>22118.500422535213</v>
      </c>
      <c r="M4" s="45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217.85</v>
      </c>
      <c r="E5" s="33">
        <v>5.66</v>
      </c>
      <c r="F5" s="33">
        <v>0</v>
      </c>
      <c r="G5" s="33">
        <v>0</v>
      </c>
      <c r="H5" s="33">
        <f>'12-31-15'!H5+D5+F5</f>
        <v>5919.620000000001</v>
      </c>
      <c r="I5" s="33">
        <f>'12-31-15'!I5+E5+G5</f>
        <v>153.8</v>
      </c>
      <c r="J5" s="33">
        <f aca="true" t="shared" si="1" ref="J5:J11">H5+I5</f>
        <v>6073.420000000001</v>
      </c>
      <c r="K5" s="33">
        <f aca="true" t="shared" si="2" ref="K5:K11">C5-J5</f>
        <v>11900.579999999998</v>
      </c>
      <c r="L5" s="33">
        <f t="shared" si="0"/>
        <v>6768.112394366195</v>
      </c>
      <c r="M5" s="45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348.34</v>
      </c>
      <c r="E6" s="33">
        <v>9.05</v>
      </c>
      <c r="F6" s="33">
        <v>0</v>
      </c>
      <c r="G6" s="33">
        <v>0</v>
      </c>
      <c r="H6" s="33">
        <f>'12-31-15'!H6+D6+F6</f>
        <v>5727.530000000001</v>
      </c>
      <c r="I6" s="33">
        <f>'12-31-15'!I6+E6+G6</f>
        <v>148.71</v>
      </c>
      <c r="J6" s="33">
        <f>H6+I6</f>
        <v>5876.240000000001</v>
      </c>
      <c r="K6" s="33">
        <f t="shared" si="2"/>
        <v>12097.759999999998</v>
      </c>
      <c r="L6" s="33">
        <f t="shared" si="0"/>
        <v>7131.923380281689</v>
      </c>
      <c r="M6" s="45"/>
      <c r="N6" s="61"/>
    </row>
    <row r="7" spans="1:13" s="44" customFormat="1" ht="11.25" customHeight="1">
      <c r="A7" s="31" t="s">
        <v>15</v>
      </c>
      <c r="B7" s="32">
        <v>55030200</v>
      </c>
      <c r="C7" s="33">
        <v>24330</v>
      </c>
      <c r="D7" s="33">
        <v>433.39</v>
      </c>
      <c r="E7" s="33">
        <v>11.26</v>
      </c>
      <c r="F7" s="33">
        <v>0</v>
      </c>
      <c r="G7" s="33">
        <v>0</v>
      </c>
      <c r="H7" s="33">
        <f>'12-31-15'!H7+D7+F7</f>
        <v>10597.8</v>
      </c>
      <c r="I7" s="33">
        <f>'12-31-15'!I7+E7+G7</f>
        <v>275.43</v>
      </c>
      <c r="J7" s="33">
        <f t="shared" si="1"/>
        <v>10873.23</v>
      </c>
      <c r="K7" s="33">
        <f t="shared" si="2"/>
        <v>13456.77</v>
      </c>
      <c r="L7" s="33">
        <f t="shared" si="0"/>
        <v>4268.124929577465</v>
      </c>
      <c r="M7" s="45"/>
    </row>
    <row r="8" spans="1:13" s="44" customFormat="1" ht="11.25" customHeight="1">
      <c r="A8" s="31" t="s">
        <v>16</v>
      </c>
      <c r="B8" s="32">
        <v>55050200</v>
      </c>
      <c r="C8" s="33">
        <f>29837</f>
        <v>29837</v>
      </c>
      <c r="D8" s="33">
        <v>845.91</v>
      </c>
      <c r="E8" s="33">
        <v>21.99</v>
      </c>
      <c r="F8" s="33">
        <v>226.8</v>
      </c>
      <c r="G8" s="33">
        <v>12.24</v>
      </c>
      <c r="H8" s="33">
        <f>'12-31-15'!H8+D8+F8</f>
        <v>13583.23</v>
      </c>
      <c r="I8" s="33">
        <f>'12-31-15'!I8+E8+G8</f>
        <v>499.69999999999993</v>
      </c>
      <c r="J8" s="33">
        <f t="shared" si="1"/>
        <v>14082.93</v>
      </c>
      <c r="K8" s="33">
        <f t="shared" si="2"/>
        <v>15754.07</v>
      </c>
      <c r="L8" s="33">
        <f t="shared" si="0"/>
        <v>3853.0023943661945</v>
      </c>
      <c r="M8" s="45"/>
    </row>
    <row r="9" spans="1:13" s="44" customFormat="1" ht="11.25" customHeight="1">
      <c r="A9" s="31" t="s">
        <v>51</v>
      </c>
      <c r="B9" s="32">
        <v>55050400</v>
      </c>
      <c r="C9" s="33">
        <v>5000</v>
      </c>
      <c r="D9" s="33">
        <v>0</v>
      </c>
      <c r="E9" s="33">
        <v>0</v>
      </c>
      <c r="F9" s="33">
        <v>0</v>
      </c>
      <c r="G9" s="33">
        <v>0</v>
      </c>
      <c r="H9" s="33">
        <f>'12-31-15'!H9+D9+F9</f>
        <v>0</v>
      </c>
      <c r="I9" s="33">
        <f>'12-31-15'!I9+E9+G9</f>
        <v>0</v>
      </c>
      <c r="J9" s="33">
        <f t="shared" si="1"/>
        <v>0</v>
      </c>
      <c r="K9" s="33">
        <f t="shared" si="2"/>
        <v>5000</v>
      </c>
      <c r="L9" s="33">
        <f t="shared" si="0"/>
        <v>5000</v>
      </c>
      <c r="M9" s="45"/>
    </row>
    <row r="10" spans="1:13" s="44" customFormat="1" ht="11.25" customHeight="1">
      <c r="A10" s="31" t="s">
        <v>17</v>
      </c>
      <c r="B10" s="32">
        <v>55070100</v>
      </c>
      <c r="C10" s="33">
        <f>26873+10510+5358</f>
        <v>42741</v>
      </c>
      <c r="D10" s="33">
        <v>1310.13</v>
      </c>
      <c r="E10" s="33">
        <v>34.06</v>
      </c>
      <c r="F10" s="33">
        <v>505</v>
      </c>
      <c r="G10" s="33">
        <v>27.27</v>
      </c>
      <c r="H10" s="33">
        <f>'12-31-15'!H10+D10+F10</f>
        <v>29328.46</v>
      </c>
      <c r="I10" s="33">
        <f>'12-31-15'!I10+E10+G10</f>
        <v>1016.99</v>
      </c>
      <c r="J10" s="33">
        <f t="shared" si="1"/>
        <v>30345.45</v>
      </c>
      <c r="K10" s="33">
        <f t="shared" si="2"/>
        <v>12395.55</v>
      </c>
      <c r="L10" s="33">
        <f t="shared" si="0"/>
        <v>-13248.492253521137</v>
      </c>
      <c r="M10" s="45"/>
    </row>
    <row r="11" spans="1:13" s="44" customFormat="1" ht="11.25" customHeight="1">
      <c r="A11" s="31" t="s">
        <v>18</v>
      </c>
      <c r="B11" s="32">
        <v>55070400</v>
      </c>
      <c r="C11" s="33">
        <v>3000</v>
      </c>
      <c r="D11" s="33">
        <v>0</v>
      </c>
      <c r="E11" s="33">
        <v>0</v>
      </c>
      <c r="F11" s="33">
        <v>0</v>
      </c>
      <c r="G11" s="33">
        <v>0</v>
      </c>
      <c r="H11" s="33">
        <f>'12-31-15'!H11+D11+F11</f>
        <v>0</v>
      </c>
      <c r="I11" s="33">
        <f>'12-31-15'!I11+E11+G11</f>
        <v>0</v>
      </c>
      <c r="J11" s="33">
        <f t="shared" si="1"/>
        <v>0</v>
      </c>
      <c r="K11" s="33">
        <f t="shared" si="2"/>
        <v>3000</v>
      </c>
      <c r="L11" s="33">
        <f t="shared" si="0"/>
        <v>3000</v>
      </c>
      <c r="M11" s="45"/>
    </row>
    <row r="12" spans="1:13" s="44" customFormat="1" ht="11.25" customHeight="1">
      <c r="A12" s="31" t="s">
        <v>20</v>
      </c>
      <c r="B12" s="32">
        <v>55080100</v>
      </c>
      <c r="C12" s="33">
        <v>23173</v>
      </c>
      <c r="D12" s="33">
        <v>550.78</v>
      </c>
      <c r="E12" s="33">
        <v>14.32</v>
      </c>
      <c r="F12" s="33">
        <v>185.02</v>
      </c>
      <c r="G12" s="33">
        <v>9.99</v>
      </c>
      <c r="H12" s="33">
        <f>'12-31-15'!H12+D12+F12</f>
        <v>13875.540000000003</v>
      </c>
      <c r="I12" s="33">
        <f>'12-31-15'!I12+E12+G12</f>
        <v>425.77000000000004</v>
      </c>
      <c r="J12" s="33">
        <f>H12+I12</f>
        <v>14301.310000000003</v>
      </c>
      <c r="K12" s="33">
        <f>C12-J12</f>
        <v>8871.689999999997</v>
      </c>
      <c r="L12" s="33">
        <f t="shared" si="0"/>
        <v>-3213.924084507049</v>
      </c>
      <c r="M12" s="45"/>
    </row>
    <row r="13" spans="1:14" ht="24.75" customHeight="1">
      <c r="A13" s="75" t="s">
        <v>36</v>
      </c>
      <c r="B13" s="76"/>
      <c r="C13" s="49">
        <f>SUM(C3:C12)</f>
        <v>201348</v>
      </c>
      <c r="D13" s="49">
        <f aca="true" t="shared" si="3" ref="D13:L13">SUM(D3:D12)</f>
        <v>3819.51</v>
      </c>
      <c r="E13" s="49">
        <f t="shared" si="3"/>
        <v>99.28</v>
      </c>
      <c r="F13" s="49">
        <f t="shared" si="3"/>
        <v>916.8199999999999</v>
      </c>
      <c r="G13" s="49">
        <f t="shared" si="3"/>
        <v>49.5</v>
      </c>
      <c r="H13" s="49">
        <f t="shared" si="3"/>
        <v>85132.53</v>
      </c>
      <c r="I13" s="49">
        <f t="shared" si="3"/>
        <v>2764.85</v>
      </c>
      <c r="J13" s="49">
        <f t="shared" si="3"/>
        <v>87897.38</v>
      </c>
      <c r="K13" s="49">
        <f t="shared" si="3"/>
        <v>113450.62000000001</v>
      </c>
      <c r="L13" s="49">
        <f t="shared" si="3"/>
        <v>39171.143943661955</v>
      </c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28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38"/>
      <c r="N15" s="39"/>
    </row>
    <row r="16" spans="1:14" s="44" customFormat="1" ht="11.25" customHeight="1">
      <c r="A16" s="31" t="s">
        <v>19</v>
      </c>
      <c r="B16" s="32">
        <v>55030100</v>
      </c>
      <c r="C16" s="33">
        <v>13540</v>
      </c>
      <c r="D16" s="33">
        <v>202.08</v>
      </c>
      <c r="E16" s="33">
        <v>5.25</v>
      </c>
      <c r="F16" s="33">
        <v>0</v>
      </c>
      <c r="G16" s="33">
        <v>0</v>
      </c>
      <c r="H16" s="33">
        <f>'12-31-15'!H16+D16+F16</f>
        <v>4341.909999999999</v>
      </c>
      <c r="I16" s="33">
        <f>'12-31-15'!I16+E16+G16</f>
        <v>128.42</v>
      </c>
      <c r="J16" s="33">
        <f aca="true" t="shared" si="4" ref="J16:J23">H16+I16</f>
        <v>4470.329999999999</v>
      </c>
      <c r="K16" s="33">
        <f aca="true" t="shared" si="5" ref="K16:K23">C16-J16</f>
        <v>9069.670000000002</v>
      </c>
      <c r="L16" s="33">
        <f>C16-(J16/14.2*26.2)</f>
        <v>5291.926338028172</v>
      </c>
      <c r="M16" s="42"/>
      <c r="N16" s="43"/>
    </row>
    <row r="17" spans="1:14" s="44" customFormat="1" ht="11.25" customHeight="1">
      <c r="A17" s="31" t="s">
        <v>33</v>
      </c>
      <c r="B17" s="32">
        <v>55110100</v>
      </c>
      <c r="C17" s="33">
        <v>7073</v>
      </c>
      <c r="D17" s="33">
        <v>20.75</v>
      </c>
      <c r="E17" s="33">
        <v>0.53</v>
      </c>
      <c r="F17" s="33">
        <v>0</v>
      </c>
      <c r="G17" s="33">
        <v>0</v>
      </c>
      <c r="H17" s="33">
        <f>'12-31-15'!H17+D17+F17</f>
        <v>447.6600000000001</v>
      </c>
      <c r="I17" s="33">
        <f>'12-31-15'!I17+E17+G17</f>
        <v>11.579999999999998</v>
      </c>
      <c r="J17" s="33">
        <f t="shared" si="4"/>
        <v>459.24000000000007</v>
      </c>
      <c r="K17" s="33">
        <f t="shared" si="5"/>
        <v>6613.76</v>
      </c>
      <c r="L17" s="33">
        <f>C17-(J17/14.2*26.2)</f>
        <v>6225.669859154929</v>
      </c>
      <c r="M17" s="42"/>
      <c r="N17" s="43"/>
    </row>
    <row r="18" spans="1:14" s="44" customFormat="1" ht="11.25" customHeight="1">
      <c r="A18" s="31" t="s">
        <v>23</v>
      </c>
      <c r="B18" s="32">
        <v>55160100</v>
      </c>
      <c r="C18" s="33">
        <v>16062</v>
      </c>
      <c r="D18" s="33">
        <v>280.16</v>
      </c>
      <c r="E18" s="33">
        <v>7.28</v>
      </c>
      <c r="F18" s="33">
        <v>374.4</v>
      </c>
      <c r="G18" s="33">
        <v>20.21</v>
      </c>
      <c r="H18" s="33">
        <f>'12-31-15'!H18+D18+F18</f>
        <v>7272.119999999997</v>
      </c>
      <c r="I18" s="33">
        <f>'12-31-15'!I18+E18+G18</f>
        <v>273.46000000000004</v>
      </c>
      <c r="J18" s="33">
        <f t="shared" si="4"/>
        <v>7545.579999999997</v>
      </c>
      <c r="K18" s="33">
        <f t="shared" si="5"/>
        <v>8516.420000000002</v>
      </c>
      <c r="L18" s="33">
        <f>C18-(J18/14.2*26.2)</f>
        <v>2139.8735211267667</v>
      </c>
      <c r="M18" s="42"/>
      <c r="N18" s="60"/>
    </row>
    <row r="19" spans="1:14" ht="24.75" customHeight="1">
      <c r="A19" s="75" t="s">
        <v>37</v>
      </c>
      <c r="B19" s="76"/>
      <c r="C19" s="49">
        <f>SUM(C16:C18)</f>
        <v>36675</v>
      </c>
      <c r="D19" s="49">
        <f aca="true" t="shared" si="6" ref="D19:L19">SUM(D16:D18)</f>
        <v>502.99</v>
      </c>
      <c r="E19" s="49">
        <f t="shared" si="6"/>
        <v>13.06</v>
      </c>
      <c r="F19" s="49">
        <f t="shared" si="6"/>
        <v>374.4</v>
      </c>
      <c r="G19" s="49">
        <f t="shared" si="6"/>
        <v>20.21</v>
      </c>
      <c r="H19" s="49">
        <f t="shared" si="6"/>
        <v>12061.689999999995</v>
      </c>
      <c r="I19" s="49">
        <f t="shared" si="6"/>
        <v>413.46000000000004</v>
      </c>
      <c r="J19" s="49">
        <f t="shared" si="6"/>
        <v>12475.149999999996</v>
      </c>
      <c r="K19" s="49">
        <f t="shared" si="6"/>
        <v>24199.850000000006</v>
      </c>
      <c r="L19" s="49">
        <f t="shared" si="6"/>
        <v>13657.469718309869</v>
      </c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28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38"/>
      <c r="N21" s="41"/>
    </row>
    <row r="22" spans="1:14" s="44" customFormat="1" ht="11.25" customHeight="1">
      <c r="A22" s="31" t="s">
        <v>21</v>
      </c>
      <c r="B22" s="32">
        <v>55090100</v>
      </c>
      <c r="C22" s="33">
        <v>26923</v>
      </c>
      <c r="D22" s="33">
        <v>99.44</v>
      </c>
      <c r="E22" s="33">
        <v>2.58</v>
      </c>
      <c r="F22" s="33">
        <v>470.08</v>
      </c>
      <c r="G22" s="33">
        <v>25.38</v>
      </c>
      <c r="H22" s="33">
        <f>'12-31-15'!H22+D22+F22</f>
        <v>19869.379999999997</v>
      </c>
      <c r="I22" s="33">
        <f>'12-31-15'!I22+E22+G22</f>
        <v>882.8399999999999</v>
      </c>
      <c r="J22" s="33">
        <f t="shared" si="4"/>
        <v>20752.219999999998</v>
      </c>
      <c r="K22" s="33">
        <f t="shared" si="5"/>
        <v>6170.7800000000025</v>
      </c>
      <c r="L22" s="33">
        <f>C22-(J22/14.2*26.2)</f>
        <v>-11366.307323943656</v>
      </c>
      <c r="M22" s="42"/>
      <c r="N22" s="60"/>
    </row>
    <row r="23" spans="1:14" s="44" customFormat="1" ht="11.25" customHeight="1">
      <c r="A23" s="31" t="s">
        <v>22</v>
      </c>
      <c r="B23" s="32">
        <v>55100100</v>
      </c>
      <c r="C23" s="33">
        <v>2026</v>
      </c>
      <c r="D23" s="33">
        <v>0</v>
      </c>
      <c r="E23" s="33">
        <v>0</v>
      </c>
      <c r="F23" s="33">
        <v>0</v>
      </c>
      <c r="G23" s="33">
        <v>0</v>
      </c>
      <c r="H23" s="33">
        <f>'12-31-15'!H23+D23+F23</f>
        <v>388.72</v>
      </c>
      <c r="I23" s="33">
        <f>'12-31-15'!I23+E23+G23</f>
        <v>20.98</v>
      </c>
      <c r="J23" s="33">
        <f t="shared" si="4"/>
        <v>409.70000000000005</v>
      </c>
      <c r="K23" s="33">
        <f t="shared" si="5"/>
        <v>1616.3</v>
      </c>
      <c r="L23" s="33">
        <f>C23-(J23/14.2*26.2)</f>
        <v>1270.0746478873239</v>
      </c>
      <c r="M23" s="42"/>
      <c r="N23" s="60"/>
    </row>
    <row r="24" spans="1:14" ht="24.75" customHeight="1">
      <c r="A24" s="75" t="s">
        <v>38</v>
      </c>
      <c r="B24" s="76"/>
      <c r="C24" s="49">
        <f>SUM(C22:C23)</f>
        <v>28949</v>
      </c>
      <c r="D24" s="49">
        <f aca="true" t="shared" si="7" ref="D24:L24">SUM(D22:D23)</f>
        <v>99.44</v>
      </c>
      <c r="E24" s="49">
        <f t="shared" si="7"/>
        <v>2.58</v>
      </c>
      <c r="F24" s="49">
        <f t="shared" si="7"/>
        <v>470.08</v>
      </c>
      <c r="G24" s="49">
        <f t="shared" si="7"/>
        <v>25.38</v>
      </c>
      <c r="H24" s="49">
        <f t="shared" si="7"/>
        <v>20258.1</v>
      </c>
      <c r="I24" s="49">
        <f t="shared" si="7"/>
        <v>903.8199999999999</v>
      </c>
      <c r="J24" s="49">
        <f t="shared" si="7"/>
        <v>21161.92</v>
      </c>
      <c r="K24" s="49">
        <f t="shared" si="7"/>
        <v>7787.080000000003</v>
      </c>
      <c r="L24" s="49">
        <f t="shared" si="7"/>
        <v>-10096.232676056332</v>
      </c>
      <c r="M24" s="38"/>
      <c r="N24" s="41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4" ht="11.2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8"/>
      <c r="N26" s="39"/>
    </row>
    <row r="27" spans="1:13" s="44" customFormat="1" ht="11.25" customHeight="1">
      <c r="A27" s="31" t="s">
        <v>26</v>
      </c>
      <c r="B27" s="32">
        <v>55130100</v>
      </c>
      <c r="C27" s="33">
        <v>4523</v>
      </c>
      <c r="D27" s="33">
        <v>51.35</v>
      </c>
      <c r="E27" s="33">
        <v>1.33</v>
      </c>
      <c r="F27" s="33">
        <v>0</v>
      </c>
      <c r="G27" s="33">
        <v>0</v>
      </c>
      <c r="H27" s="33">
        <f>'12-31-15'!H27+D27+F27</f>
        <v>1620.5</v>
      </c>
      <c r="I27" s="33">
        <f>'12-31-15'!I27+E27+G27</f>
        <v>42.029999999999994</v>
      </c>
      <c r="J27" s="33">
        <f>H27+I27</f>
        <v>1662.53</v>
      </c>
      <c r="K27" s="33">
        <f>C27-J27</f>
        <v>2860.4700000000003</v>
      </c>
      <c r="L27" s="33">
        <f>C27-(J27/14.2*26.2)</f>
        <v>1455.5150704225352</v>
      </c>
      <c r="M27" s="45"/>
    </row>
    <row r="28" spans="1:13" s="44" customFormat="1" ht="11.25" customHeight="1">
      <c r="A28" s="31" t="s">
        <v>30</v>
      </c>
      <c r="B28" s="32">
        <v>55140100</v>
      </c>
      <c r="C28" s="33">
        <v>2995</v>
      </c>
      <c r="D28" s="33">
        <v>0</v>
      </c>
      <c r="E28" s="33">
        <v>0</v>
      </c>
      <c r="F28" s="33">
        <v>136.96</v>
      </c>
      <c r="G28" s="33">
        <v>7.39</v>
      </c>
      <c r="H28" s="33">
        <f>'12-31-15'!H28+D28+F28</f>
        <v>2028.7200000000003</v>
      </c>
      <c r="I28" s="33">
        <f>'12-31-15'!I28+E28+G28</f>
        <v>109.42999999999999</v>
      </c>
      <c r="J28" s="33">
        <f>H28+I28</f>
        <v>2138.15</v>
      </c>
      <c r="K28" s="33">
        <f>C28-J28</f>
        <v>856.8499999999999</v>
      </c>
      <c r="L28" s="33">
        <f>C28-(J28/14.2*26.2)</f>
        <v>-950.0373239436622</v>
      </c>
      <c r="M28" s="45"/>
    </row>
    <row r="29" spans="1:14" s="44" customFormat="1" ht="24.75" customHeight="1">
      <c r="A29" s="75" t="s">
        <v>39</v>
      </c>
      <c r="B29" s="76"/>
      <c r="C29" s="49">
        <f aca="true" t="shared" si="8" ref="C29:L29">SUM(C27:C28)</f>
        <v>7518</v>
      </c>
      <c r="D29" s="49">
        <f t="shared" si="8"/>
        <v>51.35</v>
      </c>
      <c r="E29" s="49">
        <f t="shared" si="8"/>
        <v>1.33</v>
      </c>
      <c r="F29" s="49">
        <f t="shared" si="8"/>
        <v>136.96</v>
      </c>
      <c r="G29" s="49">
        <f t="shared" si="8"/>
        <v>7.39</v>
      </c>
      <c r="H29" s="49">
        <f t="shared" si="8"/>
        <v>3649.2200000000003</v>
      </c>
      <c r="I29" s="49">
        <f t="shared" si="8"/>
        <v>151.45999999999998</v>
      </c>
      <c r="J29" s="62">
        <f t="shared" si="8"/>
        <v>3800.6800000000003</v>
      </c>
      <c r="K29" s="49">
        <f t="shared" si="8"/>
        <v>3717.32</v>
      </c>
      <c r="L29" s="49">
        <f t="shared" si="8"/>
        <v>505.4777464788731</v>
      </c>
      <c r="M29" s="42"/>
      <c r="N29" s="43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8"/>
      <c r="N31" s="39"/>
    </row>
    <row r="32" spans="1:14" s="44" customFormat="1" ht="11.25" customHeight="1">
      <c r="A32" s="31" t="s">
        <v>34</v>
      </c>
      <c r="B32" s="32">
        <v>55010000</v>
      </c>
      <c r="C32" s="33">
        <f>24725-15347</f>
        <v>9378</v>
      </c>
      <c r="D32" s="33">
        <v>0</v>
      </c>
      <c r="E32" s="33">
        <v>0</v>
      </c>
      <c r="F32" s="33">
        <v>0</v>
      </c>
      <c r="G32" s="33">
        <v>0</v>
      </c>
      <c r="H32" s="33">
        <f>'12-31-15'!H32+D32+F32</f>
        <v>0</v>
      </c>
      <c r="I32" s="33">
        <f>'12-31-15'!I32+E32+G32</f>
        <v>0</v>
      </c>
      <c r="J32" s="33">
        <f aca="true" t="shared" si="9" ref="J32:J37">H32+I32</f>
        <v>0</v>
      </c>
      <c r="K32" s="33">
        <f aca="true" t="shared" si="10" ref="K32:K37">C32-J32</f>
        <v>9378</v>
      </c>
      <c r="L32" s="33">
        <f aca="true" t="shared" si="11" ref="L32:L37">C32-(J32/14.2*26.2)</f>
        <v>9378</v>
      </c>
      <c r="M32" s="42"/>
      <c r="N32" s="43"/>
    </row>
    <row r="33" spans="1:13" s="44" customFormat="1" ht="11.25" customHeight="1">
      <c r="A33" s="31" t="s">
        <v>31</v>
      </c>
      <c r="B33" s="32">
        <v>55080500</v>
      </c>
      <c r="C33" s="33">
        <v>10000</v>
      </c>
      <c r="D33" s="33">
        <v>231.56</v>
      </c>
      <c r="E33" s="33">
        <v>6.02</v>
      </c>
      <c r="F33" s="33">
        <v>0</v>
      </c>
      <c r="G33" s="33">
        <v>0</v>
      </c>
      <c r="H33" s="33">
        <f>'12-31-15'!H33+D33+F33</f>
        <v>2842.16</v>
      </c>
      <c r="I33" s="33">
        <f>'12-31-15'!I33+E33+G33</f>
        <v>77.5</v>
      </c>
      <c r="J33" s="33">
        <f t="shared" si="9"/>
        <v>2919.66</v>
      </c>
      <c r="K33" s="33">
        <f t="shared" si="10"/>
        <v>7080.34</v>
      </c>
      <c r="L33" s="33">
        <f t="shared" si="11"/>
        <v>4613.021690140845</v>
      </c>
      <c r="M33" s="45"/>
    </row>
    <row r="34" spans="1:13" s="44" customFormat="1" ht="11.25" customHeight="1">
      <c r="A34" s="31" t="s">
        <v>32</v>
      </c>
      <c r="B34" s="32">
        <v>55050300</v>
      </c>
      <c r="C34" s="33">
        <v>15347</v>
      </c>
      <c r="D34" s="33">
        <v>269.64</v>
      </c>
      <c r="E34" s="33">
        <v>7.01</v>
      </c>
      <c r="F34" s="33">
        <v>0</v>
      </c>
      <c r="G34" s="33">
        <v>0</v>
      </c>
      <c r="H34" s="33">
        <f>'12-31-15'!H34+D34+F34</f>
        <v>10258.64</v>
      </c>
      <c r="I34" s="33">
        <f>'12-31-15'!I34+E34+G34</f>
        <v>546.3499999999999</v>
      </c>
      <c r="J34" s="33">
        <f t="shared" si="9"/>
        <v>10804.99</v>
      </c>
      <c r="K34" s="33">
        <f t="shared" si="10"/>
        <v>4542.01</v>
      </c>
      <c r="L34" s="33">
        <f t="shared" si="11"/>
        <v>-4588.967464788733</v>
      </c>
      <c r="M34" s="45"/>
    </row>
    <row r="35" spans="1:13" s="44" customFormat="1" ht="11.25" customHeight="1">
      <c r="A35" s="31" t="s">
        <v>43</v>
      </c>
      <c r="B35" s="32">
        <v>55160300</v>
      </c>
      <c r="C35" s="33">
        <v>43385.81</v>
      </c>
      <c r="D35" s="33">
        <v>0</v>
      </c>
      <c r="E35" s="33">
        <v>0</v>
      </c>
      <c r="F35" s="33">
        <v>3154.26</v>
      </c>
      <c r="G35" s="33">
        <v>170.33</v>
      </c>
      <c r="H35" s="33">
        <f>'12-31-15'!H35+D35+F35</f>
        <v>43528.69</v>
      </c>
      <c r="I35" s="33">
        <f>'12-31-15'!I35+E35+G35</f>
        <v>2350.4299999999994</v>
      </c>
      <c r="J35" s="33">
        <f t="shared" si="9"/>
        <v>45879.12</v>
      </c>
      <c r="K35" s="33">
        <f t="shared" si="10"/>
        <v>-2493.310000000005</v>
      </c>
      <c r="L35" s="33">
        <f t="shared" si="11"/>
        <v>-41264.397323943675</v>
      </c>
      <c r="M35" s="45"/>
    </row>
    <row r="36" spans="1:13" s="44" customFormat="1" ht="11.25" customHeight="1" hidden="1">
      <c r="A36" s="31" t="s">
        <v>47</v>
      </c>
      <c r="B36" s="32">
        <v>55010100</v>
      </c>
      <c r="C36" s="33"/>
      <c r="D36" s="33"/>
      <c r="E36" s="33"/>
      <c r="F36" s="33"/>
      <c r="G36" s="33"/>
      <c r="H36" s="33">
        <f>'12-31-15'!H36+D36+F36</f>
        <v>-64.2</v>
      </c>
      <c r="I36" s="33">
        <f>'12-31-15'!I36+E36+G36</f>
        <v>-1.67</v>
      </c>
      <c r="J36" s="33">
        <f t="shared" si="9"/>
        <v>-65.87</v>
      </c>
      <c r="K36" s="33">
        <f t="shared" si="10"/>
        <v>65.87</v>
      </c>
      <c r="L36" s="33">
        <f t="shared" si="11"/>
        <v>121.53478873239438</v>
      </c>
      <c r="M36" s="45"/>
    </row>
    <row r="37" spans="1:13" s="44" customFormat="1" ht="11.25" customHeight="1">
      <c r="A37" s="31" t="s">
        <v>48</v>
      </c>
      <c r="B37" s="32" t="s">
        <v>49</v>
      </c>
      <c r="C37" s="33">
        <v>4086</v>
      </c>
      <c r="D37" s="33">
        <v>0</v>
      </c>
      <c r="E37" s="33">
        <v>0</v>
      </c>
      <c r="F37" s="33">
        <v>0</v>
      </c>
      <c r="G37" s="33">
        <v>0</v>
      </c>
      <c r="H37" s="33">
        <f>'12-31-15'!H37+D37+F37</f>
        <v>0</v>
      </c>
      <c r="I37" s="33">
        <f>'12-31-15'!I37+E37+G37</f>
        <v>0</v>
      </c>
      <c r="J37" s="33">
        <f t="shared" si="9"/>
        <v>0</v>
      </c>
      <c r="K37" s="33">
        <f t="shared" si="10"/>
        <v>4086</v>
      </c>
      <c r="L37" s="33">
        <f t="shared" si="11"/>
        <v>4086</v>
      </c>
      <c r="M37" s="45"/>
    </row>
    <row r="38" spans="1:14" ht="24.75" customHeight="1">
      <c r="A38" s="75" t="s">
        <v>40</v>
      </c>
      <c r="B38" s="76"/>
      <c r="C38" s="49">
        <f>SUM(C32:C37)</f>
        <v>82196.81</v>
      </c>
      <c r="D38" s="49">
        <f aca="true" t="shared" si="12" ref="D38:L38">SUM(D32:D37)</f>
        <v>501.2</v>
      </c>
      <c r="E38" s="49">
        <f t="shared" si="12"/>
        <v>13.03</v>
      </c>
      <c r="F38" s="49">
        <f t="shared" si="12"/>
        <v>3154.26</v>
      </c>
      <c r="G38" s="49">
        <f t="shared" si="12"/>
        <v>170.33</v>
      </c>
      <c r="H38" s="49">
        <f t="shared" si="12"/>
        <v>56565.29000000001</v>
      </c>
      <c r="I38" s="49">
        <f t="shared" si="12"/>
        <v>2972.609999999999</v>
      </c>
      <c r="J38" s="49">
        <f t="shared" si="12"/>
        <v>59537.9</v>
      </c>
      <c r="K38" s="49">
        <f t="shared" si="12"/>
        <v>22658.909999999993</v>
      </c>
      <c r="L38" s="49">
        <f t="shared" si="12"/>
        <v>-27654.808309859167</v>
      </c>
      <c r="M38" s="38"/>
      <c r="N38" s="39"/>
    </row>
    <row r="39" spans="1:14" ht="11.25" customHeight="1">
      <c r="A39" s="28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8"/>
      <c r="N39" s="39"/>
    </row>
    <row r="40" spans="1:14" ht="11.25" customHeight="1">
      <c r="A40" s="28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8"/>
      <c r="N40" s="39"/>
    </row>
    <row r="41" spans="1:14" ht="24.75" customHeight="1">
      <c r="A41" s="76" t="s">
        <v>42</v>
      </c>
      <c r="B41" s="76"/>
      <c r="C41" s="49">
        <f>C13+C19+C24+C29+C38</f>
        <v>356686.81</v>
      </c>
      <c r="D41" s="49">
        <f aca="true" t="shared" si="13" ref="D41:L41">D13+D19+D24+D29+D38</f>
        <v>4974.49</v>
      </c>
      <c r="E41" s="49">
        <f t="shared" si="13"/>
        <v>129.28</v>
      </c>
      <c r="F41" s="49">
        <f t="shared" si="13"/>
        <v>5052.52</v>
      </c>
      <c r="G41" s="49">
        <f t="shared" si="13"/>
        <v>272.81</v>
      </c>
      <c r="H41" s="49">
        <f t="shared" si="13"/>
        <v>177666.83000000002</v>
      </c>
      <c r="I41" s="49">
        <f t="shared" si="13"/>
        <v>7206.199999999999</v>
      </c>
      <c r="J41" s="49">
        <f t="shared" si="13"/>
        <v>184873.03</v>
      </c>
      <c r="K41" s="49">
        <f t="shared" si="13"/>
        <v>171813.78000000006</v>
      </c>
      <c r="L41" s="49">
        <f t="shared" si="13"/>
        <v>15583.050422535198</v>
      </c>
      <c r="M41" s="38"/>
      <c r="N41" s="39"/>
    </row>
    <row r="42" spans="1:14" ht="11.25" customHeight="1">
      <c r="A42" s="54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38"/>
      <c r="N42" s="39"/>
    </row>
    <row r="43" spans="1:14" ht="11.25" customHeight="1">
      <c r="A43" s="54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38"/>
      <c r="N43" s="39"/>
    </row>
    <row r="44" spans="1:14" s="44" customFormat="1" ht="12" customHeight="1">
      <c r="A44" s="31" t="s">
        <v>27</v>
      </c>
      <c r="B44" s="31" t="s">
        <v>28</v>
      </c>
      <c r="C44" s="33">
        <v>61829</v>
      </c>
      <c r="D44" s="33">
        <v>923.28</v>
      </c>
      <c r="E44" s="33">
        <v>24</v>
      </c>
      <c r="F44" s="33">
        <v>0</v>
      </c>
      <c r="G44" s="33">
        <v>0</v>
      </c>
      <c r="H44" s="33">
        <f>'12-31-15'!H44+D44+F44</f>
        <v>25055.649999999998</v>
      </c>
      <c r="I44" s="33">
        <f>'12-31-15'!I44+E44+G44</f>
        <v>827.1800000000001</v>
      </c>
      <c r="J44" s="33">
        <f>H44+I44</f>
        <v>25882.829999999998</v>
      </c>
      <c r="K44" s="33">
        <f>C44-J44</f>
        <v>35946.17</v>
      </c>
      <c r="L44" s="33">
        <f>C44-(J44/14.2*26.2)</f>
        <v>14073.35591549296</v>
      </c>
      <c r="M44" s="42"/>
      <c r="N44" s="43"/>
    </row>
    <row r="45" spans="1:14" ht="12" customHeight="1">
      <c r="A45" s="6"/>
      <c r="B45" s="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38"/>
      <c r="N45" s="39"/>
    </row>
    <row r="46" spans="1:14" ht="12" customHeight="1">
      <c r="A46" s="6" t="s">
        <v>29</v>
      </c>
      <c r="B46" s="6" t="s">
        <v>35</v>
      </c>
      <c r="C46" s="27">
        <v>15000</v>
      </c>
      <c r="D46" s="27">
        <v>0</v>
      </c>
      <c r="E46" s="27">
        <v>0</v>
      </c>
      <c r="F46" s="27">
        <v>585.92</v>
      </c>
      <c r="G46" s="27">
        <v>31.63</v>
      </c>
      <c r="H46" s="33">
        <f>'12-31-15'!H46+D46+F46</f>
        <v>8536.689999999999</v>
      </c>
      <c r="I46" s="33">
        <f>'12-31-15'!I46+E46+G46</f>
        <v>460.90000000000003</v>
      </c>
      <c r="J46" s="27">
        <f>H46+I46</f>
        <v>8997.589999999998</v>
      </c>
      <c r="K46" s="27">
        <f>C46-J46</f>
        <v>6002.410000000002</v>
      </c>
      <c r="L46" s="33">
        <f>C46-(J46/14.2*26.2)</f>
        <v>-1601.187183098591</v>
      </c>
      <c r="M46" s="38"/>
      <c r="N46" s="39"/>
    </row>
    <row r="47" spans="1:14" ht="12" customHeight="1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38"/>
      <c r="N47" s="39"/>
    </row>
    <row r="48" spans="1:14" ht="12" customHeight="1">
      <c r="A48" s="50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38"/>
      <c r="N48" s="39"/>
    </row>
    <row r="49" spans="1:14" ht="24.75" customHeight="1">
      <c r="A49" s="51" t="s">
        <v>41</v>
      </c>
      <c r="B49" s="52"/>
      <c r="C49" s="53">
        <f>C44+C46</f>
        <v>76829</v>
      </c>
      <c r="D49" s="53">
        <f aca="true" t="shared" si="14" ref="D49:L49">D44+D46</f>
        <v>923.28</v>
      </c>
      <c r="E49" s="53">
        <f t="shared" si="14"/>
        <v>24</v>
      </c>
      <c r="F49" s="53">
        <f t="shared" si="14"/>
        <v>585.92</v>
      </c>
      <c r="G49" s="53">
        <f t="shared" si="14"/>
        <v>31.63</v>
      </c>
      <c r="H49" s="53">
        <f t="shared" si="14"/>
        <v>33592.34</v>
      </c>
      <c r="I49" s="53">
        <f t="shared" si="14"/>
        <v>1288.0800000000002</v>
      </c>
      <c r="J49" s="53">
        <f t="shared" si="14"/>
        <v>34880.42</v>
      </c>
      <c r="K49" s="53">
        <f t="shared" si="14"/>
        <v>41948.58</v>
      </c>
      <c r="L49" s="53">
        <f t="shared" si="14"/>
        <v>12472.16873239437</v>
      </c>
      <c r="M49" s="38"/>
      <c r="N49" s="12"/>
    </row>
    <row r="50" spans="1:14" ht="24" customHeight="1">
      <c r="A50" s="9"/>
      <c r="B50" s="10"/>
      <c r="C50" s="11"/>
      <c r="H50" s="11"/>
      <c r="I50" s="11"/>
      <c r="J50" s="11"/>
      <c r="K50" s="11"/>
      <c r="L50" s="11"/>
      <c r="M50" s="38"/>
      <c r="N50" s="12"/>
    </row>
    <row r="51" spans="1:14" ht="33.75">
      <c r="A51" s="57" t="s">
        <v>44</v>
      </c>
      <c r="B51" s="58">
        <v>43385.81</v>
      </c>
      <c r="C51" s="13"/>
      <c r="D51" s="13"/>
      <c r="E51" s="13"/>
      <c r="F51" s="13"/>
      <c r="G51" s="13"/>
      <c r="H51" s="46"/>
      <c r="I51" s="46"/>
      <c r="J51" s="46"/>
      <c r="K51" s="46"/>
      <c r="L51" s="46"/>
      <c r="M51" s="38"/>
      <c r="N51" s="12"/>
    </row>
    <row r="52" spans="1:14" ht="33.75">
      <c r="A52" s="9" t="s">
        <v>45</v>
      </c>
      <c r="B52" s="58">
        <v>10000</v>
      </c>
      <c r="C52" s="16"/>
      <c r="D52" s="11"/>
      <c r="E52" s="11"/>
      <c r="F52" s="11"/>
      <c r="G52" s="11"/>
      <c r="H52" s="11"/>
      <c r="I52" s="2"/>
      <c r="J52" s="11"/>
      <c r="K52" s="11"/>
      <c r="L52" s="11"/>
      <c r="M52" s="38"/>
      <c r="N52" s="12"/>
    </row>
    <row r="53" spans="1:14" ht="22.5">
      <c r="A53" s="14" t="s">
        <v>46</v>
      </c>
      <c r="B53" s="58">
        <v>15347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2"/>
    </row>
    <row r="54" spans="1:14" ht="33.75">
      <c r="A54" s="14" t="s">
        <v>50</v>
      </c>
      <c r="B54" s="58">
        <v>5000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7"/>
    </row>
    <row r="55" spans="1:14" ht="15">
      <c r="A55" s="14"/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  <c r="N55" s="12"/>
    </row>
    <row r="56" spans="1:14" ht="22.5" customHeight="1">
      <c r="A56" s="14"/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  <c r="N56" s="12"/>
    </row>
    <row r="57" spans="1:14" ht="15">
      <c r="A57" s="18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N57" s="12"/>
    </row>
    <row r="58" spans="1:14" ht="15" customHeight="1">
      <c r="A58" s="18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 customHeight="1">
      <c r="A59" s="19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9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15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25.5" customHeight="1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15" customHeight="1">
      <c r="A64" s="18"/>
      <c r="B64" s="10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12"/>
    </row>
    <row r="65" spans="1:14" ht="15" customHeight="1">
      <c r="A65" s="20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12"/>
    </row>
    <row r="66" spans="1:14" ht="15" customHeight="1">
      <c r="A66" s="22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3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5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7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47"/>
      <c r="N72" s="24"/>
    </row>
    <row r="73" spans="1:14" ht="11.25" customHeight="1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N73" s="24"/>
    </row>
    <row r="74" spans="1:13" ht="15">
      <c r="A74" s="22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36"/>
    </row>
    <row r="75" spans="1:13" ht="15">
      <c r="A75" s="22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36"/>
    </row>
    <row r="76" spans="1:12" ht="15">
      <c r="A76" s="22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4" s="35" customFormat="1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  <c r="N82" s="36"/>
    </row>
    <row r="83" spans="1:12" ht="15">
      <c r="A83" s="24"/>
      <c r="B83" s="24"/>
      <c r="C83" s="48"/>
      <c r="D83" s="48"/>
      <c r="E83" s="48"/>
      <c r="F83" s="48"/>
      <c r="G83" s="48"/>
      <c r="H83" s="48"/>
      <c r="I83" s="48"/>
      <c r="J83" s="48"/>
      <c r="K83" s="48"/>
      <c r="L83" s="48"/>
    </row>
  </sheetData>
  <sheetProtection/>
  <mergeCells count="6">
    <mergeCell ref="A13:B13"/>
    <mergeCell ref="A19:B19"/>
    <mergeCell ref="A24:B24"/>
    <mergeCell ref="A29:B29"/>
    <mergeCell ref="A38:B38"/>
    <mergeCell ref="A41:B41"/>
  </mergeCells>
  <printOptions/>
  <pageMargins left="0.7" right="0.7" top="0.75" bottom="0.75" header="0.3" footer="0.3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7" sqref="L7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8.14062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s="44" customFormat="1" ht="11.25" customHeight="1">
      <c r="A3" s="31" t="s">
        <v>11</v>
      </c>
      <c r="B3" s="32">
        <v>55010500</v>
      </c>
      <c r="C3" s="33">
        <f>9670-5000</f>
        <v>4670</v>
      </c>
      <c r="D3" s="33">
        <v>0</v>
      </c>
      <c r="E3" s="33">
        <v>0</v>
      </c>
      <c r="F3" s="33">
        <v>0</v>
      </c>
      <c r="G3" s="33">
        <v>0</v>
      </c>
      <c r="H3" s="33">
        <f>'1-14-16'!H3+D3+F3</f>
        <v>604.8</v>
      </c>
      <c r="I3" s="33">
        <f>'1-14-16'!I3+E3+G3</f>
        <v>32.629999999999995</v>
      </c>
      <c r="J3" s="33">
        <f>H3+I3</f>
        <v>637.43</v>
      </c>
      <c r="K3" s="33">
        <f>C3-J3</f>
        <v>4032.57</v>
      </c>
      <c r="L3" s="33">
        <f>C3-(J3/15.2*26.2)</f>
        <v>3571.271973684211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v>32649</v>
      </c>
      <c r="D4" s="33">
        <v>364.15</v>
      </c>
      <c r="E4" s="33">
        <v>9.46</v>
      </c>
      <c r="F4" s="33">
        <v>0</v>
      </c>
      <c r="G4" s="33">
        <v>0</v>
      </c>
      <c r="H4" s="33">
        <f>'1-14-16'!H4+D4+F4</f>
        <v>5859.699999999999</v>
      </c>
      <c r="I4" s="33">
        <f>'1-14-16'!I4+E4+G4</f>
        <v>221.28000000000003</v>
      </c>
      <c r="J4" s="33">
        <f>H4+I4</f>
        <v>6080.979999999999</v>
      </c>
      <c r="K4" s="33">
        <f>C4-J4</f>
        <v>26568.02</v>
      </c>
      <c r="L4" s="33">
        <f aca="true" t="shared" si="0" ref="L4:L12">C4-(J4/15.2*26.2)</f>
        <v>22167.310789473686</v>
      </c>
      <c r="M4" s="45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327.57</v>
      </c>
      <c r="E5" s="33">
        <v>8.51</v>
      </c>
      <c r="F5" s="33">
        <v>0</v>
      </c>
      <c r="G5" s="33">
        <v>0</v>
      </c>
      <c r="H5" s="33">
        <f>'1-14-16'!H5+D5+F5</f>
        <v>6247.1900000000005</v>
      </c>
      <c r="I5" s="33">
        <f>'1-14-16'!I5+E5+G5</f>
        <v>162.31</v>
      </c>
      <c r="J5" s="33">
        <f aca="true" t="shared" si="1" ref="J5:J11">H5+I5</f>
        <v>6409.500000000001</v>
      </c>
      <c r="K5" s="33">
        <f aca="true" t="shared" si="2" ref="K5:K11">C5-J5</f>
        <v>11564.5</v>
      </c>
      <c r="L5" s="33">
        <f t="shared" si="0"/>
        <v>6926.0460526315765</v>
      </c>
      <c r="M5" s="45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373.81</v>
      </c>
      <c r="E6" s="33">
        <v>9.71</v>
      </c>
      <c r="F6" s="33">
        <v>0</v>
      </c>
      <c r="G6" s="33">
        <v>0</v>
      </c>
      <c r="H6" s="33">
        <f>'1-14-16'!H6+D6+F6</f>
        <v>6101.340000000001</v>
      </c>
      <c r="I6" s="33">
        <f>'1-14-16'!I6+E6+G6</f>
        <v>158.42000000000002</v>
      </c>
      <c r="J6" s="33">
        <f>H6+I6</f>
        <v>6259.760000000001</v>
      </c>
      <c r="K6" s="33">
        <f t="shared" si="2"/>
        <v>11714.239999999998</v>
      </c>
      <c r="L6" s="33">
        <f t="shared" si="0"/>
        <v>7184.150526315787</v>
      </c>
      <c r="M6" s="45"/>
      <c r="N6" s="61"/>
    </row>
    <row r="7" spans="1:13" s="44" customFormat="1" ht="11.25" customHeight="1">
      <c r="A7" s="31" t="s">
        <v>15</v>
      </c>
      <c r="B7" s="32">
        <v>55030200</v>
      </c>
      <c r="C7" s="33">
        <v>24330</v>
      </c>
      <c r="D7" s="33">
        <v>431.49</v>
      </c>
      <c r="E7" s="33">
        <v>11.22</v>
      </c>
      <c r="F7" s="33">
        <v>0</v>
      </c>
      <c r="G7" s="33">
        <v>0</v>
      </c>
      <c r="H7" s="33">
        <f>'1-14-16'!H7+D7+F7</f>
        <v>11029.289999999999</v>
      </c>
      <c r="I7" s="33">
        <f>'1-14-16'!I7+E7+G7</f>
        <v>286.65000000000003</v>
      </c>
      <c r="J7" s="33">
        <f t="shared" si="1"/>
        <v>11315.939999999999</v>
      </c>
      <c r="K7" s="33">
        <f t="shared" si="2"/>
        <v>13014.060000000001</v>
      </c>
      <c r="L7" s="33">
        <f t="shared" si="0"/>
        <v>4824.892894736844</v>
      </c>
      <c r="M7" s="45"/>
    </row>
    <row r="8" spans="1:13" s="44" customFormat="1" ht="11.25" customHeight="1">
      <c r="A8" s="31" t="s">
        <v>16</v>
      </c>
      <c r="B8" s="32">
        <v>55050200</v>
      </c>
      <c r="C8" s="33">
        <f>29837</f>
        <v>29837</v>
      </c>
      <c r="D8" s="33">
        <v>1181.62</v>
      </c>
      <c r="E8" s="33">
        <v>30.71</v>
      </c>
      <c r="F8" s="33">
        <v>0</v>
      </c>
      <c r="G8" s="33">
        <v>0</v>
      </c>
      <c r="H8" s="33">
        <f>'1-14-16'!H8+D8+F8</f>
        <v>14764.849999999999</v>
      </c>
      <c r="I8" s="33">
        <f>'1-14-16'!I8+E8+G8</f>
        <v>530.41</v>
      </c>
      <c r="J8" s="33">
        <f t="shared" si="1"/>
        <v>15295.259999999998</v>
      </c>
      <c r="K8" s="33">
        <f t="shared" si="2"/>
        <v>14541.740000000002</v>
      </c>
      <c r="L8" s="33">
        <f t="shared" si="0"/>
        <v>3472.8018421052657</v>
      </c>
      <c r="M8" s="45"/>
    </row>
    <row r="9" spans="1:13" s="44" customFormat="1" ht="11.25" customHeight="1">
      <c r="A9" s="31" t="s">
        <v>51</v>
      </c>
      <c r="B9" s="32">
        <v>55050400</v>
      </c>
      <c r="C9" s="33">
        <v>5000</v>
      </c>
      <c r="D9" s="33">
        <v>0</v>
      </c>
      <c r="E9" s="33">
        <v>0</v>
      </c>
      <c r="F9" s="33">
        <v>0</v>
      </c>
      <c r="G9" s="33">
        <v>0</v>
      </c>
      <c r="H9" s="33">
        <f>'1-14-16'!H9+D9+F9</f>
        <v>0</v>
      </c>
      <c r="I9" s="33">
        <f>'1-14-16'!I9+E9+G9</f>
        <v>0</v>
      </c>
      <c r="J9" s="33">
        <f t="shared" si="1"/>
        <v>0</v>
      </c>
      <c r="K9" s="33">
        <f t="shared" si="2"/>
        <v>5000</v>
      </c>
      <c r="L9" s="33">
        <f t="shared" si="0"/>
        <v>5000</v>
      </c>
      <c r="M9" s="45"/>
    </row>
    <row r="10" spans="1:13" s="44" customFormat="1" ht="11.25" customHeight="1">
      <c r="A10" s="31" t="s">
        <v>17</v>
      </c>
      <c r="B10" s="32">
        <v>55070100</v>
      </c>
      <c r="C10" s="33">
        <f>26873+10510+5358</f>
        <v>42741</v>
      </c>
      <c r="D10" s="33">
        <f>906.83+67.18+1428.18</f>
        <v>2402.19</v>
      </c>
      <c r="E10" s="33">
        <f>23.57+1.74+37.13</f>
        <v>62.44</v>
      </c>
      <c r="F10" s="33">
        <v>864.75</v>
      </c>
      <c r="G10" s="33">
        <v>46.69</v>
      </c>
      <c r="H10" s="33">
        <f>'1-14-16'!H10+D10+F10</f>
        <v>32595.399999999998</v>
      </c>
      <c r="I10" s="33">
        <f>'1-14-16'!I10+E10+G10</f>
        <v>1126.1200000000001</v>
      </c>
      <c r="J10" s="33">
        <f t="shared" si="1"/>
        <v>33721.52</v>
      </c>
      <c r="K10" s="33">
        <f t="shared" si="2"/>
        <v>9019.480000000003</v>
      </c>
      <c r="L10" s="33">
        <f t="shared" si="0"/>
        <v>-15384.251578947362</v>
      </c>
      <c r="M10" s="45"/>
    </row>
    <row r="11" spans="1:13" s="44" customFormat="1" ht="11.25" customHeight="1">
      <c r="A11" s="31" t="s">
        <v>18</v>
      </c>
      <c r="B11" s="32">
        <v>55070400</v>
      </c>
      <c r="C11" s="33">
        <v>3000</v>
      </c>
      <c r="D11" s="33">
        <v>0</v>
      </c>
      <c r="E11" s="33">
        <v>0</v>
      </c>
      <c r="F11" s="33">
        <v>0</v>
      </c>
      <c r="G11" s="33">
        <v>0</v>
      </c>
      <c r="H11" s="33">
        <f>'1-14-16'!H11+D11+F11</f>
        <v>0</v>
      </c>
      <c r="I11" s="33">
        <f>'1-14-16'!I11+E11+G11</f>
        <v>0</v>
      </c>
      <c r="J11" s="33">
        <f t="shared" si="1"/>
        <v>0</v>
      </c>
      <c r="K11" s="33">
        <f t="shared" si="2"/>
        <v>3000</v>
      </c>
      <c r="L11" s="33">
        <f t="shared" si="0"/>
        <v>3000</v>
      </c>
      <c r="M11" s="45"/>
    </row>
    <row r="12" spans="1:13" s="44" customFormat="1" ht="11.25" customHeight="1">
      <c r="A12" s="31" t="s">
        <v>20</v>
      </c>
      <c r="B12" s="32">
        <v>55080100</v>
      </c>
      <c r="C12" s="33">
        <v>23173</v>
      </c>
      <c r="D12" s="33">
        <v>424.26</v>
      </c>
      <c r="E12" s="33">
        <v>11.03</v>
      </c>
      <c r="F12" s="33">
        <v>138.76</v>
      </c>
      <c r="G12" s="33">
        <v>7.49</v>
      </c>
      <c r="H12" s="33">
        <f>'1-14-16'!H12+D12+F12</f>
        <v>14438.560000000003</v>
      </c>
      <c r="I12" s="33">
        <f>'1-14-16'!I12+E12+G12</f>
        <v>444.29</v>
      </c>
      <c r="J12" s="33">
        <f>H12+I12</f>
        <v>14882.850000000004</v>
      </c>
      <c r="K12" s="33">
        <f>C12-J12</f>
        <v>8290.149999999996</v>
      </c>
      <c r="L12" s="33">
        <f t="shared" si="0"/>
        <v>-2480.333552631586</v>
      </c>
      <c r="M12" s="45"/>
    </row>
    <row r="13" spans="1:14" ht="24.75" customHeight="1">
      <c r="A13" s="75" t="s">
        <v>36</v>
      </c>
      <c r="B13" s="76"/>
      <c r="C13" s="49">
        <f>SUM(C3:C12)</f>
        <v>201348</v>
      </c>
      <c r="D13" s="49">
        <f aca="true" t="shared" si="3" ref="D13:L13">SUM(D3:D12)</f>
        <v>5505.09</v>
      </c>
      <c r="E13" s="49">
        <f t="shared" si="3"/>
        <v>143.08</v>
      </c>
      <c r="F13" s="49">
        <f t="shared" si="3"/>
        <v>1003.51</v>
      </c>
      <c r="G13" s="49">
        <f t="shared" si="3"/>
        <v>54.18</v>
      </c>
      <c r="H13" s="49">
        <f t="shared" si="3"/>
        <v>91641.12999999999</v>
      </c>
      <c r="I13" s="49">
        <f t="shared" si="3"/>
        <v>2962.1100000000006</v>
      </c>
      <c r="J13" s="49">
        <f t="shared" si="3"/>
        <v>94603.23999999999</v>
      </c>
      <c r="K13" s="49">
        <f t="shared" si="3"/>
        <v>106744.76000000001</v>
      </c>
      <c r="L13" s="49">
        <f t="shared" si="3"/>
        <v>38281.888947368425</v>
      </c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28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38"/>
      <c r="N15" s="39"/>
    </row>
    <row r="16" spans="1:14" s="44" customFormat="1" ht="11.25" customHeight="1">
      <c r="A16" s="31" t="s">
        <v>19</v>
      </c>
      <c r="B16" s="32">
        <v>55030100</v>
      </c>
      <c r="C16" s="33">
        <v>13540</v>
      </c>
      <c r="D16" s="33">
        <v>343.58</v>
      </c>
      <c r="E16" s="33">
        <v>8.93</v>
      </c>
      <c r="F16" s="33">
        <v>0</v>
      </c>
      <c r="G16" s="33">
        <v>0</v>
      </c>
      <c r="H16" s="33">
        <f>'1-14-16'!H16+D16+F16</f>
        <v>4685.489999999999</v>
      </c>
      <c r="I16" s="33">
        <f>'1-14-16'!I16+E16+G16</f>
        <v>137.35</v>
      </c>
      <c r="J16" s="33">
        <f aca="true" t="shared" si="4" ref="J16:J23">H16+I16</f>
        <v>4822.839999999999</v>
      </c>
      <c r="K16" s="33">
        <f aca="true" t="shared" si="5" ref="K16:K23">C16-J16</f>
        <v>8717.16</v>
      </c>
      <c r="L16" s="33">
        <f>C16-(J16/15.2*26.2)</f>
        <v>5226.946842105264</v>
      </c>
      <c r="M16" s="42"/>
      <c r="N16" s="43"/>
    </row>
    <row r="17" spans="1:14" s="44" customFormat="1" ht="11.25" customHeight="1">
      <c r="A17" s="31" t="s">
        <v>33</v>
      </c>
      <c r="B17" s="32">
        <v>55110100</v>
      </c>
      <c r="C17" s="33">
        <v>7073</v>
      </c>
      <c r="D17" s="33">
        <v>41.5</v>
      </c>
      <c r="E17" s="33">
        <v>1.07</v>
      </c>
      <c r="F17" s="33">
        <v>0</v>
      </c>
      <c r="G17" s="33">
        <v>0</v>
      </c>
      <c r="H17" s="33">
        <f>'1-14-16'!H17+D17+F17</f>
        <v>489.1600000000001</v>
      </c>
      <c r="I17" s="33">
        <f>'1-14-16'!I17+E17+G17</f>
        <v>12.649999999999999</v>
      </c>
      <c r="J17" s="33">
        <f t="shared" si="4"/>
        <v>501.81000000000006</v>
      </c>
      <c r="K17" s="33">
        <f t="shared" si="5"/>
        <v>6571.19</v>
      </c>
      <c r="L17" s="33">
        <f>C17-(J17/15.2*26.2)</f>
        <v>6208.0380263157895</v>
      </c>
      <c r="M17" s="42"/>
      <c r="N17" s="43"/>
    </row>
    <row r="18" spans="1:14" s="44" customFormat="1" ht="11.25" customHeight="1">
      <c r="A18" s="31" t="s">
        <v>23</v>
      </c>
      <c r="B18" s="32">
        <v>55160100</v>
      </c>
      <c r="C18" s="33">
        <v>16062</v>
      </c>
      <c r="D18" s="33">
        <v>468.3</v>
      </c>
      <c r="E18" s="33">
        <v>12.17</v>
      </c>
      <c r="F18" s="33">
        <v>0</v>
      </c>
      <c r="G18" s="33">
        <v>0</v>
      </c>
      <c r="H18" s="33">
        <f>'1-14-16'!H18+D18+F18</f>
        <v>7740.419999999997</v>
      </c>
      <c r="I18" s="33">
        <f>'1-14-16'!I18+E18+G18</f>
        <v>285.63000000000005</v>
      </c>
      <c r="J18" s="33">
        <f t="shared" si="4"/>
        <v>8026.049999999997</v>
      </c>
      <c r="K18" s="33">
        <f t="shared" si="5"/>
        <v>8035.950000000003</v>
      </c>
      <c r="L18" s="33">
        <f>C18-(J18/15.2*26.2)</f>
        <v>2227.624342105266</v>
      </c>
      <c r="M18" s="42"/>
      <c r="N18" s="60"/>
    </row>
    <row r="19" spans="1:14" ht="24.75" customHeight="1">
      <c r="A19" s="75" t="s">
        <v>37</v>
      </c>
      <c r="B19" s="76"/>
      <c r="C19" s="49">
        <f>SUM(C16:C18)</f>
        <v>36675</v>
      </c>
      <c r="D19" s="49">
        <f aca="true" t="shared" si="6" ref="D19:L19">SUM(D16:D18)</f>
        <v>853.38</v>
      </c>
      <c r="E19" s="49">
        <f t="shared" si="6"/>
        <v>22.17</v>
      </c>
      <c r="F19" s="49">
        <f t="shared" si="6"/>
        <v>0</v>
      </c>
      <c r="G19" s="49">
        <f t="shared" si="6"/>
        <v>0</v>
      </c>
      <c r="H19" s="49">
        <f t="shared" si="6"/>
        <v>12915.069999999996</v>
      </c>
      <c r="I19" s="49">
        <f t="shared" si="6"/>
        <v>435.63000000000005</v>
      </c>
      <c r="J19" s="49">
        <f t="shared" si="6"/>
        <v>13350.699999999997</v>
      </c>
      <c r="K19" s="49">
        <f t="shared" si="6"/>
        <v>23324.300000000003</v>
      </c>
      <c r="L19" s="49">
        <f t="shared" si="6"/>
        <v>13662.60921052632</v>
      </c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28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38"/>
      <c r="N21" s="41"/>
    </row>
    <row r="22" spans="1:14" s="44" customFormat="1" ht="11.25" customHeight="1">
      <c r="A22" s="31" t="s">
        <v>21</v>
      </c>
      <c r="B22" s="32">
        <v>55090100</v>
      </c>
      <c r="C22" s="33">
        <v>26923</v>
      </c>
      <c r="D22" s="33">
        <v>99.44</v>
      </c>
      <c r="E22" s="33">
        <v>2.58</v>
      </c>
      <c r="F22" s="33">
        <v>781.96</v>
      </c>
      <c r="G22" s="33">
        <v>42.22</v>
      </c>
      <c r="H22" s="33">
        <f>'1-14-16'!H22+D22+F22</f>
        <v>20750.779999999995</v>
      </c>
      <c r="I22" s="33">
        <f>'1-14-16'!I22+E22+G22</f>
        <v>927.64</v>
      </c>
      <c r="J22" s="33">
        <f t="shared" si="4"/>
        <v>21678.419999999995</v>
      </c>
      <c r="K22" s="33">
        <f t="shared" si="5"/>
        <v>5244.580000000005</v>
      </c>
      <c r="L22" s="33">
        <f>C22-(J22/15.2*26.2)</f>
        <v>-10443.750263157883</v>
      </c>
      <c r="M22" s="42"/>
      <c r="N22" s="60"/>
    </row>
    <row r="23" spans="1:14" s="44" customFormat="1" ht="11.25" customHeight="1">
      <c r="A23" s="31" t="s">
        <v>22</v>
      </c>
      <c r="B23" s="32">
        <v>55100100</v>
      </c>
      <c r="C23" s="33">
        <v>2026</v>
      </c>
      <c r="D23" s="33">
        <v>0</v>
      </c>
      <c r="E23" s="33">
        <v>0</v>
      </c>
      <c r="F23" s="33">
        <v>0</v>
      </c>
      <c r="G23" s="33">
        <v>0</v>
      </c>
      <c r="H23" s="33">
        <f>'1-14-16'!H23+D23+F23</f>
        <v>388.72</v>
      </c>
      <c r="I23" s="33">
        <f>'1-14-16'!I23+E23+G23</f>
        <v>20.98</v>
      </c>
      <c r="J23" s="33">
        <f t="shared" si="4"/>
        <v>409.70000000000005</v>
      </c>
      <c r="K23" s="33">
        <f t="shared" si="5"/>
        <v>1616.3</v>
      </c>
      <c r="L23" s="33">
        <f>C23-(J23/15.2*26.2)</f>
        <v>1319.8065789473683</v>
      </c>
      <c r="M23" s="42"/>
      <c r="N23" s="60"/>
    </row>
    <row r="24" spans="1:14" ht="24.75" customHeight="1">
      <c r="A24" s="75" t="s">
        <v>38</v>
      </c>
      <c r="B24" s="76"/>
      <c r="C24" s="49">
        <f>SUM(C22:C23)</f>
        <v>28949</v>
      </c>
      <c r="D24" s="49">
        <f aca="true" t="shared" si="7" ref="D24:L24">SUM(D22:D23)</f>
        <v>99.44</v>
      </c>
      <c r="E24" s="49">
        <f t="shared" si="7"/>
        <v>2.58</v>
      </c>
      <c r="F24" s="49">
        <f t="shared" si="7"/>
        <v>781.96</v>
      </c>
      <c r="G24" s="49">
        <f t="shared" si="7"/>
        <v>42.22</v>
      </c>
      <c r="H24" s="49">
        <f t="shared" si="7"/>
        <v>21139.499999999996</v>
      </c>
      <c r="I24" s="49">
        <f t="shared" si="7"/>
        <v>948.62</v>
      </c>
      <c r="J24" s="49">
        <f t="shared" si="7"/>
        <v>22088.119999999995</v>
      </c>
      <c r="K24" s="49">
        <f t="shared" si="7"/>
        <v>6860.880000000006</v>
      </c>
      <c r="L24" s="49">
        <f t="shared" si="7"/>
        <v>-9123.943684210515</v>
      </c>
      <c r="M24" s="38"/>
      <c r="N24" s="41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4" ht="11.2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8"/>
      <c r="N26" s="39"/>
    </row>
    <row r="27" spans="1:13" s="44" customFormat="1" ht="11.25" customHeight="1">
      <c r="A27" s="31" t="s">
        <v>26</v>
      </c>
      <c r="B27" s="32">
        <v>55130100</v>
      </c>
      <c r="C27" s="33">
        <v>4523</v>
      </c>
      <c r="D27" s="33">
        <v>103.79</v>
      </c>
      <c r="E27" s="33">
        <v>2.69</v>
      </c>
      <c r="F27" s="33">
        <v>0</v>
      </c>
      <c r="G27" s="33">
        <v>0</v>
      </c>
      <c r="H27" s="33">
        <f>'1-14-16'!H27+D27+F27</f>
        <v>1724.29</v>
      </c>
      <c r="I27" s="33">
        <f>'1-14-16'!I27+E27+G27</f>
        <v>44.71999999999999</v>
      </c>
      <c r="J27" s="33">
        <f>H27+I27</f>
        <v>1769.01</v>
      </c>
      <c r="K27" s="33">
        <f>C27-J27</f>
        <v>2753.99</v>
      </c>
      <c r="L27" s="33">
        <f>C27-(J27/15.2*26.2)</f>
        <v>1473.7853947368421</v>
      </c>
      <c r="M27" s="45"/>
    </row>
    <row r="28" spans="1:13" s="44" customFormat="1" ht="11.25" customHeight="1">
      <c r="A28" s="31" t="s">
        <v>30</v>
      </c>
      <c r="B28" s="32">
        <v>55140100</v>
      </c>
      <c r="C28" s="33">
        <v>2995</v>
      </c>
      <c r="D28" s="33">
        <v>0</v>
      </c>
      <c r="E28" s="33">
        <v>0</v>
      </c>
      <c r="F28" s="33">
        <v>102.72</v>
      </c>
      <c r="G28" s="33">
        <v>5.54</v>
      </c>
      <c r="H28" s="33">
        <f>'1-14-16'!H28+D28+F28</f>
        <v>2131.44</v>
      </c>
      <c r="I28" s="33">
        <f>'1-14-16'!I28+E28+G28</f>
        <v>114.97</v>
      </c>
      <c r="J28" s="33">
        <f>H28+I28</f>
        <v>2246.41</v>
      </c>
      <c r="K28" s="33">
        <f>C28-J28</f>
        <v>748.5900000000001</v>
      </c>
      <c r="L28" s="33">
        <f>C28-(J28/15.2*26.2)</f>
        <v>-877.1014473684204</v>
      </c>
      <c r="M28" s="45"/>
    </row>
    <row r="29" spans="1:14" s="44" customFormat="1" ht="24.75" customHeight="1">
      <c r="A29" s="75" t="s">
        <v>39</v>
      </c>
      <c r="B29" s="76"/>
      <c r="C29" s="49">
        <f aca="true" t="shared" si="8" ref="C29:L29">SUM(C27:C28)</f>
        <v>7518</v>
      </c>
      <c r="D29" s="49">
        <f t="shared" si="8"/>
        <v>103.79</v>
      </c>
      <c r="E29" s="49">
        <f t="shared" si="8"/>
        <v>2.69</v>
      </c>
      <c r="F29" s="49">
        <f t="shared" si="8"/>
        <v>102.72</v>
      </c>
      <c r="G29" s="49">
        <f t="shared" si="8"/>
        <v>5.54</v>
      </c>
      <c r="H29" s="49">
        <f t="shared" si="8"/>
        <v>3855.73</v>
      </c>
      <c r="I29" s="49">
        <f t="shared" si="8"/>
        <v>159.69</v>
      </c>
      <c r="J29" s="62">
        <f t="shared" si="8"/>
        <v>4015.42</v>
      </c>
      <c r="K29" s="49">
        <f t="shared" si="8"/>
        <v>3502.58</v>
      </c>
      <c r="L29" s="49">
        <f t="shared" si="8"/>
        <v>596.6839473684217</v>
      </c>
      <c r="M29" s="42"/>
      <c r="N29" s="43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8"/>
      <c r="N31" s="39"/>
    </row>
    <row r="32" spans="1:14" s="44" customFormat="1" ht="11.25" customHeight="1">
      <c r="A32" s="31" t="s">
        <v>34</v>
      </c>
      <c r="B32" s="32">
        <v>55010000</v>
      </c>
      <c r="C32" s="33">
        <f>24725-15347</f>
        <v>9378</v>
      </c>
      <c r="D32" s="33">
        <v>0</v>
      </c>
      <c r="E32" s="33">
        <v>0</v>
      </c>
      <c r="F32" s="33">
        <f>129.6</f>
        <v>129.6</v>
      </c>
      <c r="G32" s="33">
        <f>6.99</f>
        <v>6.99</v>
      </c>
      <c r="H32" s="33">
        <f>'1-14-16'!H32+D32+F32</f>
        <v>129.6</v>
      </c>
      <c r="I32" s="33">
        <f>'1-14-16'!I32+E32+G32</f>
        <v>6.99</v>
      </c>
      <c r="J32" s="33">
        <f aca="true" t="shared" si="9" ref="J32:J37">H32+I32</f>
        <v>136.59</v>
      </c>
      <c r="K32" s="33">
        <f aca="true" t="shared" si="10" ref="K32:K37">C32-J32</f>
        <v>9241.41</v>
      </c>
      <c r="L32" s="33">
        <f aca="true" t="shared" si="11" ref="L32:L37">C32-(J32/15.2*26.2)</f>
        <v>9142.56197368421</v>
      </c>
      <c r="M32" s="42"/>
      <c r="N32" s="43"/>
    </row>
    <row r="33" spans="1:13" s="44" customFormat="1" ht="11.25" customHeight="1">
      <c r="A33" s="31" t="s">
        <v>31</v>
      </c>
      <c r="B33" s="32">
        <v>55080500</v>
      </c>
      <c r="C33" s="33">
        <v>10000</v>
      </c>
      <c r="D33" s="33">
        <v>297.72</v>
      </c>
      <c r="E33" s="33">
        <v>7.74</v>
      </c>
      <c r="F33" s="33">
        <f>-129.6</f>
        <v>-129.6</v>
      </c>
      <c r="G33" s="33">
        <f>-6.99</f>
        <v>-6.99</v>
      </c>
      <c r="H33" s="33">
        <f>'1-14-16'!H33+D33+F33</f>
        <v>3010.28</v>
      </c>
      <c r="I33" s="33">
        <f>'1-14-16'!I33+E33+G33</f>
        <v>78.25</v>
      </c>
      <c r="J33" s="33">
        <f t="shared" si="9"/>
        <v>3088.53</v>
      </c>
      <c r="K33" s="33">
        <f t="shared" si="10"/>
        <v>6911.469999999999</v>
      </c>
      <c r="L33" s="33">
        <f t="shared" si="11"/>
        <v>4676.349605263158</v>
      </c>
      <c r="M33" s="45"/>
    </row>
    <row r="34" spans="1:13" s="44" customFormat="1" ht="11.25" customHeight="1">
      <c r="A34" s="31" t="s">
        <v>32</v>
      </c>
      <c r="B34" s="32">
        <v>55050300</v>
      </c>
      <c r="C34" s="33">
        <v>15347</v>
      </c>
      <c r="D34" s="33">
        <v>196.48</v>
      </c>
      <c r="E34" s="33">
        <v>5.1</v>
      </c>
      <c r="F34" s="33">
        <v>378</v>
      </c>
      <c r="G34" s="33">
        <v>20.41</v>
      </c>
      <c r="H34" s="33">
        <f>'1-14-16'!H34+D34+F34</f>
        <v>10833.119999999999</v>
      </c>
      <c r="I34" s="33">
        <f>'1-14-16'!I34+E34+G34</f>
        <v>571.8599999999999</v>
      </c>
      <c r="J34" s="33">
        <f t="shared" si="9"/>
        <v>11404.98</v>
      </c>
      <c r="K34" s="33">
        <f t="shared" si="10"/>
        <v>3942.0200000000004</v>
      </c>
      <c r="L34" s="33">
        <f t="shared" si="11"/>
        <v>-4311.583947368421</v>
      </c>
      <c r="M34" s="45"/>
    </row>
    <row r="35" spans="1:13" s="44" customFormat="1" ht="11.25" customHeight="1">
      <c r="A35" s="31" t="s">
        <v>43</v>
      </c>
      <c r="B35" s="32">
        <v>55160300</v>
      </c>
      <c r="C35" s="33">
        <f>43385.81+42388.29</f>
        <v>85774.1</v>
      </c>
      <c r="D35" s="33">
        <v>0</v>
      </c>
      <c r="E35" s="33">
        <v>0</v>
      </c>
      <c r="F35" s="33">
        <v>3154.26</v>
      </c>
      <c r="G35" s="33">
        <v>170.33</v>
      </c>
      <c r="H35" s="33">
        <f>'1-14-16'!H35+D35+F35</f>
        <v>46682.950000000004</v>
      </c>
      <c r="I35" s="33">
        <f>'1-14-16'!I35+E35+G35</f>
        <v>2520.7599999999993</v>
      </c>
      <c r="J35" s="33">
        <f t="shared" si="9"/>
        <v>49203.71000000001</v>
      </c>
      <c r="K35" s="33">
        <f t="shared" si="10"/>
        <v>36570.39</v>
      </c>
      <c r="L35" s="33">
        <f t="shared" si="11"/>
        <v>962.4419736842101</v>
      </c>
      <c r="M35" s="45"/>
    </row>
    <row r="36" spans="1:13" s="44" customFormat="1" ht="11.25" customHeight="1" hidden="1">
      <c r="A36" s="31" t="s">
        <v>47</v>
      </c>
      <c r="B36" s="32">
        <v>55010100</v>
      </c>
      <c r="C36" s="33"/>
      <c r="D36" s="33"/>
      <c r="E36" s="33"/>
      <c r="F36" s="33"/>
      <c r="G36" s="33"/>
      <c r="H36" s="33">
        <f>'1-14-16'!H36+D36+F36</f>
        <v>-64.2</v>
      </c>
      <c r="I36" s="33">
        <f>'1-14-16'!I36+E36+G36</f>
        <v>-1.67</v>
      </c>
      <c r="J36" s="33">
        <f t="shared" si="9"/>
        <v>-65.87</v>
      </c>
      <c r="K36" s="33">
        <f t="shared" si="10"/>
        <v>65.87</v>
      </c>
      <c r="L36" s="33">
        <f t="shared" si="11"/>
        <v>113.53907894736842</v>
      </c>
      <c r="M36" s="45"/>
    </row>
    <row r="37" spans="1:13" s="44" customFormat="1" ht="11.25" customHeight="1">
      <c r="A37" s="31" t="s">
        <v>48</v>
      </c>
      <c r="B37" s="32" t="s">
        <v>49</v>
      </c>
      <c r="C37" s="33">
        <v>4086</v>
      </c>
      <c r="D37" s="33">
        <v>0</v>
      </c>
      <c r="E37" s="33">
        <v>0</v>
      </c>
      <c r="F37" s="33">
        <v>0</v>
      </c>
      <c r="G37" s="33">
        <v>0</v>
      </c>
      <c r="H37" s="33">
        <f>'1-14-16'!H37+D37+F37</f>
        <v>0</v>
      </c>
      <c r="I37" s="33">
        <f>'1-14-16'!I37+E37+G37</f>
        <v>0</v>
      </c>
      <c r="J37" s="33">
        <f t="shared" si="9"/>
        <v>0</v>
      </c>
      <c r="K37" s="33">
        <f t="shared" si="10"/>
        <v>4086</v>
      </c>
      <c r="L37" s="33">
        <f t="shared" si="11"/>
        <v>4086</v>
      </c>
      <c r="M37" s="45"/>
    </row>
    <row r="38" spans="1:14" ht="24.75" customHeight="1">
      <c r="A38" s="75" t="s">
        <v>40</v>
      </c>
      <c r="B38" s="76"/>
      <c r="C38" s="49">
        <f>SUM(C32:C37)</f>
        <v>124585.1</v>
      </c>
      <c r="D38" s="49">
        <f aca="true" t="shared" si="12" ref="D38:L38">SUM(D32:D37)</f>
        <v>494.20000000000005</v>
      </c>
      <c r="E38" s="49">
        <f t="shared" si="12"/>
        <v>12.84</v>
      </c>
      <c r="F38" s="49">
        <f t="shared" si="12"/>
        <v>3532.26</v>
      </c>
      <c r="G38" s="49">
        <f t="shared" si="12"/>
        <v>190.74</v>
      </c>
      <c r="H38" s="49">
        <f t="shared" si="12"/>
        <v>60591.75000000001</v>
      </c>
      <c r="I38" s="49">
        <f t="shared" si="12"/>
        <v>3176.189999999999</v>
      </c>
      <c r="J38" s="49">
        <f t="shared" si="12"/>
        <v>63767.94</v>
      </c>
      <c r="K38" s="49">
        <f t="shared" si="12"/>
        <v>60817.16</v>
      </c>
      <c r="L38" s="49">
        <f t="shared" si="12"/>
        <v>14669.308684210526</v>
      </c>
      <c r="M38" s="38"/>
      <c r="N38" s="39"/>
    </row>
    <row r="39" spans="1:14" ht="11.25" customHeight="1">
      <c r="A39" s="28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8"/>
      <c r="N39" s="39"/>
    </row>
    <row r="40" spans="1:14" ht="11.25" customHeight="1">
      <c r="A40" s="28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8"/>
      <c r="N40" s="39"/>
    </row>
    <row r="41" spans="1:14" ht="24.75" customHeight="1">
      <c r="A41" s="76" t="s">
        <v>42</v>
      </c>
      <c r="B41" s="76"/>
      <c r="C41" s="49">
        <f>C13+C19+C24+C29+C38</f>
        <v>399075.1</v>
      </c>
      <c r="D41" s="49">
        <f aca="true" t="shared" si="13" ref="D41:L41">D13+D19+D24+D29+D38</f>
        <v>7055.9</v>
      </c>
      <c r="E41" s="49">
        <f t="shared" si="13"/>
        <v>183.36</v>
      </c>
      <c r="F41" s="49">
        <f t="shared" si="13"/>
        <v>5420.450000000001</v>
      </c>
      <c r="G41" s="49">
        <f t="shared" si="13"/>
        <v>292.68</v>
      </c>
      <c r="H41" s="49">
        <f t="shared" si="13"/>
        <v>190143.18</v>
      </c>
      <c r="I41" s="49">
        <f t="shared" si="13"/>
        <v>7682.24</v>
      </c>
      <c r="J41" s="49">
        <f t="shared" si="13"/>
        <v>197825.41999999998</v>
      </c>
      <c r="K41" s="49">
        <f t="shared" si="13"/>
        <v>201249.68000000002</v>
      </c>
      <c r="L41" s="49">
        <f t="shared" si="13"/>
        <v>58086.547105263184</v>
      </c>
      <c r="M41" s="38"/>
      <c r="N41" s="39"/>
    </row>
    <row r="42" spans="1:14" ht="11.25" customHeight="1">
      <c r="A42" s="54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38"/>
      <c r="N42" s="39"/>
    </row>
    <row r="43" spans="1:14" ht="11.25" customHeight="1">
      <c r="A43" s="54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38"/>
      <c r="N43" s="39"/>
    </row>
    <row r="44" spans="1:14" s="44" customFormat="1" ht="12" customHeight="1">
      <c r="A44" s="31" t="s">
        <v>27</v>
      </c>
      <c r="B44" s="31" t="s">
        <v>28</v>
      </c>
      <c r="C44" s="33">
        <v>61829</v>
      </c>
      <c r="D44" s="33">
        <v>1118.81</v>
      </c>
      <c r="E44" s="33">
        <v>29.08</v>
      </c>
      <c r="F44" s="33">
        <v>0</v>
      </c>
      <c r="G44" s="33">
        <v>0</v>
      </c>
      <c r="H44" s="33">
        <f>'1-14-16'!H44+D44+F44</f>
        <v>26174.46</v>
      </c>
      <c r="I44" s="33">
        <f>'1-14-16'!I44+E44+G44</f>
        <v>856.2600000000001</v>
      </c>
      <c r="J44" s="33">
        <f>H44+I44</f>
        <v>27030.719999999998</v>
      </c>
      <c r="K44" s="33">
        <f>C44-J44</f>
        <v>34798.28</v>
      </c>
      <c r="L44" s="33">
        <f>C44-(J44/15.2*26.2)</f>
        <v>15236.574736842107</v>
      </c>
      <c r="M44" s="42"/>
      <c r="N44" s="43"/>
    </row>
    <row r="45" spans="1:14" ht="12" customHeight="1">
      <c r="A45" s="6"/>
      <c r="B45" s="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38"/>
      <c r="N45" s="39"/>
    </row>
    <row r="46" spans="1:14" ht="12" customHeight="1">
      <c r="A46" s="6" t="s">
        <v>29</v>
      </c>
      <c r="B46" s="6" t="s">
        <v>35</v>
      </c>
      <c r="C46" s="27">
        <v>15000</v>
      </c>
      <c r="D46" s="27">
        <v>0</v>
      </c>
      <c r="E46" s="27">
        <v>0</v>
      </c>
      <c r="F46" s="27">
        <f>412.92</f>
        <v>412.92</v>
      </c>
      <c r="G46" s="27">
        <f>22.29</f>
        <v>22.29</v>
      </c>
      <c r="H46" s="33">
        <f>'1-14-16'!H46+D46+F46</f>
        <v>8949.609999999999</v>
      </c>
      <c r="I46" s="33">
        <f>'1-14-16'!I46+E46+G46</f>
        <v>483.19000000000005</v>
      </c>
      <c r="J46" s="33">
        <f>H46+I46</f>
        <v>9432.8</v>
      </c>
      <c r="K46" s="27">
        <f>C46-J46</f>
        <v>5567.200000000001</v>
      </c>
      <c r="L46" s="33">
        <f>C46-(J46/15.2*26.2)</f>
        <v>-1259.168421052631</v>
      </c>
      <c r="M46" s="38"/>
      <c r="N46" s="39"/>
    </row>
    <row r="47" spans="1:14" ht="12" customHeight="1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38"/>
      <c r="N47" s="39"/>
    </row>
    <row r="48" spans="1:14" ht="12" customHeight="1">
      <c r="A48" s="50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38"/>
      <c r="N48" s="39"/>
    </row>
    <row r="49" spans="1:14" ht="24.75" customHeight="1">
      <c r="A49" s="51" t="s">
        <v>41</v>
      </c>
      <c r="B49" s="52"/>
      <c r="C49" s="53">
        <f>C44+C46</f>
        <v>76829</v>
      </c>
      <c r="D49" s="53">
        <f aca="true" t="shared" si="14" ref="D49:L49">D44+D46</f>
        <v>1118.81</v>
      </c>
      <c r="E49" s="53">
        <f t="shared" si="14"/>
        <v>29.08</v>
      </c>
      <c r="F49" s="53">
        <f t="shared" si="14"/>
        <v>412.92</v>
      </c>
      <c r="G49" s="53">
        <f t="shared" si="14"/>
        <v>22.29</v>
      </c>
      <c r="H49" s="53">
        <f t="shared" si="14"/>
        <v>35124.07</v>
      </c>
      <c r="I49" s="53">
        <f t="shared" si="14"/>
        <v>1339.4500000000003</v>
      </c>
      <c r="J49" s="53">
        <f t="shared" si="14"/>
        <v>36463.52</v>
      </c>
      <c r="K49" s="53">
        <f t="shared" si="14"/>
        <v>40365.479999999996</v>
      </c>
      <c r="L49" s="53">
        <f t="shared" si="14"/>
        <v>13977.406315789476</v>
      </c>
      <c r="M49" s="38"/>
      <c r="N49" s="12"/>
    </row>
    <row r="50" spans="1:14" ht="24" customHeight="1">
      <c r="A50" s="9"/>
      <c r="B50" s="10"/>
      <c r="C50" s="11"/>
      <c r="H50" s="11"/>
      <c r="I50" s="11"/>
      <c r="J50" s="11"/>
      <c r="K50" s="11"/>
      <c r="L50" s="11"/>
      <c r="M50" s="38"/>
      <c r="N50" s="12"/>
    </row>
    <row r="51" spans="1:14" ht="33.75">
      <c r="A51" s="57" t="s">
        <v>44</v>
      </c>
      <c r="B51" s="58">
        <v>43385.81</v>
      </c>
      <c r="C51" s="13"/>
      <c r="D51" s="13"/>
      <c r="E51" s="13"/>
      <c r="F51" s="13"/>
      <c r="G51" s="13"/>
      <c r="H51" s="46"/>
      <c r="I51" s="46"/>
      <c r="J51" s="46"/>
      <c r="K51" s="46"/>
      <c r="L51" s="46"/>
      <c r="M51" s="38"/>
      <c r="N51" s="12"/>
    </row>
    <row r="52" spans="1:14" ht="33.75">
      <c r="A52" s="9" t="s">
        <v>45</v>
      </c>
      <c r="B52" s="58">
        <v>10000</v>
      </c>
      <c r="C52" s="16"/>
      <c r="D52" s="11"/>
      <c r="E52" s="11"/>
      <c r="F52" s="11"/>
      <c r="G52" s="11"/>
      <c r="H52" s="11"/>
      <c r="I52" s="2"/>
      <c r="J52" s="11"/>
      <c r="K52" s="11"/>
      <c r="L52" s="11"/>
      <c r="M52" s="38"/>
      <c r="N52" s="12"/>
    </row>
    <row r="53" spans="1:14" ht="22.5">
      <c r="A53" s="14" t="s">
        <v>46</v>
      </c>
      <c r="B53" s="58">
        <v>15347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2"/>
    </row>
    <row r="54" spans="1:14" ht="33.75">
      <c r="A54" s="14" t="s">
        <v>50</v>
      </c>
      <c r="B54" s="58">
        <v>5000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7"/>
    </row>
    <row r="55" spans="1:14" ht="22.5">
      <c r="A55" s="14" t="s">
        <v>52</v>
      </c>
      <c r="B55" s="58">
        <v>42388.29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  <c r="N55" s="12"/>
    </row>
    <row r="56" spans="1:14" ht="22.5" customHeight="1">
      <c r="A56" s="14"/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  <c r="N56" s="12"/>
    </row>
    <row r="57" spans="1:14" ht="15">
      <c r="A57" s="18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N57" s="12"/>
    </row>
    <row r="58" spans="1:14" ht="15" customHeight="1">
      <c r="A58" s="18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 customHeight="1">
      <c r="A59" s="19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9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15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25.5" customHeight="1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15" customHeight="1">
      <c r="A64" s="18"/>
      <c r="B64" s="10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12"/>
    </row>
    <row r="65" spans="1:14" ht="15" customHeight="1">
      <c r="A65" s="20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12"/>
    </row>
    <row r="66" spans="1:14" ht="15" customHeight="1">
      <c r="A66" s="22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3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5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7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47"/>
      <c r="N72" s="24"/>
    </row>
    <row r="73" spans="1:14" ht="11.25" customHeight="1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N73" s="24"/>
    </row>
    <row r="74" spans="1:13" ht="15">
      <c r="A74" s="22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36"/>
    </row>
    <row r="75" spans="1:13" ht="15">
      <c r="A75" s="22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36"/>
    </row>
    <row r="76" spans="1:12" ht="15">
      <c r="A76" s="22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4" s="35" customFormat="1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  <c r="N82" s="36"/>
    </row>
    <row r="83" spans="1:12" ht="15">
      <c r="A83" s="24"/>
      <c r="B83" s="24"/>
      <c r="C83" s="48"/>
      <c r="D83" s="48"/>
      <c r="E83" s="48"/>
      <c r="F83" s="48"/>
      <c r="G83" s="48"/>
      <c r="H83" s="48"/>
      <c r="I83" s="48"/>
      <c r="J83" s="48"/>
      <c r="K83" s="48"/>
      <c r="L83" s="48"/>
    </row>
  </sheetData>
  <sheetProtection/>
  <mergeCells count="6">
    <mergeCell ref="A13:B13"/>
    <mergeCell ref="A19:B19"/>
    <mergeCell ref="A24:B24"/>
    <mergeCell ref="A29:B29"/>
    <mergeCell ref="A38:B38"/>
    <mergeCell ref="A41:B4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6" sqref="L6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7.5742187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s="44" customFormat="1" ht="11.25" customHeight="1">
      <c r="A3" s="31" t="s">
        <v>11</v>
      </c>
      <c r="B3" s="32">
        <v>55010500</v>
      </c>
      <c r="C3" s="33">
        <f>9670-5000</f>
        <v>4670</v>
      </c>
      <c r="D3" s="33">
        <v>0</v>
      </c>
      <c r="E3" s="33">
        <v>0</v>
      </c>
      <c r="F3" s="33">
        <v>0</v>
      </c>
      <c r="G3" s="33">
        <v>0</v>
      </c>
      <c r="H3" s="33">
        <f>'1-28-16'!H3+D3+F3</f>
        <v>604.8</v>
      </c>
      <c r="I3" s="33">
        <f>'1-28-16'!I3+E3+G3</f>
        <v>32.629999999999995</v>
      </c>
      <c r="J3" s="33">
        <f>H3+I3</f>
        <v>637.43</v>
      </c>
      <c r="K3" s="33">
        <f>C3-J3</f>
        <v>4032.57</v>
      </c>
      <c r="L3" s="33">
        <f>C3-(J3/16.2*26.2)</f>
        <v>3639.0946913580246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v>32649</v>
      </c>
      <c r="D4" s="33">
        <v>391.33</v>
      </c>
      <c r="E4" s="33">
        <v>10.17</v>
      </c>
      <c r="F4" s="33">
        <v>0</v>
      </c>
      <c r="G4" s="33">
        <v>0</v>
      </c>
      <c r="H4" s="33">
        <f>'1-28-16'!H4+D4+F4</f>
        <v>6251.029999999999</v>
      </c>
      <c r="I4" s="33">
        <f>'1-28-16'!I4+E4+G4</f>
        <v>231.45000000000002</v>
      </c>
      <c r="J4" s="33">
        <f>H4+I4</f>
        <v>6482.479999999999</v>
      </c>
      <c r="K4" s="33">
        <f>C4-J4</f>
        <v>26166.52</v>
      </c>
      <c r="L4" s="33">
        <f aca="true" t="shared" si="0" ref="L4:L12">C4-(J4/16.2*26.2)</f>
        <v>22164.98913580247</v>
      </c>
      <c r="M4" s="45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643.85</v>
      </c>
      <c r="E5" s="33">
        <v>16.72</v>
      </c>
      <c r="F5" s="33">
        <v>0</v>
      </c>
      <c r="G5" s="33">
        <v>0</v>
      </c>
      <c r="H5" s="33">
        <f>'1-28-16'!H5+D5+F5</f>
        <v>6891.040000000001</v>
      </c>
      <c r="I5" s="33">
        <f>'1-28-16'!I5+E5+G5</f>
        <v>179.03</v>
      </c>
      <c r="J5" s="33">
        <f aca="true" t="shared" si="1" ref="J5:J11">H5+I5</f>
        <v>7070.070000000001</v>
      </c>
      <c r="K5" s="33">
        <f aca="true" t="shared" si="2" ref="K5:K11">C5-J5</f>
        <v>10903.93</v>
      </c>
      <c r="L5" s="33">
        <f t="shared" si="0"/>
        <v>6539.689259259258</v>
      </c>
      <c r="M5" s="45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480.83</v>
      </c>
      <c r="E6" s="33">
        <v>12.48</v>
      </c>
      <c r="F6" s="33">
        <v>0</v>
      </c>
      <c r="G6" s="33">
        <v>0</v>
      </c>
      <c r="H6" s="33">
        <f>'1-28-16'!H6+D6+F6</f>
        <v>6582.170000000001</v>
      </c>
      <c r="I6" s="33">
        <f>'1-28-16'!I6+E6+G6</f>
        <v>170.9</v>
      </c>
      <c r="J6" s="33">
        <f>H6+I6</f>
        <v>6753.070000000001</v>
      </c>
      <c r="K6" s="33">
        <f t="shared" si="2"/>
        <v>11220.93</v>
      </c>
      <c r="L6" s="33">
        <f t="shared" si="0"/>
        <v>7052.368271604937</v>
      </c>
      <c r="M6" s="45"/>
      <c r="N6" s="61"/>
    </row>
    <row r="7" spans="1:13" s="44" customFormat="1" ht="11.25" customHeight="1">
      <c r="A7" s="31" t="s">
        <v>15</v>
      </c>
      <c r="B7" s="32">
        <v>55030200</v>
      </c>
      <c r="C7" s="33">
        <v>24330</v>
      </c>
      <c r="D7" s="33">
        <v>631.17</v>
      </c>
      <c r="E7" s="33">
        <v>16.4</v>
      </c>
      <c r="F7" s="33">
        <v>0</v>
      </c>
      <c r="G7" s="33">
        <v>0</v>
      </c>
      <c r="H7" s="33">
        <f>'1-28-16'!H7+D7+F7</f>
        <v>11660.46</v>
      </c>
      <c r="I7" s="33">
        <f>'1-28-16'!I7+E7+G7</f>
        <v>303.05</v>
      </c>
      <c r="J7" s="33">
        <f t="shared" si="1"/>
        <v>11963.509999999998</v>
      </c>
      <c r="K7" s="33">
        <f t="shared" si="2"/>
        <v>12366.490000000002</v>
      </c>
      <c r="L7" s="33">
        <f t="shared" si="0"/>
        <v>4981.60728395062</v>
      </c>
      <c r="M7" s="45"/>
    </row>
    <row r="8" spans="1:13" s="44" customFormat="1" ht="11.25" customHeight="1">
      <c r="A8" s="31" t="s">
        <v>16</v>
      </c>
      <c r="B8" s="32">
        <v>55050200</v>
      </c>
      <c r="C8" s="33">
        <f>29837</f>
        <v>29837</v>
      </c>
      <c r="D8" s="33">
        <v>1160.65</v>
      </c>
      <c r="E8" s="33">
        <v>30.16</v>
      </c>
      <c r="F8" s="33">
        <v>0</v>
      </c>
      <c r="G8" s="33">
        <v>0</v>
      </c>
      <c r="H8" s="33">
        <f>'1-28-16'!H8+D8+F8</f>
        <v>15925.499999999998</v>
      </c>
      <c r="I8" s="33">
        <f>'1-28-16'!I8+E8+G8</f>
        <v>560.5699999999999</v>
      </c>
      <c r="J8" s="33">
        <f t="shared" si="1"/>
        <v>16486.07</v>
      </c>
      <c r="K8" s="33">
        <f t="shared" si="2"/>
        <v>13350.93</v>
      </c>
      <c r="L8" s="33">
        <f t="shared" si="0"/>
        <v>3174.343580246914</v>
      </c>
      <c r="M8" s="45"/>
    </row>
    <row r="9" spans="1:13" s="44" customFormat="1" ht="11.25" customHeight="1">
      <c r="A9" s="31" t="s">
        <v>51</v>
      </c>
      <c r="B9" s="32">
        <v>55050400</v>
      </c>
      <c r="C9" s="33">
        <v>5000</v>
      </c>
      <c r="D9" s="33">
        <v>0</v>
      </c>
      <c r="E9" s="33">
        <v>0</v>
      </c>
      <c r="F9" s="33">
        <v>0</v>
      </c>
      <c r="G9" s="33">
        <v>0</v>
      </c>
      <c r="H9" s="33">
        <f>'1-28-16'!H9+D9+F9</f>
        <v>0</v>
      </c>
      <c r="I9" s="33">
        <f>'1-28-16'!I9+E9+G9</f>
        <v>0</v>
      </c>
      <c r="J9" s="33">
        <f t="shared" si="1"/>
        <v>0</v>
      </c>
      <c r="K9" s="33">
        <f t="shared" si="2"/>
        <v>5000</v>
      </c>
      <c r="L9" s="33">
        <f t="shared" si="0"/>
        <v>5000</v>
      </c>
      <c r="M9" s="45"/>
    </row>
    <row r="10" spans="1:13" s="44" customFormat="1" ht="11.25" customHeight="1">
      <c r="A10" s="31" t="s">
        <v>17</v>
      </c>
      <c r="B10" s="32">
        <v>55070100</v>
      </c>
      <c r="C10" s="33">
        <f>26873+10510+5358</f>
        <v>42741</v>
      </c>
      <c r="D10" s="33">
        <v>-245.55</v>
      </c>
      <c r="E10" s="33">
        <v>-6.39</v>
      </c>
      <c r="F10" s="33">
        <v>870.25</v>
      </c>
      <c r="G10" s="33">
        <v>46.97</v>
      </c>
      <c r="H10" s="33">
        <f>'1-28-16'!H10+D10+F10</f>
        <v>33220.1</v>
      </c>
      <c r="I10" s="33">
        <f>'1-28-16'!I10+E10+G10</f>
        <v>1166.7</v>
      </c>
      <c r="J10" s="33">
        <f t="shared" si="1"/>
        <v>34386.799999999996</v>
      </c>
      <c r="K10" s="33">
        <f t="shared" si="2"/>
        <v>8354.200000000004</v>
      </c>
      <c r="L10" s="33">
        <f t="shared" si="0"/>
        <v>-12872.219753086407</v>
      </c>
      <c r="M10" s="45"/>
    </row>
    <row r="11" spans="1:13" s="44" customFormat="1" ht="11.25" customHeight="1">
      <c r="A11" s="31" t="s">
        <v>18</v>
      </c>
      <c r="B11" s="32">
        <v>55070400</v>
      </c>
      <c r="C11" s="33">
        <v>3000</v>
      </c>
      <c r="D11" s="33">
        <v>0</v>
      </c>
      <c r="E11" s="33">
        <v>0</v>
      </c>
      <c r="F11" s="33">
        <v>0</v>
      </c>
      <c r="G11" s="33">
        <v>0</v>
      </c>
      <c r="H11" s="33">
        <f>'1-28-16'!H11+D11+F11</f>
        <v>0</v>
      </c>
      <c r="I11" s="33">
        <f>'1-28-16'!I11+E11+G11</f>
        <v>0</v>
      </c>
      <c r="J11" s="33">
        <f t="shared" si="1"/>
        <v>0</v>
      </c>
      <c r="K11" s="33">
        <f t="shared" si="2"/>
        <v>3000</v>
      </c>
      <c r="L11" s="33">
        <f t="shared" si="0"/>
        <v>3000</v>
      </c>
      <c r="M11" s="45"/>
    </row>
    <row r="12" spans="1:13" s="44" customFormat="1" ht="11.25" customHeight="1">
      <c r="A12" s="31" t="s">
        <v>20</v>
      </c>
      <c r="B12" s="32">
        <v>55080100</v>
      </c>
      <c r="C12" s="33">
        <v>23173</v>
      </c>
      <c r="D12" s="33">
        <v>569.48</v>
      </c>
      <c r="E12" s="33">
        <v>14.79</v>
      </c>
      <c r="F12" s="33">
        <v>185.02</v>
      </c>
      <c r="G12" s="33">
        <v>9.98</v>
      </c>
      <c r="H12" s="33">
        <f>'1-28-16'!H12+D12+F12</f>
        <v>15193.060000000003</v>
      </c>
      <c r="I12" s="33">
        <f>'1-28-16'!I12+E12+G12</f>
        <v>469.06000000000006</v>
      </c>
      <c r="J12" s="33">
        <f>H12+I12</f>
        <v>15662.120000000003</v>
      </c>
      <c r="K12" s="33">
        <f>C12-J12</f>
        <v>7510.879999999997</v>
      </c>
      <c r="L12" s="33">
        <f t="shared" si="0"/>
        <v>-2157.0953086419795</v>
      </c>
      <c r="M12" s="45"/>
    </row>
    <row r="13" spans="1:14" ht="24.75" customHeight="1">
      <c r="A13" s="75" t="s">
        <v>36</v>
      </c>
      <c r="B13" s="76"/>
      <c r="C13" s="49">
        <f>SUM(C3:C12)</f>
        <v>201348</v>
      </c>
      <c r="D13" s="49">
        <f aca="true" t="shared" si="3" ref="D13:L13">SUM(D3:D12)</f>
        <v>3631.7599999999998</v>
      </c>
      <c r="E13" s="49">
        <f t="shared" si="3"/>
        <v>94.33000000000001</v>
      </c>
      <c r="F13" s="49">
        <f t="shared" si="3"/>
        <v>1055.27</v>
      </c>
      <c r="G13" s="49">
        <f t="shared" si="3"/>
        <v>56.95</v>
      </c>
      <c r="H13" s="49">
        <f t="shared" si="3"/>
        <v>96328.16</v>
      </c>
      <c r="I13" s="49">
        <f t="shared" si="3"/>
        <v>3113.39</v>
      </c>
      <c r="J13" s="49">
        <f t="shared" si="3"/>
        <v>99441.54999999999</v>
      </c>
      <c r="K13" s="49">
        <f t="shared" si="3"/>
        <v>101906.45000000001</v>
      </c>
      <c r="L13" s="49">
        <f t="shared" si="3"/>
        <v>40522.777160493846</v>
      </c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28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38"/>
      <c r="N15" s="39"/>
    </row>
    <row r="16" spans="1:14" s="44" customFormat="1" ht="11.25" customHeight="1">
      <c r="A16" s="31" t="s">
        <v>19</v>
      </c>
      <c r="B16" s="32">
        <v>55030100</v>
      </c>
      <c r="C16" s="33">
        <v>13540</v>
      </c>
      <c r="D16" s="33">
        <v>374.42</v>
      </c>
      <c r="E16" s="33">
        <v>9.72</v>
      </c>
      <c r="F16" s="33">
        <v>0</v>
      </c>
      <c r="G16" s="33">
        <v>0</v>
      </c>
      <c r="H16" s="33">
        <f>'1-28-16'!H16+D16+F16</f>
        <v>5059.909999999999</v>
      </c>
      <c r="I16" s="33">
        <f>'1-28-16'!I16+E16+G16</f>
        <v>147.07</v>
      </c>
      <c r="J16" s="33">
        <f aca="true" t="shared" si="4" ref="J16:J23">H16+I16</f>
        <v>5206.979999999999</v>
      </c>
      <c r="K16" s="33">
        <f aca="true" t="shared" si="5" ref="K16:K23">C16-J16</f>
        <v>8333.02</v>
      </c>
      <c r="L16" s="33">
        <f>C16-(J16/16.2*26.2)</f>
        <v>5118.834814814816</v>
      </c>
      <c r="M16" s="42"/>
      <c r="N16" s="43"/>
    </row>
    <row r="17" spans="1:14" s="44" customFormat="1" ht="11.25" customHeight="1">
      <c r="A17" s="31" t="s">
        <v>33</v>
      </c>
      <c r="B17" s="32">
        <v>55110100</v>
      </c>
      <c r="C17" s="33">
        <v>7073</v>
      </c>
      <c r="D17" s="33">
        <v>31.12</v>
      </c>
      <c r="E17" s="33">
        <v>0.8</v>
      </c>
      <c r="F17" s="33">
        <v>0</v>
      </c>
      <c r="G17" s="33">
        <v>0</v>
      </c>
      <c r="H17" s="33">
        <f>'1-28-16'!H17+D17+F17</f>
        <v>520.2800000000001</v>
      </c>
      <c r="I17" s="33">
        <f>'1-28-16'!I17+E17+G17</f>
        <v>13.45</v>
      </c>
      <c r="J17" s="33">
        <f t="shared" si="4"/>
        <v>533.7300000000001</v>
      </c>
      <c r="K17" s="33">
        <f t="shared" si="5"/>
        <v>6539.2699999999995</v>
      </c>
      <c r="L17" s="33">
        <f>C17-(J17/16.2*26.2)</f>
        <v>6209.807037037037</v>
      </c>
      <c r="M17" s="42"/>
      <c r="N17" s="43"/>
    </row>
    <row r="18" spans="1:14" s="44" customFormat="1" ht="11.25" customHeight="1">
      <c r="A18" s="31" t="s">
        <v>23</v>
      </c>
      <c r="B18" s="32">
        <v>55160100</v>
      </c>
      <c r="C18" s="33">
        <v>16062</v>
      </c>
      <c r="D18" s="33">
        <v>502.63</v>
      </c>
      <c r="E18" s="33">
        <v>13.06</v>
      </c>
      <c r="F18" s="33">
        <v>44.05</v>
      </c>
      <c r="G18" s="33">
        <v>2.37</v>
      </c>
      <c r="H18" s="33">
        <f>'1-28-16'!H18+D18+F18</f>
        <v>8287.099999999997</v>
      </c>
      <c r="I18" s="33">
        <f>'1-28-16'!I18+E18+G18</f>
        <v>301.06000000000006</v>
      </c>
      <c r="J18" s="33">
        <f t="shared" si="4"/>
        <v>8588.159999999996</v>
      </c>
      <c r="K18" s="33">
        <f t="shared" si="5"/>
        <v>7473.840000000004</v>
      </c>
      <c r="L18" s="33">
        <f>C18-(J18/16.2*26.2)</f>
        <v>2172.5066666666735</v>
      </c>
      <c r="M18" s="42"/>
      <c r="N18" s="60"/>
    </row>
    <row r="19" spans="1:14" ht="24.75" customHeight="1">
      <c r="A19" s="75" t="s">
        <v>37</v>
      </c>
      <c r="B19" s="76"/>
      <c r="C19" s="49">
        <f>SUM(C16:C18)</f>
        <v>36675</v>
      </c>
      <c r="D19" s="49">
        <f aca="true" t="shared" si="6" ref="D19:L19">SUM(D16:D18)</f>
        <v>908.1700000000001</v>
      </c>
      <c r="E19" s="49">
        <f t="shared" si="6"/>
        <v>23.580000000000002</v>
      </c>
      <c r="F19" s="49">
        <f t="shared" si="6"/>
        <v>44.05</v>
      </c>
      <c r="G19" s="49">
        <f t="shared" si="6"/>
        <v>2.37</v>
      </c>
      <c r="H19" s="49">
        <f t="shared" si="6"/>
        <v>13867.289999999995</v>
      </c>
      <c r="I19" s="49">
        <f t="shared" si="6"/>
        <v>461.58000000000004</v>
      </c>
      <c r="J19" s="49">
        <f t="shared" si="6"/>
        <v>14328.869999999995</v>
      </c>
      <c r="K19" s="49">
        <f t="shared" si="6"/>
        <v>22346.130000000005</v>
      </c>
      <c r="L19" s="49">
        <f t="shared" si="6"/>
        <v>13501.148518518527</v>
      </c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28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38"/>
      <c r="N21" s="41"/>
    </row>
    <row r="22" spans="1:14" s="44" customFormat="1" ht="11.25" customHeight="1">
      <c r="A22" s="31" t="s">
        <v>21</v>
      </c>
      <c r="B22" s="32">
        <v>55090100</v>
      </c>
      <c r="C22" s="33">
        <v>26923</v>
      </c>
      <c r="D22" s="33">
        <v>153.68</v>
      </c>
      <c r="E22" s="33">
        <v>3.99</v>
      </c>
      <c r="F22" s="33">
        <v>985.36</v>
      </c>
      <c r="G22" s="33">
        <v>53.19</v>
      </c>
      <c r="H22" s="33">
        <f>'1-28-16'!H22+D22+F22</f>
        <v>21889.819999999996</v>
      </c>
      <c r="I22" s="33">
        <f>'1-28-16'!I22+E22+G22</f>
        <v>984.8199999999999</v>
      </c>
      <c r="J22" s="33">
        <f t="shared" si="4"/>
        <v>22874.639999999996</v>
      </c>
      <c r="K22" s="33">
        <f t="shared" si="5"/>
        <v>4048.360000000004</v>
      </c>
      <c r="L22" s="33">
        <f>C22-(J22/16.2*26.2)</f>
        <v>-10071.788148148138</v>
      </c>
      <c r="M22" s="42"/>
      <c r="N22" s="60"/>
    </row>
    <row r="23" spans="1:14" s="44" customFormat="1" ht="11.25" customHeight="1">
      <c r="A23" s="31" t="s">
        <v>22</v>
      </c>
      <c r="B23" s="32">
        <v>55100100</v>
      </c>
      <c r="C23" s="33">
        <v>2026</v>
      </c>
      <c r="D23" s="33">
        <v>0</v>
      </c>
      <c r="E23" s="33">
        <v>0</v>
      </c>
      <c r="F23" s="33">
        <v>0</v>
      </c>
      <c r="G23" s="33">
        <v>0</v>
      </c>
      <c r="H23" s="33">
        <f>'1-28-16'!H23+D23+F23</f>
        <v>388.72</v>
      </c>
      <c r="I23" s="33">
        <f>'1-28-16'!I23+E23+G23</f>
        <v>20.98</v>
      </c>
      <c r="J23" s="33">
        <f t="shared" si="4"/>
        <v>409.70000000000005</v>
      </c>
      <c r="K23" s="33">
        <f t="shared" si="5"/>
        <v>1616.3</v>
      </c>
      <c r="L23" s="33">
        <f>C23-(J23/16.2*26.2)</f>
        <v>1363.3987654320986</v>
      </c>
      <c r="M23" s="42"/>
      <c r="N23" s="60"/>
    </row>
    <row r="24" spans="1:14" ht="24.75" customHeight="1">
      <c r="A24" s="75" t="s">
        <v>38</v>
      </c>
      <c r="B24" s="76"/>
      <c r="C24" s="49">
        <f>SUM(C22:C23)</f>
        <v>28949</v>
      </c>
      <c r="D24" s="49">
        <f aca="true" t="shared" si="7" ref="D24:L24">SUM(D22:D23)</f>
        <v>153.68</v>
      </c>
      <c r="E24" s="49">
        <f t="shared" si="7"/>
        <v>3.99</v>
      </c>
      <c r="F24" s="49">
        <f t="shared" si="7"/>
        <v>985.36</v>
      </c>
      <c r="G24" s="49">
        <f t="shared" si="7"/>
        <v>53.19</v>
      </c>
      <c r="H24" s="49">
        <f t="shared" si="7"/>
        <v>22278.539999999997</v>
      </c>
      <c r="I24" s="49">
        <f t="shared" si="7"/>
        <v>1005.8</v>
      </c>
      <c r="J24" s="49">
        <f t="shared" si="7"/>
        <v>23284.339999999997</v>
      </c>
      <c r="K24" s="49">
        <f t="shared" si="7"/>
        <v>5664.660000000004</v>
      </c>
      <c r="L24" s="49">
        <f t="shared" si="7"/>
        <v>-8708.38938271604</v>
      </c>
      <c r="M24" s="38"/>
      <c r="N24" s="41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4" ht="11.2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8"/>
      <c r="N26" s="39"/>
    </row>
    <row r="27" spans="1:13" s="44" customFormat="1" ht="11.25" customHeight="1">
      <c r="A27" s="31" t="s">
        <v>26</v>
      </c>
      <c r="B27" s="32">
        <v>55130100</v>
      </c>
      <c r="C27" s="33">
        <v>4523</v>
      </c>
      <c r="D27" s="33">
        <v>75.41</v>
      </c>
      <c r="E27" s="33">
        <v>1.95</v>
      </c>
      <c r="F27" s="33">
        <v>0</v>
      </c>
      <c r="G27" s="33">
        <v>0</v>
      </c>
      <c r="H27" s="33">
        <f>'1-28-16'!H27+D27+F27</f>
        <v>1799.7</v>
      </c>
      <c r="I27" s="33">
        <f>'1-28-16'!I27+E27+G27</f>
        <v>46.669999999999995</v>
      </c>
      <c r="J27" s="33">
        <f>H27+I27</f>
        <v>1846.3700000000001</v>
      </c>
      <c r="K27" s="33">
        <f>C27-J27</f>
        <v>2676.63</v>
      </c>
      <c r="L27" s="33">
        <f>C27-(J27/16.2*26.2)</f>
        <v>1536.8954320987655</v>
      </c>
      <c r="M27" s="45"/>
    </row>
    <row r="28" spans="1:13" s="44" customFormat="1" ht="11.25" customHeight="1">
      <c r="A28" s="31" t="s">
        <v>30</v>
      </c>
      <c r="B28" s="32">
        <v>55140100</v>
      </c>
      <c r="C28" s="33">
        <v>2995</v>
      </c>
      <c r="D28" s="33">
        <v>0</v>
      </c>
      <c r="E28" s="33">
        <v>0</v>
      </c>
      <c r="F28" s="33">
        <v>136.96</v>
      </c>
      <c r="G28" s="33">
        <v>7.38</v>
      </c>
      <c r="H28" s="33">
        <f>'1-28-16'!H28+D28+F28</f>
        <v>2268.4</v>
      </c>
      <c r="I28" s="33">
        <f>'1-28-16'!I28+E28+G28</f>
        <v>122.35</v>
      </c>
      <c r="J28" s="33">
        <f>H28+I28</f>
        <v>2390.75</v>
      </c>
      <c r="K28" s="33">
        <f>C28-J28</f>
        <v>604.25</v>
      </c>
      <c r="L28" s="33">
        <f>C28-(J28/16.2*26.2)</f>
        <v>-871.5216049382716</v>
      </c>
      <c r="M28" s="45"/>
    </row>
    <row r="29" spans="1:14" s="44" customFormat="1" ht="24.75" customHeight="1">
      <c r="A29" s="75" t="s">
        <v>39</v>
      </c>
      <c r="B29" s="76"/>
      <c r="C29" s="49">
        <f aca="true" t="shared" si="8" ref="C29:L29">SUM(C27:C28)</f>
        <v>7518</v>
      </c>
      <c r="D29" s="49">
        <f t="shared" si="8"/>
        <v>75.41</v>
      </c>
      <c r="E29" s="49">
        <f t="shared" si="8"/>
        <v>1.95</v>
      </c>
      <c r="F29" s="49">
        <f t="shared" si="8"/>
        <v>136.96</v>
      </c>
      <c r="G29" s="49">
        <f t="shared" si="8"/>
        <v>7.38</v>
      </c>
      <c r="H29" s="49">
        <f t="shared" si="8"/>
        <v>4068.1000000000004</v>
      </c>
      <c r="I29" s="49">
        <f t="shared" si="8"/>
        <v>169.01999999999998</v>
      </c>
      <c r="J29" s="62">
        <f t="shared" si="8"/>
        <v>4237.12</v>
      </c>
      <c r="K29" s="49">
        <f t="shared" si="8"/>
        <v>3280.88</v>
      </c>
      <c r="L29" s="49">
        <f t="shared" si="8"/>
        <v>665.3738271604939</v>
      </c>
      <c r="M29" s="42"/>
      <c r="N29" s="43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8"/>
      <c r="N31" s="39"/>
    </row>
    <row r="32" spans="1:14" s="44" customFormat="1" ht="11.25" customHeight="1">
      <c r="A32" s="31" t="s">
        <v>34</v>
      </c>
      <c r="B32" s="32">
        <v>55010000</v>
      </c>
      <c r="C32" s="33">
        <f>24725-15347</f>
        <v>9378</v>
      </c>
      <c r="D32" s="33">
        <v>0</v>
      </c>
      <c r="E32" s="33">
        <v>0</v>
      </c>
      <c r="F32" s="33">
        <v>0</v>
      </c>
      <c r="G32" s="33">
        <v>0</v>
      </c>
      <c r="H32" s="33">
        <f>'1-28-16'!H32+D32+F32</f>
        <v>129.6</v>
      </c>
      <c r="I32" s="33">
        <f>'1-28-16'!I32+E32+G32</f>
        <v>6.99</v>
      </c>
      <c r="J32" s="33">
        <f aca="true" t="shared" si="9" ref="J32:J37">H32+I32</f>
        <v>136.59</v>
      </c>
      <c r="K32" s="33">
        <f aca="true" t="shared" si="10" ref="K32:K37">C32-J32</f>
        <v>9241.41</v>
      </c>
      <c r="L32" s="33">
        <f aca="true" t="shared" si="11" ref="L32:L37">C32-(J32/16.2*26.2)</f>
        <v>9157.095185185186</v>
      </c>
      <c r="M32" s="42"/>
      <c r="N32" s="43"/>
    </row>
    <row r="33" spans="1:13" s="44" customFormat="1" ht="11.25" customHeight="1">
      <c r="A33" s="31" t="s">
        <v>31</v>
      </c>
      <c r="B33" s="32">
        <v>55080500</v>
      </c>
      <c r="C33" s="33">
        <v>10000</v>
      </c>
      <c r="D33" s="33">
        <v>330.8</v>
      </c>
      <c r="E33" s="33">
        <v>8.6</v>
      </c>
      <c r="F33" s="33">
        <v>0</v>
      </c>
      <c r="G33" s="33">
        <v>0</v>
      </c>
      <c r="H33" s="33">
        <f>'1-28-16'!H33+D33+F33</f>
        <v>3341.0800000000004</v>
      </c>
      <c r="I33" s="33">
        <f>'1-28-16'!I33+E33+G33</f>
        <v>86.85</v>
      </c>
      <c r="J33" s="33">
        <f t="shared" si="9"/>
        <v>3427.9300000000003</v>
      </c>
      <c r="K33" s="33">
        <f t="shared" si="10"/>
        <v>6572.07</v>
      </c>
      <c r="L33" s="33">
        <f t="shared" si="11"/>
        <v>4456.063827160493</v>
      </c>
      <c r="M33" s="45"/>
    </row>
    <row r="34" spans="1:13" s="44" customFormat="1" ht="11.25" customHeight="1">
      <c r="A34" s="31" t="s">
        <v>32</v>
      </c>
      <c r="B34" s="32">
        <v>55050300</v>
      </c>
      <c r="C34" s="33">
        <v>15347</v>
      </c>
      <c r="D34" s="33">
        <v>75.44</v>
      </c>
      <c r="E34" s="33">
        <v>1.95</v>
      </c>
      <c r="F34" s="33">
        <v>504</v>
      </c>
      <c r="G34" s="33">
        <v>27.21</v>
      </c>
      <c r="H34" s="33">
        <f>'1-28-16'!H34+D34+F34</f>
        <v>11412.56</v>
      </c>
      <c r="I34" s="33">
        <f>'1-28-16'!I34+E34+G34</f>
        <v>601.02</v>
      </c>
      <c r="J34" s="33">
        <f t="shared" si="9"/>
        <v>12013.58</v>
      </c>
      <c r="K34" s="33">
        <f t="shared" si="10"/>
        <v>3333.42</v>
      </c>
      <c r="L34" s="33">
        <f t="shared" si="11"/>
        <v>-4082.3701234567925</v>
      </c>
      <c r="M34" s="45"/>
    </row>
    <row r="35" spans="1:13" s="44" customFormat="1" ht="11.25" customHeight="1">
      <c r="A35" s="31" t="s">
        <v>43</v>
      </c>
      <c r="B35" s="32">
        <v>55160300</v>
      </c>
      <c r="C35" s="33">
        <f>43385.81+42388.29</f>
        <v>85774.1</v>
      </c>
      <c r="D35" s="33">
        <v>0</v>
      </c>
      <c r="E35" s="33">
        <v>0</v>
      </c>
      <c r="F35" s="33">
        <v>3154.25</v>
      </c>
      <c r="G35" s="33">
        <v>170.32</v>
      </c>
      <c r="H35" s="33">
        <f>'1-28-16'!H35+D35+F35</f>
        <v>49837.200000000004</v>
      </c>
      <c r="I35" s="33">
        <f>'1-28-16'!I35+E35+G35</f>
        <v>2691.0799999999995</v>
      </c>
      <c r="J35" s="33">
        <f t="shared" si="9"/>
        <v>52528.280000000006</v>
      </c>
      <c r="K35" s="33">
        <f t="shared" si="10"/>
        <v>33245.82</v>
      </c>
      <c r="L35" s="33">
        <f t="shared" si="11"/>
        <v>820.955802469136</v>
      </c>
      <c r="M35" s="45"/>
    </row>
    <row r="36" spans="1:13" s="44" customFormat="1" ht="15" customHeight="1" hidden="1">
      <c r="A36" s="31" t="s">
        <v>47</v>
      </c>
      <c r="B36" s="32">
        <v>55010100</v>
      </c>
      <c r="C36" s="33"/>
      <c r="D36" s="33"/>
      <c r="E36" s="33"/>
      <c r="F36" s="33"/>
      <c r="G36" s="33"/>
      <c r="H36" s="33">
        <f>'1-28-16'!H36+D36+F36</f>
        <v>-64.2</v>
      </c>
      <c r="I36" s="33">
        <f>'1-28-16'!I36+E36+G36</f>
        <v>-1.67</v>
      </c>
      <c r="J36" s="33">
        <f t="shared" si="9"/>
        <v>-65.87</v>
      </c>
      <c r="K36" s="33">
        <f t="shared" si="10"/>
        <v>65.87</v>
      </c>
      <c r="L36" s="33">
        <f t="shared" si="11"/>
        <v>106.5304938271605</v>
      </c>
      <c r="M36" s="45"/>
    </row>
    <row r="37" spans="1:13" s="44" customFormat="1" ht="11.25" customHeight="1">
      <c r="A37" s="31" t="s">
        <v>48</v>
      </c>
      <c r="B37" s="32" t="s">
        <v>49</v>
      </c>
      <c r="C37" s="33">
        <v>4086</v>
      </c>
      <c r="D37" s="33">
        <v>0</v>
      </c>
      <c r="E37" s="33">
        <v>0</v>
      </c>
      <c r="F37" s="33">
        <v>0</v>
      </c>
      <c r="G37" s="33">
        <v>0</v>
      </c>
      <c r="H37" s="33">
        <f>'1-28-16'!H37+D37+F37</f>
        <v>0</v>
      </c>
      <c r="I37" s="33">
        <f>'1-28-16'!I37+E37+G37</f>
        <v>0</v>
      </c>
      <c r="J37" s="33">
        <f t="shared" si="9"/>
        <v>0</v>
      </c>
      <c r="K37" s="33">
        <f t="shared" si="10"/>
        <v>4086</v>
      </c>
      <c r="L37" s="33">
        <f t="shared" si="11"/>
        <v>4086</v>
      </c>
      <c r="M37" s="45"/>
    </row>
    <row r="38" spans="1:14" ht="24.75" customHeight="1">
      <c r="A38" s="75" t="s">
        <v>40</v>
      </c>
      <c r="B38" s="76"/>
      <c r="C38" s="49">
        <f>SUM(C32:C37)</f>
        <v>124585.1</v>
      </c>
      <c r="D38" s="49">
        <f aca="true" t="shared" si="12" ref="D38:L38">SUM(D32:D37)</f>
        <v>406.24</v>
      </c>
      <c r="E38" s="49">
        <f t="shared" si="12"/>
        <v>10.549999999999999</v>
      </c>
      <c r="F38" s="49">
        <f t="shared" si="12"/>
        <v>3658.25</v>
      </c>
      <c r="G38" s="49">
        <f t="shared" si="12"/>
        <v>197.53</v>
      </c>
      <c r="H38" s="49">
        <f t="shared" si="12"/>
        <v>64656.240000000005</v>
      </c>
      <c r="I38" s="49">
        <f t="shared" si="12"/>
        <v>3384.2699999999995</v>
      </c>
      <c r="J38" s="49">
        <f t="shared" si="12"/>
        <v>68040.51000000001</v>
      </c>
      <c r="K38" s="49">
        <f t="shared" si="12"/>
        <v>56544.590000000004</v>
      </c>
      <c r="L38" s="49">
        <f t="shared" si="12"/>
        <v>14544.275185185183</v>
      </c>
      <c r="M38" s="38"/>
      <c r="N38" s="39"/>
    </row>
    <row r="39" spans="1:14" ht="11.25" customHeight="1">
      <c r="A39" s="28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8"/>
      <c r="N39" s="39"/>
    </row>
    <row r="40" spans="1:14" ht="11.25" customHeight="1">
      <c r="A40" s="28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8"/>
      <c r="N40" s="39"/>
    </row>
    <row r="41" spans="1:14" ht="24.75" customHeight="1">
      <c r="A41" s="76" t="s">
        <v>42</v>
      </c>
      <c r="B41" s="76"/>
      <c r="C41" s="49">
        <f>C13+C19+C24+C29+C38</f>
        <v>399075.1</v>
      </c>
      <c r="D41" s="49">
        <f aca="true" t="shared" si="13" ref="D41:L41">D13+D19+D24+D29+D38</f>
        <v>5175.26</v>
      </c>
      <c r="E41" s="49">
        <f t="shared" si="13"/>
        <v>134.4</v>
      </c>
      <c r="F41" s="49">
        <f t="shared" si="13"/>
        <v>5879.889999999999</v>
      </c>
      <c r="G41" s="49">
        <f t="shared" si="13"/>
        <v>317.41999999999996</v>
      </c>
      <c r="H41" s="49">
        <f t="shared" si="13"/>
        <v>201198.33000000002</v>
      </c>
      <c r="I41" s="49">
        <f t="shared" si="13"/>
        <v>8134.059999999999</v>
      </c>
      <c r="J41" s="49">
        <f t="shared" si="13"/>
        <v>209332.38999999998</v>
      </c>
      <c r="K41" s="49">
        <f t="shared" si="13"/>
        <v>189742.71000000002</v>
      </c>
      <c r="L41" s="49">
        <f t="shared" si="13"/>
        <v>60525.185308642016</v>
      </c>
      <c r="M41" s="38"/>
      <c r="N41" s="39"/>
    </row>
    <row r="42" spans="1:14" ht="11.25" customHeight="1">
      <c r="A42" s="54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38"/>
      <c r="N42" s="39"/>
    </row>
    <row r="43" spans="1:14" ht="11.25" customHeight="1">
      <c r="A43" s="54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38"/>
      <c r="N43" s="39"/>
    </row>
    <row r="44" spans="1:14" s="44" customFormat="1" ht="12" customHeight="1">
      <c r="A44" s="31" t="s">
        <v>27</v>
      </c>
      <c r="B44" s="31" t="s">
        <v>28</v>
      </c>
      <c r="C44" s="33">
        <v>61829</v>
      </c>
      <c r="D44" s="33">
        <v>1202.91</v>
      </c>
      <c r="E44" s="33">
        <v>31.25</v>
      </c>
      <c r="F44" s="33">
        <v>0</v>
      </c>
      <c r="G44" s="33">
        <v>0</v>
      </c>
      <c r="H44" s="33">
        <f>'1-28-16'!H44+D44+F44</f>
        <v>27377.37</v>
      </c>
      <c r="I44" s="33">
        <f>'1-28-16'!I44+E44+G44</f>
        <v>887.5100000000001</v>
      </c>
      <c r="J44" s="33">
        <f>H44+I44</f>
        <v>28264.879999999997</v>
      </c>
      <c r="K44" s="33">
        <f>C44-J44</f>
        <v>33564.12</v>
      </c>
      <c r="L44" s="33">
        <f>C44-(J44/16.2*26.2)</f>
        <v>16116.663209876548</v>
      </c>
      <c r="M44" s="42"/>
      <c r="N44" s="43"/>
    </row>
    <row r="45" spans="1:14" ht="12" customHeight="1">
      <c r="A45" s="6"/>
      <c r="B45" s="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38"/>
      <c r="N45" s="39"/>
    </row>
    <row r="46" spans="1:14" ht="12" customHeight="1">
      <c r="A46" s="6" t="s">
        <v>29</v>
      </c>
      <c r="B46" s="6" t="s">
        <v>35</v>
      </c>
      <c r="C46" s="27">
        <v>15000</v>
      </c>
      <c r="D46" s="27">
        <v>0</v>
      </c>
      <c r="E46" s="27">
        <v>0</v>
      </c>
      <c r="F46" s="27">
        <v>689.2</v>
      </c>
      <c r="G46" s="27">
        <v>37.21</v>
      </c>
      <c r="H46" s="33">
        <f>'1-28-16'!H46+D46+F46</f>
        <v>9638.81</v>
      </c>
      <c r="I46" s="33">
        <f>'1-28-16'!I46+E46+G46</f>
        <v>520.4000000000001</v>
      </c>
      <c r="J46" s="27">
        <f>H46+I46</f>
        <v>10159.21</v>
      </c>
      <c r="K46" s="27">
        <f>C46-J46</f>
        <v>4840.790000000001</v>
      </c>
      <c r="L46" s="33">
        <f>C46-(J46/16.2*26.2)</f>
        <v>-1430.3272839506171</v>
      </c>
      <c r="M46" s="38"/>
      <c r="N46" s="39"/>
    </row>
    <row r="47" spans="1:14" ht="12" customHeight="1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38"/>
      <c r="N47" s="39"/>
    </row>
    <row r="48" spans="1:14" ht="12" customHeight="1">
      <c r="A48" s="50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38"/>
      <c r="N48" s="39"/>
    </row>
    <row r="49" spans="1:14" ht="24.75" customHeight="1">
      <c r="A49" s="51" t="s">
        <v>41</v>
      </c>
      <c r="B49" s="52"/>
      <c r="C49" s="53">
        <f>C44+C46</f>
        <v>76829</v>
      </c>
      <c r="D49" s="53">
        <f aca="true" t="shared" si="14" ref="D49:L49">D44+D46</f>
        <v>1202.91</v>
      </c>
      <c r="E49" s="53">
        <f t="shared" si="14"/>
        <v>31.25</v>
      </c>
      <c r="F49" s="53">
        <f t="shared" si="14"/>
        <v>689.2</v>
      </c>
      <c r="G49" s="53">
        <f t="shared" si="14"/>
        <v>37.21</v>
      </c>
      <c r="H49" s="53">
        <f t="shared" si="14"/>
        <v>37016.18</v>
      </c>
      <c r="I49" s="53">
        <f t="shared" si="14"/>
        <v>1407.9100000000003</v>
      </c>
      <c r="J49" s="53">
        <f t="shared" si="14"/>
        <v>38424.09</v>
      </c>
      <c r="K49" s="53">
        <f t="shared" si="14"/>
        <v>38404.91</v>
      </c>
      <c r="L49" s="53">
        <f t="shared" si="14"/>
        <v>14686.33592592593</v>
      </c>
      <c r="M49" s="38"/>
      <c r="N49" s="12"/>
    </row>
    <row r="50" spans="1:14" ht="24" customHeight="1">
      <c r="A50" s="9"/>
      <c r="B50" s="10"/>
      <c r="C50" s="11"/>
      <c r="H50" s="11"/>
      <c r="I50" s="11"/>
      <c r="J50" s="11"/>
      <c r="K50" s="11"/>
      <c r="L50" s="11"/>
      <c r="M50" s="38"/>
      <c r="N50" s="12"/>
    </row>
    <row r="51" spans="1:14" ht="33.75">
      <c r="A51" s="57" t="s">
        <v>44</v>
      </c>
      <c r="B51" s="58">
        <v>43385.81</v>
      </c>
      <c r="C51" s="13"/>
      <c r="D51" s="13"/>
      <c r="E51" s="13"/>
      <c r="F51" s="13"/>
      <c r="G51" s="13"/>
      <c r="H51" s="46"/>
      <c r="I51" s="46"/>
      <c r="J51" s="46"/>
      <c r="K51" s="46"/>
      <c r="L51" s="46"/>
      <c r="M51" s="38"/>
      <c r="N51" s="12"/>
    </row>
    <row r="52" spans="1:14" ht="33.75">
      <c r="A52" s="9" t="s">
        <v>45</v>
      </c>
      <c r="B52" s="58">
        <v>10000</v>
      </c>
      <c r="C52" s="16"/>
      <c r="D52" s="11"/>
      <c r="E52" s="11"/>
      <c r="F52" s="11"/>
      <c r="G52" s="11"/>
      <c r="H52" s="11"/>
      <c r="I52" s="2"/>
      <c r="J52" s="11"/>
      <c r="K52" s="11"/>
      <c r="L52" s="11"/>
      <c r="M52" s="38"/>
      <c r="N52" s="12"/>
    </row>
    <row r="53" spans="1:14" ht="22.5">
      <c r="A53" s="14" t="s">
        <v>46</v>
      </c>
      <c r="B53" s="58">
        <v>15347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2"/>
    </row>
    <row r="54" spans="1:14" ht="33.75">
      <c r="A54" s="14" t="s">
        <v>50</v>
      </c>
      <c r="B54" s="58">
        <v>5000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7"/>
    </row>
    <row r="55" spans="1:14" ht="22.5">
      <c r="A55" s="14" t="s">
        <v>52</v>
      </c>
      <c r="B55" s="58">
        <v>42388.29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  <c r="N55" s="12"/>
    </row>
    <row r="56" spans="1:14" ht="22.5" customHeight="1">
      <c r="A56" s="14"/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  <c r="N56" s="12"/>
    </row>
    <row r="57" spans="1:14" ht="15">
      <c r="A57" s="18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N57" s="12"/>
    </row>
    <row r="58" spans="1:14" ht="15" customHeight="1">
      <c r="A58" s="18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 customHeight="1">
      <c r="A59" s="19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9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15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25.5" customHeight="1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15" customHeight="1">
      <c r="A64" s="18"/>
      <c r="B64" s="10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12"/>
    </row>
    <row r="65" spans="1:14" ht="15" customHeight="1">
      <c r="A65" s="20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12"/>
    </row>
    <row r="66" spans="1:14" ht="15" customHeight="1">
      <c r="A66" s="22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3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5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7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47"/>
      <c r="N72" s="24"/>
    </row>
    <row r="73" spans="1:14" ht="11.25" customHeight="1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N73" s="24"/>
    </row>
    <row r="74" spans="1:13" ht="15">
      <c r="A74" s="22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36"/>
    </row>
    <row r="75" spans="1:13" ht="15">
      <c r="A75" s="22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36"/>
    </row>
    <row r="76" spans="1:12" ht="15">
      <c r="A76" s="22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4" s="35" customFormat="1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  <c r="N82" s="36"/>
    </row>
    <row r="83" spans="1:12" ht="15">
      <c r="A83" s="24"/>
      <c r="B83" s="24"/>
      <c r="C83" s="48"/>
      <c r="D83" s="48"/>
      <c r="E83" s="48"/>
      <c r="F83" s="48"/>
      <c r="G83" s="48"/>
      <c r="H83" s="48"/>
      <c r="I83" s="48"/>
      <c r="J83" s="48"/>
      <c r="K83" s="48"/>
      <c r="L83" s="48"/>
    </row>
  </sheetData>
  <sheetProtection/>
  <mergeCells count="6">
    <mergeCell ref="A13:B13"/>
    <mergeCell ref="A19:B19"/>
    <mergeCell ref="A24:B24"/>
    <mergeCell ref="A29:B29"/>
    <mergeCell ref="A38:B38"/>
    <mergeCell ref="A41:B4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L3" sqref="L3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7.5742187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s="44" customFormat="1" ht="11.25" customHeight="1">
      <c r="A3" s="31" t="s">
        <v>11</v>
      </c>
      <c r="B3" s="32">
        <v>55010500</v>
      </c>
      <c r="C3" s="33">
        <f>9670-5000</f>
        <v>4670</v>
      </c>
      <c r="D3" s="33">
        <v>0</v>
      </c>
      <c r="E3" s="33">
        <v>0</v>
      </c>
      <c r="F3" s="33">
        <v>0</v>
      </c>
      <c r="G3" s="33">
        <v>0</v>
      </c>
      <c r="H3" s="33">
        <f>'2-11-16'!H3+D3+F3</f>
        <v>604.8</v>
      </c>
      <c r="I3" s="33">
        <f>'2-11-16'!I3+E3+G3</f>
        <v>32.629999999999995</v>
      </c>
      <c r="J3" s="33">
        <f>H3+I3</f>
        <v>637.43</v>
      </c>
      <c r="K3" s="33">
        <f>C3-J3</f>
        <v>4032.57</v>
      </c>
      <c r="L3" s="33">
        <f>C3-(J3/17.2*26.2)</f>
        <v>3699.031046511628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v>32649</v>
      </c>
      <c r="D4" s="33">
        <v>350.11</v>
      </c>
      <c r="E4" s="33">
        <v>9.1</v>
      </c>
      <c r="F4" s="33">
        <v>0</v>
      </c>
      <c r="G4" s="33">
        <v>0</v>
      </c>
      <c r="H4" s="33">
        <f>'2-11-16'!H4+D4+F4</f>
        <v>6601.1399999999985</v>
      </c>
      <c r="I4" s="33">
        <f>'2-11-16'!I4+E4+G4</f>
        <v>240.55</v>
      </c>
      <c r="J4" s="33">
        <f>H4+I4</f>
        <v>6841.689999999999</v>
      </c>
      <c r="K4" s="33">
        <f>C4-J4</f>
        <v>25807.31</v>
      </c>
      <c r="L4" s="33">
        <f aca="true" t="shared" si="0" ref="L4:L12">C4-(J4/17.2*26.2)</f>
        <v>22227.35593023256</v>
      </c>
      <c r="M4" s="45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679.15</v>
      </c>
      <c r="E5" s="33">
        <v>17.65</v>
      </c>
      <c r="F5" s="33">
        <v>0</v>
      </c>
      <c r="G5" s="33">
        <v>0</v>
      </c>
      <c r="H5" s="33">
        <f>'2-11-16'!H5+D5+F5</f>
        <v>7570.1900000000005</v>
      </c>
      <c r="I5" s="33">
        <f>'2-11-16'!I5+E5+G5</f>
        <v>196.68</v>
      </c>
      <c r="J5" s="33">
        <f aca="true" t="shared" si="1" ref="J5:J11">H5+I5</f>
        <v>7766.870000000001</v>
      </c>
      <c r="K5" s="33">
        <f aca="true" t="shared" si="2" ref="K5:K11">C5-J5</f>
        <v>10207.13</v>
      </c>
      <c r="L5" s="33">
        <f t="shared" si="0"/>
        <v>6143.070116279068</v>
      </c>
      <c r="M5" s="45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522.72</v>
      </c>
      <c r="E6" s="33">
        <v>13.58</v>
      </c>
      <c r="F6" s="33">
        <v>0</v>
      </c>
      <c r="G6" s="33">
        <v>0</v>
      </c>
      <c r="H6" s="33">
        <f>'2-11-16'!H6+D6+F6</f>
        <v>7104.890000000001</v>
      </c>
      <c r="I6" s="33">
        <f>'2-11-16'!I6+E6+G6</f>
        <v>184.48000000000002</v>
      </c>
      <c r="J6" s="33">
        <f>H6+I6</f>
        <v>7289.370000000001</v>
      </c>
      <c r="K6" s="33">
        <f t="shared" si="2"/>
        <v>10684.63</v>
      </c>
      <c r="L6" s="33">
        <f t="shared" si="0"/>
        <v>6870.424767441858</v>
      </c>
      <c r="M6" s="45"/>
      <c r="N6" s="61"/>
    </row>
    <row r="7" spans="1:13" s="44" customFormat="1" ht="11.25" customHeight="1">
      <c r="A7" s="31" t="s">
        <v>15</v>
      </c>
      <c r="B7" s="32">
        <v>55030200</v>
      </c>
      <c r="C7" s="33">
        <v>24330</v>
      </c>
      <c r="D7" s="33">
        <v>458.77</v>
      </c>
      <c r="E7" s="33">
        <v>11.92</v>
      </c>
      <c r="F7" s="33">
        <v>0</v>
      </c>
      <c r="G7" s="33">
        <v>0</v>
      </c>
      <c r="H7" s="33">
        <f>'2-11-16'!H7+D7+F7</f>
        <v>12119.23</v>
      </c>
      <c r="I7" s="33">
        <f>'2-11-16'!I7+E7+G7</f>
        <v>314.97</v>
      </c>
      <c r="J7" s="33">
        <f t="shared" si="1"/>
        <v>12434.199999999999</v>
      </c>
      <c r="K7" s="33">
        <f t="shared" si="2"/>
        <v>11895.800000000001</v>
      </c>
      <c r="L7" s="33">
        <f t="shared" si="0"/>
        <v>5389.532558139534</v>
      </c>
      <c r="M7" s="45"/>
    </row>
    <row r="8" spans="1:13" s="44" customFormat="1" ht="11.25" customHeight="1">
      <c r="A8" s="31" t="s">
        <v>16</v>
      </c>
      <c r="B8" s="32">
        <v>55050200</v>
      </c>
      <c r="C8" s="33">
        <f>29837</f>
        <v>29837</v>
      </c>
      <c r="D8" s="33">
        <v>1867.89</v>
      </c>
      <c r="E8" s="33">
        <v>48.56</v>
      </c>
      <c r="F8" s="33">
        <v>0</v>
      </c>
      <c r="G8" s="33">
        <v>0</v>
      </c>
      <c r="H8" s="33">
        <f>'2-11-16'!H8+D8+F8</f>
        <v>17793.39</v>
      </c>
      <c r="I8" s="33">
        <f>'2-11-16'!I8+E8+G8</f>
        <v>609.1299999999999</v>
      </c>
      <c r="J8" s="33">
        <f t="shared" si="1"/>
        <v>18402.52</v>
      </c>
      <c r="K8" s="33">
        <f t="shared" si="2"/>
        <v>11434.48</v>
      </c>
      <c r="L8" s="33">
        <f t="shared" si="0"/>
        <v>1805.254418604647</v>
      </c>
      <c r="M8" s="45"/>
    </row>
    <row r="9" spans="1:13" s="44" customFormat="1" ht="11.25" customHeight="1">
      <c r="A9" s="31" t="s">
        <v>51</v>
      </c>
      <c r="B9" s="32">
        <v>55050400</v>
      </c>
      <c r="C9" s="33">
        <v>5000</v>
      </c>
      <c r="D9" s="33">
        <v>0</v>
      </c>
      <c r="E9" s="33">
        <v>0</v>
      </c>
      <c r="F9" s="33">
        <v>0</v>
      </c>
      <c r="G9" s="33">
        <v>0</v>
      </c>
      <c r="H9" s="33">
        <f>'2-11-16'!H9+D9+F9</f>
        <v>0</v>
      </c>
      <c r="I9" s="33">
        <f>'2-11-16'!I9+E9+G9</f>
        <v>0</v>
      </c>
      <c r="J9" s="33">
        <f t="shared" si="1"/>
        <v>0</v>
      </c>
      <c r="K9" s="33">
        <f t="shared" si="2"/>
        <v>5000</v>
      </c>
      <c r="L9" s="33">
        <f t="shared" si="0"/>
        <v>5000</v>
      </c>
      <c r="M9" s="45"/>
    </row>
    <row r="10" spans="1:13" s="44" customFormat="1" ht="11.25" customHeight="1">
      <c r="A10" s="31" t="s">
        <v>17</v>
      </c>
      <c r="B10" s="32">
        <v>55070100</v>
      </c>
      <c r="C10" s="33">
        <f>26873+10510+5358</f>
        <v>42741</v>
      </c>
      <c r="D10" s="33">
        <v>1453.69</v>
      </c>
      <c r="E10" s="33">
        <v>37.79</v>
      </c>
      <c r="F10" s="33">
        <v>886.75</v>
      </c>
      <c r="G10" s="33">
        <v>47.88</v>
      </c>
      <c r="H10" s="33">
        <f>'2-11-16'!H10+D10+F10</f>
        <v>35560.54</v>
      </c>
      <c r="I10" s="33">
        <f>'2-11-16'!I10+E10+G10</f>
        <v>1252.3700000000001</v>
      </c>
      <c r="J10" s="33">
        <f t="shared" si="1"/>
        <v>36812.91</v>
      </c>
      <c r="K10" s="33">
        <f t="shared" si="2"/>
        <v>5928.0899999999965</v>
      </c>
      <c r="L10" s="33">
        <f t="shared" si="0"/>
        <v>-13334.47918604652</v>
      </c>
      <c r="M10" s="45"/>
    </row>
    <row r="11" spans="1:13" s="44" customFormat="1" ht="11.25" customHeight="1">
      <c r="A11" s="31" t="s">
        <v>18</v>
      </c>
      <c r="B11" s="32">
        <v>55070400</v>
      </c>
      <c r="C11" s="33">
        <v>3000</v>
      </c>
      <c r="D11" s="33">
        <v>0</v>
      </c>
      <c r="E11" s="33">
        <v>0</v>
      </c>
      <c r="F11" s="33">
        <v>0</v>
      </c>
      <c r="G11" s="33">
        <v>0</v>
      </c>
      <c r="H11" s="33">
        <f>'2-11-16'!H11+D11+F11</f>
        <v>0</v>
      </c>
      <c r="I11" s="33">
        <f>'2-11-16'!I11+E11+G11</f>
        <v>0</v>
      </c>
      <c r="J11" s="33">
        <f t="shared" si="1"/>
        <v>0</v>
      </c>
      <c r="K11" s="33">
        <f t="shared" si="2"/>
        <v>3000</v>
      </c>
      <c r="L11" s="33">
        <f t="shared" si="0"/>
        <v>3000</v>
      </c>
      <c r="M11" s="45"/>
    </row>
    <row r="12" spans="1:13" s="44" customFormat="1" ht="11.25" customHeight="1">
      <c r="A12" s="31" t="s">
        <v>20</v>
      </c>
      <c r="B12" s="32">
        <v>55080100</v>
      </c>
      <c r="C12" s="33">
        <v>23173</v>
      </c>
      <c r="D12" s="33">
        <v>489.65</v>
      </c>
      <c r="E12" s="33">
        <v>12.73</v>
      </c>
      <c r="F12" s="33">
        <v>79.29</v>
      </c>
      <c r="G12" s="33">
        <v>4.28</v>
      </c>
      <c r="H12" s="33">
        <f>'2-11-16'!H12+D12+F12</f>
        <v>15762.000000000004</v>
      </c>
      <c r="I12" s="33">
        <f>'2-11-16'!I12+E12+G12</f>
        <v>486.07000000000005</v>
      </c>
      <c r="J12" s="33">
        <f>H12+I12</f>
        <v>16248.070000000003</v>
      </c>
      <c r="K12" s="33">
        <f>C12-J12</f>
        <v>6924.929999999997</v>
      </c>
      <c r="L12" s="33">
        <f t="shared" si="0"/>
        <v>-1576.9670930232605</v>
      </c>
      <c r="M12" s="45"/>
    </row>
    <row r="13" spans="1:14" ht="24.75" customHeight="1">
      <c r="A13" s="75" t="s">
        <v>36</v>
      </c>
      <c r="B13" s="76"/>
      <c r="C13" s="49">
        <f>SUM(C3:C12)</f>
        <v>201348</v>
      </c>
      <c r="D13" s="49">
        <f aca="true" t="shared" si="3" ref="D13:L13">SUM(D3:D12)</f>
        <v>5821.98</v>
      </c>
      <c r="E13" s="49">
        <f t="shared" si="3"/>
        <v>151.32999999999998</v>
      </c>
      <c r="F13" s="49">
        <f t="shared" si="3"/>
        <v>966.04</v>
      </c>
      <c r="G13" s="49">
        <f t="shared" si="3"/>
        <v>52.160000000000004</v>
      </c>
      <c r="H13" s="49">
        <f t="shared" si="3"/>
        <v>103116.18</v>
      </c>
      <c r="I13" s="49">
        <f t="shared" si="3"/>
        <v>3316.8800000000006</v>
      </c>
      <c r="J13" s="49">
        <f t="shared" si="3"/>
        <v>106433.06000000001</v>
      </c>
      <c r="K13" s="49">
        <f t="shared" si="3"/>
        <v>94914.93999999999</v>
      </c>
      <c r="L13" s="49">
        <f t="shared" si="3"/>
        <v>39223.22255813951</v>
      </c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28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38"/>
      <c r="N15" s="39"/>
    </row>
    <row r="16" spans="1:14" s="44" customFormat="1" ht="11.25" customHeight="1">
      <c r="A16" s="31" t="s">
        <v>19</v>
      </c>
      <c r="B16" s="32">
        <v>55030100</v>
      </c>
      <c r="C16" s="33">
        <v>13540</v>
      </c>
      <c r="D16" s="33">
        <v>342.48</v>
      </c>
      <c r="E16" s="33">
        <v>8.9</v>
      </c>
      <c r="F16" s="33">
        <v>0</v>
      </c>
      <c r="G16" s="33">
        <v>0</v>
      </c>
      <c r="H16" s="33">
        <f>'2-11-16'!H16+D16+F16</f>
        <v>5402.389999999999</v>
      </c>
      <c r="I16" s="33">
        <f>'2-11-16'!I16+E16+G16</f>
        <v>155.97</v>
      </c>
      <c r="J16" s="33">
        <f aca="true" t="shared" si="4" ref="J16:J23">H16+I16</f>
        <v>5558.36</v>
      </c>
      <c r="K16" s="33">
        <f aca="true" t="shared" si="5" ref="K16:K23">C16-J16</f>
        <v>7981.64</v>
      </c>
      <c r="L16" s="33">
        <f>C16-(J16/17.2*26.2)</f>
        <v>5073.195813953489</v>
      </c>
      <c r="M16" s="42"/>
      <c r="N16" s="43"/>
    </row>
    <row r="17" spans="1:14" s="44" customFormat="1" ht="11.25" customHeight="1">
      <c r="A17" s="31" t="s">
        <v>33</v>
      </c>
      <c r="B17" s="32">
        <v>55110100</v>
      </c>
      <c r="C17" s="33">
        <v>7073</v>
      </c>
      <c r="D17" s="33">
        <v>62.25</v>
      </c>
      <c r="E17" s="33">
        <v>1.61</v>
      </c>
      <c r="F17" s="33">
        <v>0</v>
      </c>
      <c r="G17" s="33">
        <v>0</v>
      </c>
      <c r="H17" s="33">
        <f>'2-11-16'!H17+D17+F17</f>
        <v>582.5300000000001</v>
      </c>
      <c r="I17" s="33">
        <f>'2-11-16'!I17+E17+G17</f>
        <v>15.059999999999999</v>
      </c>
      <c r="J17" s="33">
        <f t="shared" si="4"/>
        <v>597.59</v>
      </c>
      <c r="K17" s="33">
        <f t="shared" si="5"/>
        <v>6475.41</v>
      </c>
      <c r="L17" s="33">
        <f>C17-(J17/17.2*26.2)</f>
        <v>6162.717558139535</v>
      </c>
      <c r="M17" s="42"/>
      <c r="N17" s="43"/>
    </row>
    <row r="18" spans="1:14" s="44" customFormat="1" ht="11.25" customHeight="1">
      <c r="A18" s="31" t="s">
        <v>23</v>
      </c>
      <c r="B18" s="32">
        <v>55160100</v>
      </c>
      <c r="C18" s="33">
        <v>16062</v>
      </c>
      <c r="D18" s="33">
        <v>911.66</v>
      </c>
      <c r="E18" s="33">
        <v>23.7</v>
      </c>
      <c r="F18" s="33">
        <v>81.5</v>
      </c>
      <c r="G18" s="33">
        <v>4.4</v>
      </c>
      <c r="H18" s="33">
        <f>'2-11-16'!H18+D18+F18</f>
        <v>9280.259999999997</v>
      </c>
      <c r="I18" s="33">
        <f>'2-11-16'!I18+E18+G18</f>
        <v>329.16</v>
      </c>
      <c r="J18" s="33">
        <f t="shared" si="4"/>
        <v>9609.419999999996</v>
      </c>
      <c r="K18" s="33">
        <f t="shared" si="5"/>
        <v>6452.580000000004</v>
      </c>
      <c r="L18" s="33">
        <f>C18-(J18/17.2*26.2)</f>
        <v>1424.3951162790745</v>
      </c>
      <c r="M18" s="42"/>
      <c r="N18" s="60"/>
    </row>
    <row r="19" spans="1:14" ht="24.75" customHeight="1">
      <c r="A19" s="75" t="s">
        <v>37</v>
      </c>
      <c r="B19" s="76"/>
      <c r="C19" s="49">
        <f>SUM(C16:C18)</f>
        <v>36675</v>
      </c>
      <c r="D19" s="49">
        <f aca="true" t="shared" si="6" ref="D19:L19">SUM(D16:D18)</f>
        <v>1316.3899999999999</v>
      </c>
      <c r="E19" s="49">
        <f t="shared" si="6"/>
        <v>34.21</v>
      </c>
      <c r="F19" s="49">
        <f t="shared" si="6"/>
        <v>81.5</v>
      </c>
      <c r="G19" s="49">
        <f t="shared" si="6"/>
        <v>4.4</v>
      </c>
      <c r="H19" s="49">
        <f t="shared" si="6"/>
        <v>15265.179999999997</v>
      </c>
      <c r="I19" s="49">
        <f t="shared" si="6"/>
        <v>500.19000000000005</v>
      </c>
      <c r="J19" s="49">
        <f t="shared" si="6"/>
        <v>15765.369999999995</v>
      </c>
      <c r="K19" s="49">
        <f t="shared" si="6"/>
        <v>20909.630000000005</v>
      </c>
      <c r="L19" s="49">
        <f t="shared" si="6"/>
        <v>12660.308488372099</v>
      </c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28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38"/>
      <c r="N21" s="41"/>
    </row>
    <row r="22" spans="1:14" s="44" customFormat="1" ht="11.25" customHeight="1">
      <c r="A22" s="31" t="s">
        <v>21</v>
      </c>
      <c r="B22" s="32">
        <v>55090100</v>
      </c>
      <c r="C22" s="33">
        <v>26923</v>
      </c>
      <c r="D22" s="33">
        <v>99.44</v>
      </c>
      <c r="E22" s="33">
        <v>2.58</v>
      </c>
      <c r="F22" s="33">
        <v>867.84</v>
      </c>
      <c r="G22" s="33">
        <v>46.85</v>
      </c>
      <c r="H22" s="33">
        <f>'2-11-16'!H22+D22+F22</f>
        <v>22857.099999999995</v>
      </c>
      <c r="I22" s="33">
        <f>'2-11-16'!I22+E22+G22</f>
        <v>1034.25</v>
      </c>
      <c r="J22" s="33">
        <f t="shared" si="4"/>
        <v>23891.349999999995</v>
      </c>
      <c r="K22" s="33">
        <f t="shared" si="5"/>
        <v>3031.650000000005</v>
      </c>
      <c r="L22" s="33">
        <f>C22-(J22/17.2*26.2)</f>
        <v>-9469.63779069767</v>
      </c>
      <c r="M22" s="42"/>
      <c r="N22" s="60"/>
    </row>
    <row r="23" spans="1:14" s="44" customFormat="1" ht="11.25" customHeight="1">
      <c r="A23" s="31" t="s">
        <v>22</v>
      </c>
      <c r="B23" s="32">
        <v>55100100</v>
      </c>
      <c r="C23" s="33">
        <v>2026</v>
      </c>
      <c r="D23" s="33">
        <v>0</v>
      </c>
      <c r="E23" s="33">
        <v>0</v>
      </c>
      <c r="F23" s="33">
        <v>135.6</v>
      </c>
      <c r="G23" s="33">
        <v>7.32</v>
      </c>
      <c r="H23" s="33">
        <f>'2-11-16'!H23+D23+F23</f>
        <v>524.32</v>
      </c>
      <c r="I23" s="33">
        <f>'2-11-16'!I23+E23+G23</f>
        <v>28.3</v>
      </c>
      <c r="J23" s="33">
        <f t="shared" si="4"/>
        <v>552.62</v>
      </c>
      <c r="K23" s="33">
        <f t="shared" si="5"/>
        <v>1473.38</v>
      </c>
      <c r="L23" s="33">
        <f>C23-(J23/17.2*26.2)</f>
        <v>1184.2183720930234</v>
      </c>
      <c r="M23" s="42"/>
      <c r="N23" s="60"/>
    </row>
    <row r="24" spans="1:14" ht="24.75" customHeight="1">
      <c r="A24" s="75" t="s">
        <v>38</v>
      </c>
      <c r="B24" s="76"/>
      <c r="C24" s="49">
        <f>SUM(C22:C23)</f>
        <v>28949</v>
      </c>
      <c r="D24" s="49">
        <f aca="true" t="shared" si="7" ref="D24:L24">SUM(D22:D23)</f>
        <v>99.44</v>
      </c>
      <c r="E24" s="49">
        <f t="shared" si="7"/>
        <v>2.58</v>
      </c>
      <c r="F24" s="49">
        <f t="shared" si="7"/>
        <v>1003.44</v>
      </c>
      <c r="G24" s="49">
        <f t="shared" si="7"/>
        <v>54.17</v>
      </c>
      <c r="H24" s="49">
        <f t="shared" si="7"/>
        <v>23381.419999999995</v>
      </c>
      <c r="I24" s="49">
        <f t="shared" si="7"/>
        <v>1062.55</v>
      </c>
      <c r="J24" s="49">
        <f t="shared" si="7"/>
        <v>24443.969999999994</v>
      </c>
      <c r="K24" s="49">
        <f t="shared" si="7"/>
        <v>4505.030000000005</v>
      </c>
      <c r="L24" s="49">
        <f t="shared" si="7"/>
        <v>-8285.419418604648</v>
      </c>
      <c r="M24" s="38"/>
      <c r="N24" s="41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4" ht="11.2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8"/>
      <c r="N26" s="39"/>
    </row>
    <row r="27" spans="1:13" s="44" customFormat="1" ht="11.25" customHeight="1">
      <c r="A27" s="31" t="s">
        <v>26</v>
      </c>
      <c r="B27" s="32">
        <v>55130100</v>
      </c>
      <c r="C27" s="33">
        <v>4523</v>
      </c>
      <c r="D27" s="33">
        <v>72.76</v>
      </c>
      <c r="E27" s="33">
        <v>1.89</v>
      </c>
      <c r="F27" s="33">
        <v>0</v>
      </c>
      <c r="G27" s="33">
        <v>0</v>
      </c>
      <c r="H27" s="33">
        <f>'2-11-16'!H27+D27+F27</f>
        <v>1872.46</v>
      </c>
      <c r="I27" s="33">
        <f>'2-11-16'!I27+E27+G27</f>
        <v>48.559999999999995</v>
      </c>
      <c r="J27" s="33">
        <f>H27+I27</f>
        <v>1921.02</v>
      </c>
      <c r="K27" s="33">
        <f>C27-J27</f>
        <v>2601.98</v>
      </c>
      <c r="L27" s="33">
        <f>C27-(J27/17.2*26.2)</f>
        <v>1596.7951162790696</v>
      </c>
      <c r="M27" s="45"/>
    </row>
    <row r="28" spans="1:13" s="44" customFormat="1" ht="11.25" customHeight="1">
      <c r="A28" s="31" t="s">
        <v>30</v>
      </c>
      <c r="B28" s="32">
        <v>55140100</v>
      </c>
      <c r="C28" s="33">
        <v>2995</v>
      </c>
      <c r="D28" s="33">
        <v>0</v>
      </c>
      <c r="E28" s="33">
        <v>0</v>
      </c>
      <c r="F28" s="33">
        <v>136.96</v>
      </c>
      <c r="G28" s="33">
        <v>7.39</v>
      </c>
      <c r="H28" s="33">
        <f>'2-11-16'!H28+D28+F28</f>
        <v>2405.36</v>
      </c>
      <c r="I28" s="33">
        <f>'2-11-16'!I28+E28+G28</f>
        <v>129.73999999999998</v>
      </c>
      <c r="J28" s="33">
        <f>H28+I28</f>
        <v>2535.1</v>
      </c>
      <c r="K28" s="33">
        <f>C28-J28</f>
        <v>459.9000000000001</v>
      </c>
      <c r="L28" s="33">
        <f>C28-(J28/17.2*26.2)</f>
        <v>-866.605813953488</v>
      </c>
      <c r="M28" s="45"/>
    </row>
    <row r="29" spans="1:14" s="44" customFormat="1" ht="24.75" customHeight="1">
      <c r="A29" s="75" t="s">
        <v>39</v>
      </c>
      <c r="B29" s="76"/>
      <c r="C29" s="49">
        <f aca="true" t="shared" si="8" ref="C29:L29">SUM(C27:C28)</f>
        <v>7518</v>
      </c>
      <c r="D29" s="49">
        <f t="shared" si="8"/>
        <v>72.76</v>
      </c>
      <c r="E29" s="49">
        <f t="shared" si="8"/>
        <v>1.89</v>
      </c>
      <c r="F29" s="49">
        <f t="shared" si="8"/>
        <v>136.96</v>
      </c>
      <c r="G29" s="49">
        <f t="shared" si="8"/>
        <v>7.39</v>
      </c>
      <c r="H29" s="49">
        <f t="shared" si="8"/>
        <v>4277.82</v>
      </c>
      <c r="I29" s="49">
        <f t="shared" si="8"/>
        <v>178.29999999999998</v>
      </c>
      <c r="J29" s="62">
        <f t="shared" si="8"/>
        <v>4456.12</v>
      </c>
      <c r="K29" s="49">
        <f t="shared" si="8"/>
        <v>3061.88</v>
      </c>
      <c r="L29" s="49">
        <f t="shared" si="8"/>
        <v>730.1893023255816</v>
      </c>
      <c r="M29" s="42"/>
      <c r="N29" s="43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8"/>
      <c r="N31" s="39"/>
    </row>
    <row r="32" spans="1:14" s="44" customFormat="1" ht="11.25" customHeight="1">
      <c r="A32" s="31" t="s">
        <v>34</v>
      </c>
      <c r="B32" s="32">
        <v>55010000</v>
      </c>
      <c r="C32" s="33">
        <f>24725-15347</f>
        <v>9378</v>
      </c>
      <c r="D32" s="33">
        <v>0</v>
      </c>
      <c r="E32" s="33">
        <v>0</v>
      </c>
      <c r="F32" s="33">
        <v>0</v>
      </c>
      <c r="G32" s="33">
        <v>0</v>
      </c>
      <c r="H32" s="33">
        <f>'2-11-16'!H32+D32+F32</f>
        <v>129.6</v>
      </c>
      <c r="I32" s="33">
        <f>'2-11-16'!I32+E32+G32</f>
        <v>6.99</v>
      </c>
      <c r="J32" s="33">
        <f aca="true" t="shared" si="9" ref="J32:J37">H32+I32</f>
        <v>136.59</v>
      </c>
      <c r="K32" s="33">
        <f aca="true" t="shared" si="10" ref="K32:K37">C32-J32</f>
        <v>9241.41</v>
      </c>
      <c r="L32" s="33">
        <f aca="true" t="shared" si="11" ref="L32:L37">C32-(J32/17.2*26.2)</f>
        <v>9169.938488372092</v>
      </c>
      <c r="M32" s="42"/>
      <c r="N32" s="43"/>
    </row>
    <row r="33" spans="1:13" s="44" customFormat="1" ht="11.25" customHeight="1">
      <c r="A33" s="31" t="s">
        <v>31</v>
      </c>
      <c r="B33" s="32">
        <v>55080500</v>
      </c>
      <c r="C33" s="33">
        <v>10000</v>
      </c>
      <c r="D33" s="33">
        <v>330.8</v>
      </c>
      <c r="E33" s="33">
        <v>8.6</v>
      </c>
      <c r="F33" s="33">
        <v>0</v>
      </c>
      <c r="G33" s="33">
        <v>0</v>
      </c>
      <c r="H33" s="33">
        <f>'2-11-16'!H33+D33+F33</f>
        <v>3671.8800000000006</v>
      </c>
      <c r="I33" s="33">
        <f>'2-11-16'!I33+E33+G33</f>
        <v>95.44999999999999</v>
      </c>
      <c r="J33" s="33">
        <f t="shared" si="9"/>
        <v>3767.3300000000004</v>
      </c>
      <c r="K33" s="33">
        <f t="shared" si="10"/>
        <v>6232.67</v>
      </c>
      <c r="L33" s="33">
        <f t="shared" si="11"/>
        <v>4261.392674418604</v>
      </c>
      <c r="M33" s="45"/>
    </row>
    <row r="34" spans="1:13" s="44" customFormat="1" ht="11.25" customHeight="1">
      <c r="A34" s="31" t="s">
        <v>32</v>
      </c>
      <c r="B34" s="32">
        <v>55050300</v>
      </c>
      <c r="C34" s="33">
        <v>15347</v>
      </c>
      <c r="D34" s="33">
        <v>87.55</v>
      </c>
      <c r="E34" s="33">
        <v>2.27</v>
      </c>
      <c r="F34" s="33">
        <v>518</v>
      </c>
      <c r="G34" s="33">
        <v>27.97</v>
      </c>
      <c r="H34" s="33">
        <f>'2-11-16'!H34+D34+F34</f>
        <v>12018.109999999999</v>
      </c>
      <c r="I34" s="33">
        <f>'2-11-16'!I34+E34+G34</f>
        <v>631.26</v>
      </c>
      <c r="J34" s="33">
        <f t="shared" si="9"/>
        <v>12649.369999999999</v>
      </c>
      <c r="K34" s="33">
        <f t="shared" si="10"/>
        <v>2697.630000000001</v>
      </c>
      <c r="L34" s="33">
        <f t="shared" si="11"/>
        <v>-3921.2263953488364</v>
      </c>
      <c r="M34" s="45"/>
    </row>
    <row r="35" spans="1:13" s="44" customFormat="1" ht="11.25" customHeight="1">
      <c r="A35" s="31" t="s">
        <v>43</v>
      </c>
      <c r="B35" s="32">
        <v>55160300</v>
      </c>
      <c r="C35" s="33">
        <f>43385.81+42388.29</f>
        <v>85774.1</v>
      </c>
      <c r="D35" s="33">
        <v>0</v>
      </c>
      <c r="E35" s="33">
        <v>0</v>
      </c>
      <c r="F35" s="33">
        <v>3154.25</v>
      </c>
      <c r="G35" s="33">
        <v>170.32</v>
      </c>
      <c r="H35" s="33">
        <f>'2-11-16'!H35+D35+F35</f>
        <v>52991.450000000004</v>
      </c>
      <c r="I35" s="33">
        <f>'2-11-16'!I35+E35+G35</f>
        <v>2861.3999999999996</v>
      </c>
      <c r="J35" s="33">
        <f t="shared" si="9"/>
        <v>55852.850000000006</v>
      </c>
      <c r="K35" s="33">
        <f t="shared" si="10"/>
        <v>29921.25</v>
      </c>
      <c r="L35" s="33">
        <f t="shared" si="11"/>
        <v>695.9215116279083</v>
      </c>
      <c r="M35" s="45"/>
    </row>
    <row r="36" spans="1:13" s="44" customFormat="1" ht="15" customHeight="1" hidden="1">
      <c r="A36" s="31" t="s">
        <v>47</v>
      </c>
      <c r="B36" s="32">
        <v>55010100</v>
      </c>
      <c r="C36" s="33"/>
      <c r="D36" s="33"/>
      <c r="E36" s="33"/>
      <c r="F36" s="33"/>
      <c r="G36" s="33"/>
      <c r="H36" s="33">
        <f>'2-11-16'!H36+D36+F36</f>
        <v>-64.2</v>
      </c>
      <c r="I36" s="33">
        <f>'2-11-16'!I36+E36+G36</f>
        <v>-1.67</v>
      </c>
      <c r="J36" s="33">
        <f t="shared" si="9"/>
        <v>-65.87</v>
      </c>
      <c r="K36" s="33">
        <f t="shared" si="10"/>
        <v>65.87</v>
      </c>
      <c r="L36" s="33">
        <f t="shared" si="11"/>
        <v>100.33686046511629</v>
      </c>
      <c r="M36" s="45"/>
    </row>
    <row r="37" spans="1:13" s="44" customFormat="1" ht="11.25" customHeight="1">
      <c r="A37" s="31" t="s">
        <v>48</v>
      </c>
      <c r="B37" s="32" t="s">
        <v>49</v>
      </c>
      <c r="C37" s="33">
        <v>4086</v>
      </c>
      <c r="D37" s="33">
        <v>0</v>
      </c>
      <c r="E37" s="33">
        <v>0</v>
      </c>
      <c r="F37" s="33">
        <v>0</v>
      </c>
      <c r="G37" s="33">
        <v>0</v>
      </c>
      <c r="H37" s="33">
        <f>'2-11-16'!H37+D37+F37</f>
        <v>0</v>
      </c>
      <c r="I37" s="33">
        <f>'2-11-16'!I37+E37+G37</f>
        <v>0</v>
      </c>
      <c r="J37" s="33">
        <f t="shared" si="9"/>
        <v>0</v>
      </c>
      <c r="K37" s="33">
        <f t="shared" si="10"/>
        <v>4086</v>
      </c>
      <c r="L37" s="33">
        <f t="shared" si="11"/>
        <v>4086</v>
      </c>
      <c r="M37" s="45"/>
    </row>
    <row r="38" spans="1:14" ht="24.75" customHeight="1">
      <c r="A38" s="75" t="s">
        <v>40</v>
      </c>
      <c r="B38" s="76"/>
      <c r="C38" s="49">
        <f aca="true" t="shared" si="12" ref="C38:L38">SUM(C32:C37)</f>
        <v>124585.1</v>
      </c>
      <c r="D38" s="49">
        <f t="shared" si="12"/>
        <v>418.35</v>
      </c>
      <c r="E38" s="49">
        <f t="shared" si="12"/>
        <v>10.87</v>
      </c>
      <c r="F38" s="49">
        <f t="shared" si="12"/>
        <v>3672.25</v>
      </c>
      <c r="G38" s="49">
        <f t="shared" si="12"/>
        <v>198.29</v>
      </c>
      <c r="H38" s="49">
        <f t="shared" si="12"/>
        <v>68746.84000000001</v>
      </c>
      <c r="I38" s="49">
        <f t="shared" si="12"/>
        <v>3593.4299999999994</v>
      </c>
      <c r="J38" s="62">
        <f t="shared" si="12"/>
        <v>72340.27000000002</v>
      </c>
      <c r="K38" s="49">
        <f t="shared" si="12"/>
        <v>52244.83</v>
      </c>
      <c r="L38" s="49">
        <f t="shared" si="12"/>
        <v>14392.363139534884</v>
      </c>
      <c r="M38" s="38"/>
      <c r="N38" s="39"/>
    </row>
    <row r="39" spans="1:14" ht="11.25" customHeight="1">
      <c r="A39" s="28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8"/>
      <c r="N39" s="39"/>
    </row>
    <row r="40" spans="1:14" ht="11.25" customHeight="1">
      <c r="A40" s="28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8"/>
      <c r="N40" s="39"/>
    </row>
    <row r="41" spans="1:14" ht="24.75" customHeight="1">
      <c r="A41" s="76" t="s">
        <v>42</v>
      </c>
      <c r="B41" s="76"/>
      <c r="C41" s="49">
        <f aca="true" t="shared" si="13" ref="C41:L41">C13+C19+C24+C29+C38</f>
        <v>399075.1</v>
      </c>
      <c r="D41" s="49">
        <f t="shared" si="13"/>
        <v>7728.919999999999</v>
      </c>
      <c r="E41" s="49">
        <f t="shared" si="13"/>
        <v>200.88</v>
      </c>
      <c r="F41" s="49">
        <f t="shared" si="13"/>
        <v>5860.1900000000005</v>
      </c>
      <c r="G41" s="49">
        <f t="shared" si="13"/>
        <v>316.40999999999997</v>
      </c>
      <c r="H41" s="49">
        <f t="shared" si="13"/>
        <v>214787.44</v>
      </c>
      <c r="I41" s="49">
        <f t="shared" si="13"/>
        <v>8651.35</v>
      </c>
      <c r="J41" s="49">
        <f t="shared" si="13"/>
        <v>223438.79</v>
      </c>
      <c r="K41" s="49">
        <f t="shared" si="13"/>
        <v>175636.31</v>
      </c>
      <c r="L41" s="49">
        <f t="shared" si="13"/>
        <v>58720.66406976742</v>
      </c>
      <c r="M41" s="38"/>
      <c r="N41" s="39"/>
    </row>
    <row r="42" spans="1:14" ht="11.25" customHeight="1">
      <c r="A42" s="54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38"/>
      <c r="N42" s="39"/>
    </row>
    <row r="43" spans="1:14" ht="11.25" customHeight="1">
      <c r="A43" s="54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38"/>
      <c r="N43" s="39"/>
    </row>
    <row r="44" spans="1:14" s="44" customFormat="1" ht="12" customHeight="1">
      <c r="A44" s="31" t="s">
        <v>27</v>
      </c>
      <c r="B44" s="31" t="s">
        <v>28</v>
      </c>
      <c r="C44" s="33">
        <v>61829</v>
      </c>
      <c r="D44" s="33">
        <v>1243.96</v>
      </c>
      <c r="E44" s="33">
        <v>32.34</v>
      </c>
      <c r="F44" s="33">
        <v>0</v>
      </c>
      <c r="G44" s="33">
        <v>0</v>
      </c>
      <c r="H44" s="33">
        <f>'2-11-16'!H44+D44+F44</f>
        <v>28621.329999999998</v>
      </c>
      <c r="I44" s="33">
        <f>'2-11-16'!I44+E44+G44</f>
        <v>919.8500000000001</v>
      </c>
      <c r="J44" s="33">
        <f>H44+I44</f>
        <v>29541.179999999997</v>
      </c>
      <c r="K44" s="33">
        <f>C44-J44</f>
        <v>32287.820000000003</v>
      </c>
      <c r="L44" s="33">
        <f>C44-(J44/17.2*26.2)</f>
        <v>16830.22581395349</v>
      </c>
      <c r="M44" s="42"/>
      <c r="N44" s="43"/>
    </row>
    <row r="45" spans="1:14" ht="12" customHeight="1">
      <c r="A45" s="6"/>
      <c r="B45" s="6"/>
      <c r="C45" s="27"/>
      <c r="D45" s="27"/>
      <c r="E45" s="27"/>
      <c r="F45" s="27"/>
      <c r="G45" s="27"/>
      <c r="H45" s="27"/>
      <c r="I45" s="27"/>
      <c r="J45" s="33"/>
      <c r="K45" s="27"/>
      <c r="L45" s="27"/>
      <c r="M45" s="38"/>
      <c r="N45" s="39"/>
    </row>
    <row r="46" spans="1:14" ht="12" customHeight="1">
      <c r="A46" s="6" t="s">
        <v>29</v>
      </c>
      <c r="B46" s="6" t="s">
        <v>35</v>
      </c>
      <c r="C46" s="27">
        <v>15000</v>
      </c>
      <c r="D46" s="27">
        <v>0</v>
      </c>
      <c r="E46" s="27">
        <v>0</v>
      </c>
      <c r="F46" s="27">
        <v>620.28</v>
      </c>
      <c r="G46" s="27">
        <v>33.49</v>
      </c>
      <c r="H46" s="33">
        <f>'2-11-16'!H46+D46+F46</f>
        <v>10259.09</v>
      </c>
      <c r="I46" s="33">
        <f>'2-11-16'!I46+E46+G46</f>
        <v>553.8900000000001</v>
      </c>
      <c r="J46" s="33">
        <f>H46+I46</f>
        <v>10812.98</v>
      </c>
      <c r="K46" s="27">
        <f>C46-J46</f>
        <v>4187.02</v>
      </c>
      <c r="L46" s="33">
        <f>C46-(J46/17.2*26.2)</f>
        <v>-1470.9346511627882</v>
      </c>
      <c r="M46" s="38"/>
      <c r="N46" s="39"/>
    </row>
    <row r="47" spans="1:14" ht="12" customHeight="1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38"/>
      <c r="N47" s="39"/>
    </row>
    <row r="48" spans="1:14" ht="12" customHeight="1">
      <c r="A48" s="50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38"/>
      <c r="N48" s="39"/>
    </row>
    <row r="49" spans="1:14" ht="24.75" customHeight="1">
      <c r="A49" s="51" t="s">
        <v>41</v>
      </c>
      <c r="B49" s="52"/>
      <c r="C49" s="53">
        <f>C44+C46</f>
        <v>76829</v>
      </c>
      <c r="D49" s="53">
        <f aca="true" t="shared" si="14" ref="D49:L49">D44+D46</f>
        <v>1243.96</v>
      </c>
      <c r="E49" s="53">
        <f t="shared" si="14"/>
        <v>32.34</v>
      </c>
      <c r="F49" s="53">
        <f t="shared" si="14"/>
        <v>620.28</v>
      </c>
      <c r="G49" s="53">
        <f t="shared" si="14"/>
        <v>33.49</v>
      </c>
      <c r="H49" s="53">
        <f t="shared" si="14"/>
        <v>38880.42</v>
      </c>
      <c r="I49" s="53">
        <f t="shared" si="14"/>
        <v>1473.7400000000002</v>
      </c>
      <c r="J49" s="53">
        <f t="shared" si="14"/>
        <v>40354.159999999996</v>
      </c>
      <c r="K49" s="53">
        <f t="shared" si="14"/>
        <v>36474.840000000004</v>
      </c>
      <c r="L49" s="53">
        <f t="shared" si="14"/>
        <v>15359.291162790701</v>
      </c>
      <c r="M49" s="38"/>
      <c r="N49" s="12"/>
    </row>
    <row r="50" spans="1:14" ht="24" customHeight="1">
      <c r="A50" s="9"/>
      <c r="B50" s="10"/>
      <c r="C50" s="11"/>
      <c r="H50" s="11"/>
      <c r="I50" s="11"/>
      <c r="J50" s="11"/>
      <c r="K50" s="11"/>
      <c r="L50" s="11"/>
      <c r="M50" s="38"/>
      <c r="N50" s="12"/>
    </row>
    <row r="51" spans="1:14" ht="33.75">
      <c r="A51" s="57" t="s">
        <v>44</v>
      </c>
      <c r="B51" s="58">
        <v>43385.81</v>
      </c>
      <c r="C51" s="13"/>
      <c r="D51" s="13"/>
      <c r="E51" s="13"/>
      <c r="F51" s="13"/>
      <c r="G51" s="13"/>
      <c r="H51" s="46"/>
      <c r="I51" s="46"/>
      <c r="J51" s="46"/>
      <c r="K51" s="46"/>
      <c r="L51" s="46"/>
      <c r="M51" s="38"/>
      <c r="N51" s="12"/>
    </row>
    <row r="52" spans="1:14" ht="33.75">
      <c r="A52" s="9" t="s">
        <v>45</v>
      </c>
      <c r="B52" s="58">
        <v>10000</v>
      </c>
      <c r="C52" s="16"/>
      <c r="D52" s="11"/>
      <c r="E52" s="11"/>
      <c r="F52" s="11"/>
      <c r="G52" s="11"/>
      <c r="H52" s="11"/>
      <c r="I52" s="2"/>
      <c r="J52" s="11"/>
      <c r="K52" s="11"/>
      <c r="L52" s="11"/>
      <c r="M52" s="38"/>
      <c r="N52" s="12"/>
    </row>
    <row r="53" spans="1:14" ht="22.5">
      <c r="A53" s="14" t="s">
        <v>46</v>
      </c>
      <c r="B53" s="58">
        <v>15347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2"/>
    </row>
    <row r="54" spans="1:14" ht="33.75">
      <c r="A54" s="14" t="s">
        <v>50</v>
      </c>
      <c r="B54" s="58">
        <v>5000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7"/>
    </row>
    <row r="55" spans="1:14" ht="22.5">
      <c r="A55" s="14" t="s">
        <v>52</v>
      </c>
      <c r="B55" s="58">
        <v>42388.29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  <c r="N55" s="12"/>
    </row>
    <row r="56" spans="1:14" ht="22.5" customHeight="1">
      <c r="A56" s="14"/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  <c r="N56" s="12"/>
    </row>
    <row r="57" spans="1:14" ht="15">
      <c r="A57" s="18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N57" s="12"/>
    </row>
    <row r="58" spans="1:14" ht="15" customHeight="1">
      <c r="A58" s="18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 customHeight="1">
      <c r="A59" s="19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9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15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25.5" customHeight="1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15" customHeight="1">
      <c r="A64" s="18"/>
      <c r="B64" s="10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12"/>
    </row>
    <row r="65" spans="1:14" ht="15" customHeight="1">
      <c r="A65" s="20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12"/>
    </row>
    <row r="66" spans="1:14" ht="15" customHeight="1">
      <c r="A66" s="22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3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5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7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47"/>
      <c r="N72" s="24"/>
    </row>
    <row r="73" spans="1:14" ht="11.25" customHeight="1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N73" s="24"/>
    </row>
    <row r="74" spans="1:13" ht="15">
      <c r="A74" s="22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36"/>
    </row>
    <row r="75" spans="1:13" ht="15">
      <c r="A75" s="22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36"/>
    </row>
    <row r="76" spans="1:12" ht="15">
      <c r="A76" s="22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4" s="35" customFormat="1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  <c r="N82" s="36"/>
    </row>
    <row r="83" spans="1:12" ht="15">
      <c r="A83" s="24"/>
      <c r="B83" s="24"/>
      <c r="C83" s="48"/>
      <c r="D83" s="48"/>
      <c r="E83" s="48"/>
      <c r="F83" s="48"/>
      <c r="G83" s="48"/>
      <c r="H83" s="48"/>
      <c r="I83" s="48"/>
      <c r="J83" s="48"/>
      <c r="K83" s="48"/>
      <c r="L83" s="48"/>
    </row>
  </sheetData>
  <sheetProtection/>
  <mergeCells count="6">
    <mergeCell ref="A13:B13"/>
    <mergeCell ref="A19:B19"/>
    <mergeCell ref="A24:B24"/>
    <mergeCell ref="A29:B29"/>
    <mergeCell ref="A38:B38"/>
    <mergeCell ref="A41:B4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H33" sqref="H33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7.5742187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s="44" customFormat="1" ht="11.25" customHeight="1">
      <c r="A3" s="31" t="s">
        <v>11</v>
      </c>
      <c r="B3" s="32">
        <v>55010500</v>
      </c>
      <c r="C3" s="33">
        <f>9670-5000</f>
        <v>4670</v>
      </c>
      <c r="D3" s="33">
        <v>0</v>
      </c>
      <c r="E3" s="33">
        <v>0</v>
      </c>
      <c r="F3" s="33">
        <v>0</v>
      </c>
      <c r="G3" s="33">
        <v>0</v>
      </c>
      <c r="H3" s="33">
        <f>'2-25-16'!H3+D3+F3</f>
        <v>604.8</v>
      </c>
      <c r="I3" s="33">
        <f>'2-25-16'!I3+E3+G3</f>
        <v>32.629999999999995</v>
      </c>
      <c r="J3" s="33">
        <f>H3+I3</f>
        <v>637.43</v>
      </c>
      <c r="K3" s="33">
        <f>C3-J3</f>
        <v>4032.57</v>
      </c>
      <c r="L3" s="33">
        <f>C3-(J3/18.2*26.2)</f>
        <v>3752.380989010989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v>32649</v>
      </c>
      <c r="D4" s="33">
        <v>400.66</v>
      </c>
      <c r="E4" s="33">
        <v>10.41</v>
      </c>
      <c r="F4" s="33">
        <v>0</v>
      </c>
      <c r="G4" s="33">
        <v>0</v>
      </c>
      <c r="H4" s="33">
        <f>'2-25-16'!H4+D4+F4</f>
        <v>7001.799999999998</v>
      </c>
      <c r="I4" s="33">
        <f>'2-25-16'!I4+E4+G4</f>
        <v>250.96</v>
      </c>
      <c r="J4" s="33">
        <f>H4+I4</f>
        <v>7252.759999999998</v>
      </c>
      <c r="K4" s="33">
        <f>C4-J4</f>
        <v>25396.24</v>
      </c>
      <c r="L4" s="33">
        <f aca="true" t="shared" si="0" ref="L4:L12">C4-(J4/18.2*26.2)</f>
        <v>22208.21362637363</v>
      </c>
      <c r="M4" s="45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296.07</v>
      </c>
      <c r="E5" s="33">
        <v>7.68</v>
      </c>
      <c r="F5" s="33">
        <v>0</v>
      </c>
      <c r="G5" s="33">
        <v>0</v>
      </c>
      <c r="H5" s="33">
        <f>'2-25-16'!H5+D5+F5</f>
        <v>7866.26</v>
      </c>
      <c r="I5" s="33">
        <f>'2-25-16'!I5+E5+G5</f>
        <v>204.36</v>
      </c>
      <c r="J5" s="33">
        <f aca="true" t="shared" si="1" ref="J5:J11">H5+I5</f>
        <v>8070.62</v>
      </c>
      <c r="K5" s="33">
        <f aca="true" t="shared" si="2" ref="K5:K11">C5-J5</f>
        <v>9903.380000000001</v>
      </c>
      <c r="L5" s="33">
        <f t="shared" si="0"/>
        <v>6355.854725274725</v>
      </c>
      <c r="M5" s="45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297.39</v>
      </c>
      <c r="E6" s="33">
        <v>7.72</v>
      </c>
      <c r="F6" s="33">
        <v>0</v>
      </c>
      <c r="G6" s="33">
        <v>0</v>
      </c>
      <c r="H6" s="33">
        <f>'2-25-16'!H6+D6+F6</f>
        <v>7402.280000000002</v>
      </c>
      <c r="I6" s="33">
        <f>'2-25-16'!I6+E6+G6</f>
        <v>192.20000000000002</v>
      </c>
      <c r="J6" s="33">
        <f>H6+I6</f>
        <v>7594.480000000001</v>
      </c>
      <c r="K6" s="33">
        <f t="shared" si="2"/>
        <v>10379.519999999999</v>
      </c>
      <c r="L6" s="33">
        <f t="shared" si="0"/>
        <v>7041.287032967031</v>
      </c>
      <c r="M6" s="45"/>
      <c r="N6" s="61"/>
    </row>
    <row r="7" spans="1:13" s="44" customFormat="1" ht="11.25" customHeight="1">
      <c r="A7" s="31" t="s">
        <v>15</v>
      </c>
      <c r="B7" s="32">
        <v>55030200</v>
      </c>
      <c r="C7" s="33">
        <v>24330</v>
      </c>
      <c r="D7" s="33">
        <v>445.07</v>
      </c>
      <c r="E7" s="33">
        <v>11.56</v>
      </c>
      <c r="F7" s="33">
        <v>0</v>
      </c>
      <c r="G7" s="33">
        <v>0</v>
      </c>
      <c r="H7" s="33">
        <f>'2-25-16'!H7+D7+F7</f>
        <v>12564.3</v>
      </c>
      <c r="I7" s="33">
        <f>'2-25-16'!I7+E7+G7</f>
        <v>326.53000000000003</v>
      </c>
      <c r="J7" s="33">
        <f t="shared" si="1"/>
        <v>12890.83</v>
      </c>
      <c r="K7" s="33">
        <f t="shared" si="2"/>
        <v>11439.17</v>
      </c>
      <c r="L7" s="33">
        <f t="shared" si="0"/>
        <v>5772.871098901098</v>
      </c>
      <c r="M7" s="45"/>
    </row>
    <row r="8" spans="1:13" s="44" customFormat="1" ht="11.25" customHeight="1">
      <c r="A8" s="31" t="s">
        <v>16</v>
      </c>
      <c r="B8" s="32">
        <v>55050200</v>
      </c>
      <c r="C8" s="33">
        <f>29837</f>
        <v>29837</v>
      </c>
      <c r="D8" s="33">
        <v>689.97</v>
      </c>
      <c r="E8" s="33">
        <v>17.93</v>
      </c>
      <c r="F8" s="33">
        <v>0</v>
      </c>
      <c r="G8" s="33">
        <v>0</v>
      </c>
      <c r="H8" s="33">
        <f>'2-25-16'!H8+D8+F8</f>
        <v>18483.36</v>
      </c>
      <c r="I8" s="33">
        <f>'2-25-16'!I8+E8+G8</f>
        <v>627.0599999999998</v>
      </c>
      <c r="J8" s="33">
        <f t="shared" si="1"/>
        <v>19110.420000000002</v>
      </c>
      <c r="K8" s="33">
        <f t="shared" si="2"/>
        <v>10726.579999999998</v>
      </c>
      <c r="L8" s="33">
        <f t="shared" si="0"/>
        <v>2326.3953846153818</v>
      </c>
      <c r="M8" s="45"/>
    </row>
    <row r="9" spans="1:13" s="44" customFormat="1" ht="11.25" customHeight="1">
      <c r="A9" s="31" t="s">
        <v>51</v>
      </c>
      <c r="B9" s="32">
        <v>55050400</v>
      </c>
      <c r="C9" s="33">
        <v>5000</v>
      </c>
      <c r="D9" s="33">
        <v>0</v>
      </c>
      <c r="E9" s="33">
        <v>0</v>
      </c>
      <c r="F9" s="33">
        <v>0</v>
      </c>
      <c r="G9" s="33">
        <v>0</v>
      </c>
      <c r="H9" s="33">
        <f>'2-25-16'!H9+D9+F9</f>
        <v>0</v>
      </c>
      <c r="I9" s="33">
        <f>'2-25-16'!I9+E9+G9</f>
        <v>0</v>
      </c>
      <c r="J9" s="33">
        <f t="shared" si="1"/>
        <v>0</v>
      </c>
      <c r="K9" s="33">
        <f t="shared" si="2"/>
        <v>5000</v>
      </c>
      <c r="L9" s="33">
        <f t="shared" si="0"/>
        <v>5000</v>
      </c>
      <c r="M9" s="45"/>
    </row>
    <row r="10" spans="1:13" s="44" customFormat="1" ht="11.25" customHeight="1">
      <c r="A10" s="31" t="s">
        <v>17</v>
      </c>
      <c r="B10" s="32">
        <v>55070100</v>
      </c>
      <c r="C10" s="33">
        <f>26873+10510+5358</f>
        <v>42741</v>
      </c>
      <c r="D10" s="33">
        <f>897.11+25.68</f>
        <v>922.79</v>
      </c>
      <c r="E10" s="33">
        <v>23.98</v>
      </c>
      <c r="F10" s="33">
        <v>731.5</v>
      </c>
      <c r="G10" s="33">
        <v>39.49</v>
      </c>
      <c r="H10" s="33">
        <f>'2-25-16'!H10+D10+F10</f>
        <v>37214.83</v>
      </c>
      <c r="I10" s="33">
        <f>'2-25-16'!I10+E10+G10</f>
        <v>1315.8400000000001</v>
      </c>
      <c r="J10" s="33">
        <f t="shared" si="1"/>
        <v>38530.67</v>
      </c>
      <c r="K10" s="33">
        <f t="shared" si="2"/>
        <v>4210.330000000002</v>
      </c>
      <c r="L10" s="33">
        <f t="shared" si="0"/>
        <v>-12726.22824175824</v>
      </c>
      <c r="M10" s="45"/>
    </row>
    <row r="11" spans="1:13" s="44" customFormat="1" ht="11.25" customHeight="1">
      <c r="A11" s="31" t="s">
        <v>18</v>
      </c>
      <c r="B11" s="32">
        <v>55070400</v>
      </c>
      <c r="C11" s="33">
        <v>3000</v>
      </c>
      <c r="D11" s="33">
        <v>0</v>
      </c>
      <c r="E11" s="33">
        <v>0</v>
      </c>
      <c r="F11" s="33">
        <v>0</v>
      </c>
      <c r="G11" s="33">
        <v>0</v>
      </c>
      <c r="H11" s="33">
        <f>'2-25-16'!H11+D11+F11</f>
        <v>0</v>
      </c>
      <c r="I11" s="33">
        <f>'2-25-16'!I11+E11+G11</f>
        <v>0</v>
      </c>
      <c r="J11" s="33">
        <f t="shared" si="1"/>
        <v>0</v>
      </c>
      <c r="K11" s="33">
        <f t="shared" si="2"/>
        <v>3000</v>
      </c>
      <c r="L11" s="33">
        <f t="shared" si="0"/>
        <v>3000</v>
      </c>
      <c r="M11" s="45"/>
    </row>
    <row r="12" spans="1:13" s="44" customFormat="1" ht="11.25" customHeight="1">
      <c r="A12" s="31" t="s">
        <v>20</v>
      </c>
      <c r="B12" s="32">
        <v>55080100</v>
      </c>
      <c r="C12" s="33">
        <v>23173</v>
      </c>
      <c r="D12" s="33">
        <v>281.17</v>
      </c>
      <c r="E12" s="33">
        <v>7.3</v>
      </c>
      <c r="F12" s="33">
        <v>149.78</v>
      </c>
      <c r="G12" s="33">
        <v>8.08</v>
      </c>
      <c r="H12" s="33">
        <f>'2-25-16'!H12+D12+F12</f>
        <v>16192.950000000004</v>
      </c>
      <c r="I12" s="33">
        <f>'2-25-16'!I12+E12+G12</f>
        <v>501.45000000000005</v>
      </c>
      <c r="J12" s="33">
        <f>H12+I12</f>
        <v>16694.400000000005</v>
      </c>
      <c r="K12" s="33">
        <f>C12-J12</f>
        <v>6478.599999999995</v>
      </c>
      <c r="L12" s="33">
        <f t="shared" si="0"/>
        <v>-859.5978021978117</v>
      </c>
      <c r="M12" s="45"/>
    </row>
    <row r="13" spans="1:14" ht="24.75" customHeight="1">
      <c r="A13" s="75" t="s">
        <v>36</v>
      </c>
      <c r="B13" s="76"/>
      <c r="C13" s="49">
        <f>SUM(C3:C12)</f>
        <v>201348</v>
      </c>
      <c r="D13" s="49">
        <f aca="true" t="shared" si="3" ref="D13:L13">SUM(D3:D12)</f>
        <v>3333.12</v>
      </c>
      <c r="E13" s="49">
        <f t="shared" si="3"/>
        <v>86.58</v>
      </c>
      <c r="F13" s="49">
        <f t="shared" si="3"/>
        <v>881.28</v>
      </c>
      <c r="G13" s="49">
        <f t="shared" si="3"/>
        <v>47.57</v>
      </c>
      <c r="H13" s="49">
        <f t="shared" si="3"/>
        <v>107330.58000000002</v>
      </c>
      <c r="I13" s="49">
        <f t="shared" si="3"/>
        <v>3451.0299999999997</v>
      </c>
      <c r="J13" s="49">
        <f t="shared" si="3"/>
        <v>110781.61000000002</v>
      </c>
      <c r="K13" s="49">
        <f t="shared" si="3"/>
        <v>90566.38999999998</v>
      </c>
      <c r="L13" s="49">
        <f t="shared" si="3"/>
        <v>41871.1768131868</v>
      </c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28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38"/>
      <c r="N15" s="39"/>
    </row>
    <row r="16" spans="1:14" s="44" customFormat="1" ht="11.25" customHeight="1">
      <c r="A16" s="31" t="s">
        <v>19</v>
      </c>
      <c r="B16" s="32">
        <v>55030100</v>
      </c>
      <c r="C16" s="33">
        <v>13540</v>
      </c>
      <c r="D16" s="33">
        <v>172.34</v>
      </c>
      <c r="E16" s="33">
        <v>4.47</v>
      </c>
      <c r="F16" s="33">
        <v>0</v>
      </c>
      <c r="G16" s="33">
        <v>0</v>
      </c>
      <c r="H16" s="33">
        <f>'2-25-16'!H16+D16+F16</f>
        <v>5574.73</v>
      </c>
      <c r="I16" s="33">
        <f>'2-25-16'!I16+E16+G16</f>
        <v>160.44</v>
      </c>
      <c r="J16" s="33">
        <f aca="true" t="shared" si="4" ref="J16:J23">H16+I16</f>
        <v>5735.169999999999</v>
      </c>
      <c r="K16" s="33">
        <f aca="true" t="shared" si="5" ref="K16:K23">C16-J16</f>
        <v>7804.830000000001</v>
      </c>
      <c r="L16" s="33">
        <f>C16-(J16/18.2*26.2)</f>
        <v>5283.876153846155</v>
      </c>
      <c r="M16" s="42"/>
      <c r="N16" s="43"/>
    </row>
    <row r="17" spans="1:14" s="44" customFormat="1" ht="11.25" customHeight="1">
      <c r="A17" s="31" t="s">
        <v>33</v>
      </c>
      <c r="B17" s="32">
        <v>55110100</v>
      </c>
      <c r="C17" s="33">
        <v>7073</v>
      </c>
      <c r="D17" s="33">
        <v>20.75</v>
      </c>
      <c r="E17" s="33">
        <v>0.53</v>
      </c>
      <c r="F17" s="33">
        <v>0</v>
      </c>
      <c r="G17" s="33">
        <v>0</v>
      </c>
      <c r="H17" s="33">
        <f>'2-25-16'!H17+D17+F17</f>
        <v>603.2800000000001</v>
      </c>
      <c r="I17" s="33">
        <f>'2-25-16'!I17+E17+G17</f>
        <v>15.589999999999998</v>
      </c>
      <c r="J17" s="33">
        <f t="shared" si="4"/>
        <v>618.8700000000001</v>
      </c>
      <c r="K17" s="33">
        <f t="shared" si="5"/>
        <v>6454.13</v>
      </c>
      <c r="L17" s="33">
        <f>C17-(J17/18.2*26.2)</f>
        <v>6182.09923076923</v>
      </c>
      <c r="M17" s="42"/>
      <c r="N17" s="43"/>
    </row>
    <row r="18" spans="1:14" s="44" customFormat="1" ht="11.25" customHeight="1">
      <c r="A18" s="31" t="s">
        <v>23</v>
      </c>
      <c r="B18" s="32">
        <v>55160100</v>
      </c>
      <c r="C18" s="33">
        <v>16062</v>
      </c>
      <c r="D18" s="33">
        <v>332.94</v>
      </c>
      <c r="E18" s="33">
        <v>8.65</v>
      </c>
      <c r="F18" s="33">
        <v>41.85</v>
      </c>
      <c r="G18" s="33">
        <v>2.25</v>
      </c>
      <c r="H18" s="33">
        <f>'2-25-16'!H18+D18+F18</f>
        <v>9655.049999999997</v>
      </c>
      <c r="I18" s="33">
        <f>'2-25-16'!I18+E18+G18</f>
        <v>340.06</v>
      </c>
      <c r="J18" s="33">
        <f t="shared" si="4"/>
        <v>9995.109999999997</v>
      </c>
      <c r="K18" s="33">
        <f t="shared" si="5"/>
        <v>6066.890000000003</v>
      </c>
      <c r="L18" s="33">
        <f>C18-(J18/18.2*26.2)</f>
        <v>1673.4350549450592</v>
      </c>
      <c r="M18" s="42"/>
      <c r="N18" s="60"/>
    </row>
    <row r="19" spans="1:14" ht="24.75" customHeight="1">
      <c r="A19" s="75" t="s">
        <v>37</v>
      </c>
      <c r="B19" s="76"/>
      <c r="C19" s="49">
        <f>SUM(C16:C18)</f>
        <v>36675</v>
      </c>
      <c r="D19" s="49">
        <f aca="true" t="shared" si="6" ref="D19:L19">SUM(D16:D18)</f>
        <v>526.03</v>
      </c>
      <c r="E19" s="49">
        <f t="shared" si="6"/>
        <v>13.65</v>
      </c>
      <c r="F19" s="49">
        <f t="shared" si="6"/>
        <v>41.85</v>
      </c>
      <c r="G19" s="49">
        <f t="shared" si="6"/>
        <v>2.25</v>
      </c>
      <c r="H19" s="49">
        <f t="shared" si="6"/>
        <v>15833.059999999998</v>
      </c>
      <c r="I19" s="49">
        <f t="shared" si="6"/>
        <v>516.09</v>
      </c>
      <c r="J19" s="49">
        <f t="shared" si="6"/>
        <v>16349.149999999996</v>
      </c>
      <c r="K19" s="49">
        <f t="shared" si="6"/>
        <v>20325.850000000006</v>
      </c>
      <c r="L19" s="49">
        <f t="shared" si="6"/>
        <v>13139.410439560445</v>
      </c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28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38"/>
      <c r="N21" s="41"/>
    </row>
    <row r="22" spans="1:14" s="44" customFormat="1" ht="11.25" customHeight="1">
      <c r="A22" s="31" t="s">
        <v>21</v>
      </c>
      <c r="B22" s="32">
        <v>55090100</v>
      </c>
      <c r="C22" s="33">
        <v>26923</v>
      </c>
      <c r="D22" s="33">
        <v>0</v>
      </c>
      <c r="E22" s="33">
        <v>0</v>
      </c>
      <c r="F22" s="33">
        <v>786.48</v>
      </c>
      <c r="G22" s="33">
        <v>42.46</v>
      </c>
      <c r="H22" s="33">
        <f>'2-25-16'!H22+D22+F22</f>
        <v>23643.579999999994</v>
      </c>
      <c r="I22" s="33">
        <f>'2-25-16'!I22+E22+G22</f>
        <v>1076.71</v>
      </c>
      <c r="J22" s="33">
        <f t="shared" si="4"/>
        <v>24720.289999999994</v>
      </c>
      <c r="K22" s="33">
        <f t="shared" si="5"/>
        <v>2202.7100000000064</v>
      </c>
      <c r="L22" s="33">
        <f>C22-(J22/18.2*26.2)</f>
        <v>-8663.351538461531</v>
      </c>
      <c r="M22" s="42"/>
      <c r="N22" s="60"/>
    </row>
    <row r="23" spans="1:14" s="44" customFormat="1" ht="11.25" customHeight="1">
      <c r="A23" s="31" t="s">
        <v>22</v>
      </c>
      <c r="B23" s="32">
        <v>55100100</v>
      </c>
      <c r="C23" s="33">
        <v>2026</v>
      </c>
      <c r="D23" s="33">
        <v>0</v>
      </c>
      <c r="E23" s="33">
        <v>0</v>
      </c>
      <c r="F23" s="33">
        <v>135.6</v>
      </c>
      <c r="G23" s="33">
        <v>7.31</v>
      </c>
      <c r="H23" s="33">
        <f>'2-25-16'!H23+D23+F23</f>
        <v>659.9200000000001</v>
      </c>
      <c r="I23" s="33">
        <f>'2-25-16'!I23+E23+G23</f>
        <v>35.61</v>
      </c>
      <c r="J23" s="33">
        <f t="shared" si="4"/>
        <v>695.5300000000001</v>
      </c>
      <c r="K23" s="33">
        <f t="shared" si="5"/>
        <v>1330.4699999999998</v>
      </c>
      <c r="L23" s="33">
        <f>C23-(J23/18.2*26.2)</f>
        <v>1024.7425274725274</v>
      </c>
      <c r="M23" s="42"/>
      <c r="N23" s="60"/>
    </row>
    <row r="24" spans="1:14" ht="24.75" customHeight="1">
      <c r="A24" s="75" t="s">
        <v>38</v>
      </c>
      <c r="B24" s="76"/>
      <c r="C24" s="49">
        <f>SUM(C22:C23)</f>
        <v>28949</v>
      </c>
      <c r="D24" s="49">
        <f aca="true" t="shared" si="7" ref="D24:L24">SUM(D22:D23)</f>
        <v>0</v>
      </c>
      <c r="E24" s="49">
        <f t="shared" si="7"/>
        <v>0</v>
      </c>
      <c r="F24" s="49">
        <f t="shared" si="7"/>
        <v>922.08</v>
      </c>
      <c r="G24" s="49">
        <f t="shared" si="7"/>
        <v>49.77</v>
      </c>
      <c r="H24" s="49">
        <f t="shared" si="7"/>
        <v>24303.499999999993</v>
      </c>
      <c r="I24" s="49">
        <f t="shared" si="7"/>
        <v>1112.32</v>
      </c>
      <c r="J24" s="49">
        <f t="shared" si="7"/>
        <v>25415.819999999992</v>
      </c>
      <c r="K24" s="49">
        <f t="shared" si="7"/>
        <v>3533.180000000006</v>
      </c>
      <c r="L24" s="49">
        <f t="shared" si="7"/>
        <v>-7638.609010989004</v>
      </c>
      <c r="M24" s="38"/>
      <c r="N24" s="41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4" ht="11.2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8"/>
      <c r="N26" s="39"/>
    </row>
    <row r="27" spans="1:13" s="44" customFormat="1" ht="11.25" customHeight="1">
      <c r="A27" s="31" t="s">
        <v>26</v>
      </c>
      <c r="B27" s="32">
        <v>55130100</v>
      </c>
      <c r="C27" s="33">
        <v>4523</v>
      </c>
      <c r="D27" s="33">
        <v>39.58</v>
      </c>
      <c r="E27" s="33">
        <v>1.02</v>
      </c>
      <c r="F27" s="33">
        <v>0</v>
      </c>
      <c r="G27" s="33">
        <v>0</v>
      </c>
      <c r="H27" s="33">
        <f>'2-25-16'!H27+D27+F27</f>
        <v>1912.04</v>
      </c>
      <c r="I27" s="33">
        <f>'2-25-16'!I27+E27+G27</f>
        <v>49.58</v>
      </c>
      <c r="J27" s="33">
        <f>H27+I27</f>
        <v>1961.62</v>
      </c>
      <c r="K27" s="33">
        <f>C27-J27</f>
        <v>2561.38</v>
      </c>
      <c r="L27" s="33">
        <f>C27-(J27/18.2*26.2)</f>
        <v>1699.1294505494507</v>
      </c>
      <c r="M27" s="45"/>
    </row>
    <row r="28" spans="1:13" s="44" customFormat="1" ht="11.25" customHeight="1">
      <c r="A28" s="31" t="s">
        <v>30</v>
      </c>
      <c r="B28" s="32">
        <v>55140100</v>
      </c>
      <c r="C28" s="33">
        <v>2995</v>
      </c>
      <c r="D28" s="33">
        <v>0</v>
      </c>
      <c r="E28" s="33">
        <v>0</v>
      </c>
      <c r="F28" s="33">
        <v>136.96</v>
      </c>
      <c r="G28" s="33">
        <v>7.38</v>
      </c>
      <c r="H28" s="33">
        <f>'2-25-16'!H28+D28+F28</f>
        <v>2542.32</v>
      </c>
      <c r="I28" s="33">
        <f>'2-25-16'!I28+E28+G28</f>
        <v>137.11999999999998</v>
      </c>
      <c r="J28" s="33">
        <f>H28+I28</f>
        <v>2679.44</v>
      </c>
      <c r="K28" s="33">
        <f>C28-J28</f>
        <v>315.55999999999995</v>
      </c>
      <c r="L28" s="33">
        <f>C28-(J28/18.2*26.2)</f>
        <v>-862.2158241758243</v>
      </c>
      <c r="M28" s="45"/>
    </row>
    <row r="29" spans="1:14" s="44" customFormat="1" ht="24.75" customHeight="1">
      <c r="A29" s="75" t="s">
        <v>39</v>
      </c>
      <c r="B29" s="76"/>
      <c r="C29" s="49">
        <f aca="true" t="shared" si="8" ref="C29:L29">SUM(C27:C28)</f>
        <v>7518</v>
      </c>
      <c r="D29" s="49">
        <f t="shared" si="8"/>
        <v>39.58</v>
      </c>
      <c r="E29" s="49">
        <f t="shared" si="8"/>
        <v>1.02</v>
      </c>
      <c r="F29" s="49">
        <f t="shared" si="8"/>
        <v>136.96</v>
      </c>
      <c r="G29" s="49">
        <f t="shared" si="8"/>
        <v>7.38</v>
      </c>
      <c r="H29" s="49">
        <f t="shared" si="8"/>
        <v>4454.360000000001</v>
      </c>
      <c r="I29" s="49">
        <f t="shared" si="8"/>
        <v>186.7</v>
      </c>
      <c r="J29" s="62">
        <f t="shared" si="8"/>
        <v>4641.0599999999995</v>
      </c>
      <c r="K29" s="49">
        <f t="shared" si="8"/>
        <v>2876.94</v>
      </c>
      <c r="L29" s="49">
        <f t="shared" si="8"/>
        <v>836.9136263736264</v>
      </c>
      <c r="M29" s="42"/>
      <c r="N29" s="43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8"/>
      <c r="N31" s="39"/>
    </row>
    <row r="32" spans="1:14" s="44" customFormat="1" ht="11.25" customHeight="1">
      <c r="A32" s="31" t="s">
        <v>34</v>
      </c>
      <c r="B32" s="32">
        <v>55010000</v>
      </c>
      <c r="C32" s="33">
        <f>24725-15347</f>
        <v>9378</v>
      </c>
      <c r="D32" s="33">
        <v>0</v>
      </c>
      <c r="E32" s="33">
        <v>0</v>
      </c>
      <c r="F32" s="33">
        <v>0</v>
      </c>
      <c r="G32" s="33">
        <v>0</v>
      </c>
      <c r="H32" s="33">
        <f>'2-25-16'!H32+D32+F32</f>
        <v>129.6</v>
      </c>
      <c r="I32" s="33">
        <f>'2-25-16'!I32+E32+G32</f>
        <v>6.99</v>
      </c>
      <c r="J32" s="33">
        <f aca="true" t="shared" si="9" ref="J32:J38">H32+I32</f>
        <v>136.59</v>
      </c>
      <c r="K32" s="33">
        <f aca="true" t="shared" si="10" ref="K32:K38">C32-J32</f>
        <v>9241.41</v>
      </c>
      <c r="L32" s="33">
        <f aca="true" t="shared" si="11" ref="L32:L38">C32-(J32/18.2*26.2)</f>
        <v>9181.37043956044</v>
      </c>
      <c r="M32" s="42"/>
      <c r="N32" s="43"/>
    </row>
    <row r="33" spans="1:14" s="44" customFormat="1" ht="11.25" customHeight="1">
      <c r="A33" s="31" t="s">
        <v>54</v>
      </c>
      <c r="B33" s="32" t="s">
        <v>53</v>
      </c>
      <c r="C33" s="33">
        <v>3000</v>
      </c>
      <c r="D33" s="33">
        <v>0</v>
      </c>
      <c r="E33" s="33">
        <v>0</v>
      </c>
      <c r="F33" s="33">
        <v>307.2</v>
      </c>
      <c r="G33" s="33">
        <v>16.58</v>
      </c>
      <c r="H33" s="33">
        <f>D33+F33</f>
        <v>307.2</v>
      </c>
      <c r="I33" s="33">
        <f>E33+G33</f>
        <v>16.58</v>
      </c>
      <c r="J33" s="33">
        <f t="shared" si="9"/>
        <v>323.78</v>
      </c>
      <c r="K33" s="33">
        <f t="shared" si="10"/>
        <v>2676.2200000000003</v>
      </c>
      <c r="L33" s="33">
        <f t="shared" si="11"/>
        <v>2533.899120879121</v>
      </c>
      <c r="M33" s="42"/>
      <c r="N33" s="43"/>
    </row>
    <row r="34" spans="1:13" s="44" customFormat="1" ht="11.25" customHeight="1">
      <c r="A34" s="31" t="s">
        <v>31</v>
      </c>
      <c r="B34" s="32">
        <v>55080500</v>
      </c>
      <c r="C34" s="33">
        <v>10000</v>
      </c>
      <c r="D34" s="33">
        <v>198.48</v>
      </c>
      <c r="E34" s="33">
        <v>5.15</v>
      </c>
      <c r="F34" s="33">
        <v>0</v>
      </c>
      <c r="G34" s="33">
        <v>0</v>
      </c>
      <c r="H34" s="33">
        <f>'2-25-16'!H33+D34+F34</f>
        <v>3870.3600000000006</v>
      </c>
      <c r="I34" s="33">
        <f>'2-25-16'!I33+E34+G34</f>
        <v>100.6</v>
      </c>
      <c r="J34" s="33">
        <f t="shared" si="9"/>
        <v>3970.9600000000005</v>
      </c>
      <c r="K34" s="33">
        <f t="shared" si="10"/>
        <v>6029.039999999999</v>
      </c>
      <c r="L34" s="33">
        <f t="shared" si="11"/>
        <v>4283.563076923076</v>
      </c>
      <c r="M34" s="45"/>
    </row>
    <row r="35" spans="1:13" s="44" customFormat="1" ht="11.25" customHeight="1">
      <c r="A35" s="31" t="s">
        <v>32</v>
      </c>
      <c r="B35" s="32">
        <v>55050300</v>
      </c>
      <c r="C35" s="33">
        <v>15347</v>
      </c>
      <c r="D35" s="33">
        <v>103.51</v>
      </c>
      <c r="E35" s="33">
        <v>2.68</v>
      </c>
      <c r="F35" s="33">
        <v>434</v>
      </c>
      <c r="G35" s="33">
        <v>23.43</v>
      </c>
      <c r="H35" s="33">
        <f>'2-25-16'!H34+D35+F35</f>
        <v>12555.619999999999</v>
      </c>
      <c r="I35" s="33">
        <f>'2-25-16'!I34+E35+G35</f>
        <v>657.3699999999999</v>
      </c>
      <c r="J35" s="33">
        <f t="shared" si="9"/>
        <v>13212.989999999998</v>
      </c>
      <c r="K35" s="33">
        <f t="shared" si="10"/>
        <v>2134.010000000002</v>
      </c>
      <c r="L35" s="33">
        <f t="shared" si="11"/>
        <v>-3673.8976923076916</v>
      </c>
      <c r="M35" s="45"/>
    </row>
    <row r="36" spans="1:13" s="44" customFormat="1" ht="11.25" customHeight="1">
      <c r="A36" s="31" t="s">
        <v>43</v>
      </c>
      <c r="B36" s="32">
        <v>55160300</v>
      </c>
      <c r="C36" s="33">
        <f>43385.81+42388.29</f>
        <v>85774.1</v>
      </c>
      <c r="D36" s="33">
        <v>0</v>
      </c>
      <c r="E36" s="33">
        <v>0</v>
      </c>
      <c r="F36" s="33">
        <v>3154.25</v>
      </c>
      <c r="G36" s="33">
        <v>170.32</v>
      </c>
      <c r="H36" s="33">
        <f>'2-25-16'!H35+D36+F36</f>
        <v>56145.700000000004</v>
      </c>
      <c r="I36" s="33">
        <f>'2-25-16'!I35+E36+G36</f>
        <v>3031.72</v>
      </c>
      <c r="J36" s="33">
        <f t="shared" si="9"/>
        <v>59177.420000000006</v>
      </c>
      <c r="K36" s="33">
        <f t="shared" si="10"/>
        <v>26596.68</v>
      </c>
      <c r="L36" s="33">
        <f t="shared" si="11"/>
        <v>584.6272527472465</v>
      </c>
      <c r="M36" s="45"/>
    </row>
    <row r="37" spans="1:13" s="44" customFormat="1" ht="15" customHeight="1" hidden="1">
      <c r="A37" s="31" t="s">
        <v>47</v>
      </c>
      <c r="B37" s="32">
        <v>55010100</v>
      </c>
      <c r="C37" s="33"/>
      <c r="D37" s="33"/>
      <c r="E37" s="33"/>
      <c r="F37" s="33"/>
      <c r="G37" s="33"/>
      <c r="H37" s="33">
        <f>'2-25-16'!H36+D37+F37</f>
        <v>-64.2</v>
      </c>
      <c r="I37" s="33">
        <f>'2-25-16'!I36+E37+G37</f>
        <v>-1.67</v>
      </c>
      <c r="J37" s="33">
        <f t="shared" si="9"/>
        <v>-65.87</v>
      </c>
      <c r="K37" s="33">
        <f t="shared" si="10"/>
        <v>65.87</v>
      </c>
      <c r="L37" s="33">
        <f t="shared" si="11"/>
        <v>94.82384615384616</v>
      </c>
      <c r="M37" s="45"/>
    </row>
    <row r="38" spans="1:13" s="44" customFormat="1" ht="11.25" customHeight="1">
      <c r="A38" s="31" t="s">
        <v>48</v>
      </c>
      <c r="B38" s="32" t="s">
        <v>49</v>
      </c>
      <c r="C38" s="33">
        <v>4086</v>
      </c>
      <c r="D38" s="33">
        <v>0</v>
      </c>
      <c r="E38" s="33">
        <v>0</v>
      </c>
      <c r="F38" s="33">
        <v>0</v>
      </c>
      <c r="G38" s="33">
        <v>0</v>
      </c>
      <c r="H38" s="33">
        <f>'2-25-16'!H37+D38+F38</f>
        <v>0</v>
      </c>
      <c r="I38" s="33">
        <f>'2-25-16'!I37+E38+G38</f>
        <v>0</v>
      </c>
      <c r="J38" s="33">
        <f t="shared" si="9"/>
        <v>0</v>
      </c>
      <c r="K38" s="33">
        <f t="shared" si="10"/>
        <v>4086</v>
      </c>
      <c r="L38" s="33">
        <f t="shared" si="11"/>
        <v>4086</v>
      </c>
      <c r="M38" s="45"/>
    </row>
    <row r="39" spans="1:14" ht="24.75" customHeight="1">
      <c r="A39" s="75" t="s">
        <v>40</v>
      </c>
      <c r="B39" s="76"/>
      <c r="C39" s="49">
        <f aca="true" t="shared" si="12" ref="C39:L39">SUM(C32:C38)</f>
        <v>127585.1</v>
      </c>
      <c r="D39" s="49">
        <f t="shared" si="12"/>
        <v>301.99</v>
      </c>
      <c r="E39" s="49">
        <f t="shared" si="12"/>
        <v>7.83</v>
      </c>
      <c r="F39" s="49">
        <f t="shared" si="12"/>
        <v>3895.45</v>
      </c>
      <c r="G39" s="49">
        <f t="shared" si="12"/>
        <v>210.32999999999998</v>
      </c>
      <c r="H39" s="49">
        <f t="shared" si="12"/>
        <v>72944.28000000001</v>
      </c>
      <c r="I39" s="49">
        <f t="shared" si="12"/>
        <v>3811.5899999999997</v>
      </c>
      <c r="J39" s="62">
        <f t="shared" si="12"/>
        <v>76755.87000000001</v>
      </c>
      <c r="K39" s="49">
        <f t="shared" si="12"/>
        <v>50829.23</v>
      </c>
      <c r="L39" s="49">
        <f t="shared" si="12"/>
        <v>17090.386043956038</v>
      </c>
      <c r="M39" s="38"/>
      <c r="N39" s="39"/>
    </row>
    <row r="40" spans="1:14" ht="11.25" customHeight="1">
      <c r="A40" s="28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8"/>
      <c r="N40" s="39"/>
    </row>
    <row r="41" spans="1:14" ht="11.25" customHeight="1">
      <c r="A41" s="28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8"/>
      <c r="N41" s="39"/>
    </row>
    <row r="42" spans="1:14" ht="24.75" customHeight="1">
      <c r="A42" s="76" t="s">
        <v>42</v>
      </c>
      <c r="B42" s="76"/>
      <c r="C42" s="49">
        <f aca="true" t="shared" si="13" ref="C42:L42">C13+C19+C24+C29+C39</f>
        <v>402075.1</v>
      </c>
      <c r="D42" s="49">
        <f t="shared" si="13"/>
        <v>4200.719999999999</v>
      </c>
      <c r="E42" s="49">
        <f t="shared" si="13"/>
        <v>109.08</v>
      </c>
      <c r="F42" s="49">
        <f t="shared" si="13"/>
        <v>5877.62</v>
      </c>
      <c r="G42" s="49">
        <f t="shared" si="13"/>
        <v>317.29999999999995</v>
      </c>
      <c r="H42" s="49">
        <f t="shared" si="13"/>
        <v>224865.78000000003</v>
      </c>
      <c r="I42" s="49">
        <f t="shared" si="13"/>
        <v>9077.73</v>
      </c>
      <c r="J42" s="49">
        <f t="shared" si="13"/>
        <v>233943.51</v>
      </c>
      <c r="K42" s="49">
        <f t="shared" si="13"/>
        <v>168131.59</v>
      </c>
      <c r="L42" s="49">
        <f t="shared" si="13"/>
        <v>65299.277912087906</v>
      </c>
      <c r="M42" s="38"/>
      <c r="N42" s="39"/>
    </row>
    <row r="43" spans="1:14" ht="11.25" customHeight="1">
      <c r="A43" s="54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38"/>
      <c r="N43" s="39"/>
    </row>
    <row r="44" spans="1:14" ht="11.25" customHeight="1">
      <c r="A44" s="54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38"/>
      <c r="N44" s="39"/>
    </row>
    <row r="45" spans="1:14" s="44" customFormat="1" ht="12" customHeight="1">
      <c r="A45" s="31" t="s">
        <v>27</v>
      </c>
      <c r="B45" s="31" t="s">
        <v>28</v>
      </c>
      <c r="C45" s="33">
        <v>61829</v>
      </c>
      <c r="D45" s="33">
        <v>907.64</v>
      </c>
      <c r="E45" s="33">
        <v>23.57</v>
      </c>
      <c r="F45" s="33">
        <v>0</v>
      </c>
      <c r="G45" s="33">
        <v>0</v>
      </c>
      <c r="H45" s="33">
        <f>'2-25-16'!H44+D45+F45</f>
        <v>29528.969999999998</v>
      </c>
      <c r="I45" s="33">
        <f>'2-25-16'!I44+E45+G45</f>
        <v>943.4200000000002</v>
      </c>
      <c r="J45" s="33">
        <f>H45+I45</f>
        <v>30472.39</v>
      </c>
      <c r="K45" s="33">
        <f>C45-J45</f>
        <v>31356.61</v>
      </c>
      <c r="L45" s="33">
        <f>C45-(J45/18.2*26.2)</f>
        <v>17962.152857142857</v>
      </c>
      <c r="M45" s="42"/>
      <c r="N45" s="43"/>
    </row>
    <row r="46" spans="1:14" ht="12" customHeight="1">
      <c r="A46" s="6"/>
      <c r="B46" s="6"/>
      <c r="C46" s="27"/>
      <c r="D46" s="27"/>
      <c r="E46" s="27"/>
      <c r="F46" s="27"/>
      <c r="G46" s="27"/>
      <c r="H46" s="27"/>
      <c r="I46" s="27"/>
      <c r="J46" s="33"/>
      <c r="K46" s="27"/>
      <c r="L46" s="27"/>
      <c r="M46" s="38"/>
      <c r="N46" s="39"/>
    </row>
    <row r="47" spans="1:14" ht="12" customHeight="1">
      <c r="A47" s="6" t="s">
        <v>29</v>
      </c>
      <c r="B47" s="6" t="s">
        <v>35</v>
      </c>
      <c r="C47" s="27">
        <v>15000</v>
      </c>
      <c r="D47" s="27">
        <v>0</v>
      </c>
      <c r="E47" s="27">
        <v>0</v>
      </c>
      <c r="F47" s="27">
        <v>654.64</v>
      </c>
      <c r="G47" s="27">
        <v>35.34</v>
      </c>
      <c r="H47" s="33">
        <f>'2-25-16'!H46+D47+F47</f>
        <v>10913.73</v>
      </c>
      <c r="I47" s="33">
        <f>'2-25-16'!I46+E47+G47</f>
        <v>589.2300000000001</v>
      </c>
      <c r="J47" s="33">
        <f>H47+I47</f>
        <v>11502.96</v>
      </c>
      <c r="K47" s="27">
        <f>C47-J47</f>
        <v>3497.040000000001</v>
      </c>
      <c r="L47" s="33">
        <f>C47-(J47/18.2*26.2)</f>
        <v>-1559.206153846153</v>
      </c>
      <c r="M47" s="38"/>
      <c r="N47" s="39"/>
    </row>
    <row r="48" spans="1:14" ht="12" customHeight="1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38"/>
      <c r="N48" s="39"/>
    </row>
    <row r="49" spans="1:14" ht="12" customHeight="1">
      <c r="A49" s="50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38"/>
      <c r="N49" s="39"/>
    </row>
    <row r="50" spans="1:14" ht="24.75" customHeight="1">
      <c r="A50" s="51" t="s">
        <v>41</v>
      </c>
      <c r="B50" s="52"/>
      <c r="C50" s="53">
        <f>C45+C47</f>
        <v>76829</v>
      </c>
      <c r="D50" s="53">
        <f aca="true" t="shared" si="14" ref="D50:L50">D45+D47</f>
        <v>907.64</v>
      </c>
      <c r="E50" s="53">
        <f t="shared" si="14"/>
        <v>23.57</v>
      </c>
      <c r="F50" s="53">
        <f t="shared" si="14"/>
        <v>654.64</v>
      </c>
      <c r="G50" s="53">
        <f t="shared" si="14"/>
        <v>35.34</v>
      </c>
      <c r="H50" s="53">
        <f t="shared" si="14"/>
        <v>40442.7</v>
      </c>
      <c r="I50" s="53">
        <f t="shared" si="14"/>
        <v>1532.6500000000003</v>
      </c>
      <c r="J50" s="53">
        <f t="shared" si="14"/>
        <v>41975.35</v>
      </c>
      <c r="K50" s="53">
        <f t="shared" si="14"/>
        <v>34853.65</v>
      </c>
      <c r="L50" s="53">
        <f t="shared" si="14"/>
        <v>16402.946703296704</v>
      </c>
      <c r="M50" s="38"/>
      <c r="N50" s="12"/>
    </row>
    <row r="51" spans="1:14" ht="24" customHeight="1">
      <c r="A51" s="9"/>
      <c r="B51" s="10"/>
      <c r="C51" s="11"/>
      <c r="H51" s="11"/>
      <c r="I51" s="11"/>
      <c r="J51" s="11"/>
      <c r="K51" s="11"/>
      <c r="L51" s="11"/>
      <c r="M51" s="38"/>
      <c r="N51" s="12"/>
    </row>
    <row r="52" spans="1:14" ht="33.75">
      <c r="A52" s="57" t="s">
        <v>44</v>
      </c>
      <c r="B52" s="58">
        <v>43385.81</v>
      </c>
      <c r="C52" s="13"/>
      <c r="D52" s="13"/>
      <c r="E52" s="13"/>
      <c r="F52" s="13"/>
      <c r="G52" s="13"/>
      <c r="H52" s="46"/>
      <c r="I52" s="46"/>
      <c r="J52" s="46"/>
      <c r="K52" s="46"/>
      <c r="L52" s="46"/>
      <c r="M52" s="38"/>
      <c r="N52" s="12"/>
    </row>
    <row r="53" spans="1:14" ht="33.75">
      <c r="A53" s="9" t="s">
        <v>45</v>
      </c>
      <c r="B53" s="58">
        <v>10000</v>
      </c>
      <c r="C53" s="16"/>
      <c r="D53" s="11"/>
      <c r="E53" s="11"/>
      <c r="F53" s="11"/>
      <c r="G53" s="11"/>
      <c r="H53" s="11"/>
      <c r="I53" s="2"/>
      <c r="J53" s="11"/>
      <c r="K53" s="11"/>
      <c r="L53" s="11"/>
      <c r="M53" s="38"/>
      <c r="N53" s="12"/>
    </row>
    <row r="54" spans="1:14" ht="22.5">
      <c r="A54" s="14" t="s">
        <v>46</v>
      </c>
      <c r="B54" s="58">
        <v>15347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2"/>
    </row>
    <row r="55" spans="1:14" ht="33.75">
      <c r="A55" s="14" t="s">
        <v>50</v>
      </c>
      <c r="B55" s="58">
        <v>5000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  <c r="N55" s="17"/>
    </row>
    <row r="56" spans="1:14" ht="22.5">
      <c r="A56" s="14" t="s">
        <v>52</v>
      </c>
      <c r="B56" s="58">
        <v>42388.29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  <c r="N56" s="12"/>
    </row>
    <row r="57" spans="1:14" ht="22.5" customHeight="1">
      <c r="A57" s="14"/>
      <c r="B57" s="1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8"/>
      <c r="N57" s="12"/>
    </row>
    <row r="58" spans="1:14" ht="15">
      <c r="A58" s="18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N58" s="12"/>
    </row>
    <row r="59" spans="1:14" ht="15" customHeight="1">
      <c r="A59" s="18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 customHeight="1">
      <c r="A60" s="19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15">
      <c r="A61" s="19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25.5" customHeight="1">
      <c r="A64" s="18"/>
      <c r="B64" s="10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12"/>
    </row>
    <row r="65" spans="1:14" ht="15" customHeight="1">
      <c r="A65" s="18"/>
      <c r="B65" s="10"/>
      <c r="C65" s="21"/>
      <c r="D65" s="21"/>
      <c r="E65" s="21"/>
      <c r="F65" s="21"/>
      <c r="G65" s="21"/>
      <c r="H65" s="21"/>
      <c r="I65" s="21"/>
      <c r="J65" s="21"/>
      <c r="K65" s="21"/>
      <c r="L65" s="21"/>
      <c r="N65" s="12"/>
    </row>
    <row r="66" spans="1:14" ht="15" customHeight="1">
      <c r="A66" s="20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12"/>
    </row>
    <row r="67" spans="1:14" ht="15" customHeight="1">
      <c r="A67" s="22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3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5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7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47"/>
      <c r="N72" s="24"/>
    </row>
    <row r="73" spans="1:14" ht="11.25" customHeight="1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47"/>
      <c r="N73" s="24"/>
    </row>
    <row r="74" spans="1:14" ht="11.25" customHeight="1">
      <c r="A74" s="22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N74" s="24"/>
    </row>
    <row r="75" spans="1:13" ht="15">
      <c r="A75" s="22"/>
      <c r="B75" s="22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36"/>
    </row>
    <row r="76" spans="1:13" ht="15">
      <c r="A76" s="22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36"/>
    </row>
    <row r="77" spans="1:12" ht="15">
      <c r="A77" s="22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4" s="35" customFormat="1" ht="15">
      <c r="A83" s="24"/>
      <c r="B83" s="24"/>
      <c r="C83" s="48"/>
      <c r="D83" s="48"/>
      <c r="E83" s="48"/>
      <c r="F83" s="48"/>
      <c r="G83" s="48"/>
      <c r="H83" s="48"/>
      <c r="I83" s="48"/>
      <c r="J83" s="48"/>
      <c r="K83" s="48"/>
      <c r="L83" s="48"/>
      <c r="N83" s="36"/>
    </row>
    <row r="84" spans="1:12" ht="15">
      <c r="A84" s="24"/>
      <c r="B84" s="24"/>
      <c r="C84" s="48"/>
      <c r="D84" s="48"/>
      <c r="E84" s="48"/>
      <c r="F84" s="48"/>
      <c r="G84" s="48"/>
      <c r="H84" s="48"/>
      <c r="I84" s="48"/>
      <c r="J84" s="48"/>
      <c r="K84" s="48"/>
      <c r="L84" s="48"/>
    </row>
  </sheetData>
  <sheetProtection/>
  <mergeCells count="6">
    <mergeCell ref="A13:B13"/>
    <mergeCell ref="A19:B19"/>
    <mergeCell ref="A24:B24"/>
    <mergeCell ref="A29:B29"/>
    <mergeCell ref="A39:B39"/>
    <mergeCell ref="A42:B4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G44" sqref="G44"/>
    </sheetView>
  </sheetViews>
  <sheetFormatPr defaultColWidth="28.00390625" defaultRowHeight="15"/>
  <cols>
    <col min="1" max="1" width="24.28125" style="36" customWidth="1"/>
    <col min="2" max="2" width="15.00390625" style="36" bestFit="1" customWidth="1"/>
    <col min="3" max="3" width="11.57421875" style="40" bestFit="1" customWidth="1"/>
    <col min="4" max="4" width="10.421875" style="40" bestFit="1" customWidth="1"/>
    <col min="5" max="5" width="7.140625" style="40" customWidth="1"/>
    <col min="6" max="6" width="14.00390625" style="40" bestFit="1" customWidth="1"/>
    <col min="7" max="7" width="6.8515625" style="40" customWidth="1"/>
    <col min="8" max="8" width="9.00390625" style="40" customWidth="1"/>
    <col min="9" max="9" width="10.57421875" style="40" customWidth="1"/>
    <col min="10" max="10" width="9.7109375" style="40" customWidth="1"/>
    <col min="11" max="12" width="13.00390625" style="40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ht="11.25" customHeight="1">
      <c r="A3" s="6" t="s">
        <v>11</v>
      </c>
      <c r="B3" s="26">
        <v>55010500</v>
      </c>
      <c r="C3" s="27">
        <v>9670</v>
      </c>
      <c r="D3" s="27">
        <v>0</v>
      </c>
      <c r="E3" s="27">
        <v>0</v>
      </c>
      <c r="F3" s="27">
        <v>252</v>
      </c>
      <c r="G3" s="27">
        <v>13.6</v>
      </c>
      <c r="H3" s="27">
        <f>'07-02-15'!H3+D3+F3</f>
        <v>282.8</v>
      </c>
      <c r="I3" s="27">
        <f>'07-02-15'!I3+E3+G3</f>
        <v>15.26</v>
      </c>
      <c r="J3" s="27">
        <f>H3+I3</f>
        <v>298.06</v>
      </c>
      <c r="K3" s="27">
        <f>C3-J3</f>
        <v>9371.94</v>
      </c>
      <c r="L3" s="27">
        <f>C3-(J3/1.2*26.2)</f>
        <v>3162.3566666666666</v>
      </c>
      <c r="M3" s="38"/>
      <c r="N3" s="39"/>
    </row>
    <row r="4" spans="1:14" ht="11.25" customHeight="1">
      <c r="A4" s="6" t="s">
        <v>12</v>
      </c>
      <c r="B4" s="26">
        <v>55020200</v>
      </c>
      <c r="C4" s="27">
        <v>32649</v>
      </c>
      <c r="D4" s="27">
        <v>76.47</v>
      </c>
      <c r="E4" s="27">
        <v>1.98</v>
      </c>
      <c r="F4" s="27">
        <v>405.45</v>
      </c>
      <c r="G4" s="27">
        <v>21.89</v>
      </c>
      <c r="H4" s="27">
        <f>'07-02-15'!H4+D4+F4</f>
        <v>492.78999999999996</v>
      </c>
      <c r="I4" s="27">
        <f>'07-02-15'!I4+E4+G4</f>
        <v>24.15</v>
      </c>
      <c r="J4" s="27">
        <f>H4+I4</f>
        <v>516.9399999999999</v>
      </c>
      <c r="K4" s="27">
        <f>C4-J4</f>
        <v>32132.06</v>
      </c>
      <c r="L4" s="27">
        <f aca="true" t="shared" si="0" ref="L4:L11">C4-(J4/1.2*26.2)</f>
        <v>21362.47666666667</v>
      </c>
      <c r="N4" s="40"/>
    </row>
    <row r="5" spans="1:14" ht="11.25" customHeight="1">
      <c r="A5" s="6" t="s">
        <v>13</v>
      </c>
      <c r="B5" s="26">
        <v>55020300</v>
      </c>
      <c r="C5" s="27">
        <v>17974</v>
      </c>
      <c r="D5" s="27">
        <v>453.81</v>
      </c>
      <c r="E5" s="27">
        <v>11.79</v>
      </c>
      <c r="F5" s="27">
        <v>0</v>
      </c>
      <c r="G5" s="27">
        <v>0</v>
      </c>
      <c r="H5" s="27">
        <f>'07-02-15'!H5+D5+F5</f>
        <v>491.31</v>
      </c>
      <c r="I5" s="27">
        <f>'07-02-15'!I5+E5+G5</f>
        <v>12.76</v>
      </c>
      <c r="J5" s="27">
        <f aca="true" t="shared" si="1" ref="J5:J10">H5+I5</f>
        <v>504.07</v>
      </c>
      <c r="K5" s="27">
        <f aca="true" t="shared" si="2" ref="K5:K10">C5-J5</f>
        <v>17469.93</v>
      </c>
      <c r="L5" s="27">
        <f t="shared" si="0"/>
        <v>6968.471666666666</v>
      </c>
      <c r="N5" s="40"/>
    </row>
    <row r="6" spans="1:14" ht="11.25" customHeight="1">
      <c r="A6" s="6" t="s">
        <v>14</v>
      </c>
      <c r="B6" s="26">
        <v>55020400</v>
      </c>
      <c r="C6" s="27">
        <v>17974</v>
      </c>
      <c r="D6" s="27">
        <v>460.53</v>
      </c>
      <c r="E6" s="27">
        <v>11.97</v>
      </c>
      <c r="F6" s="27">
        <v>0</v>
      </c>
      <c r="G6" s="27">
        <v>0</v>
      </c>
      <c r="H6" s="27">
        <f>'07-02-15'!H6+D6+F6</f>
        <v>566.4</v>
      </c>
      <c r="I6" s="27">
        <f>'07-02-15'!I6+E6+G6</f>
        <v>14.72</v>
      </c>
      <c r="J6" s="27">
        <f>H6+I6</f>
        <v>581.12</v>
      </c>
      <c r="K6" s="27">
        <f t="shared" si="2"/>
        <v>17392.88</v>
      </c>
      <c r="L6" s="27">
        <f t="shared" si="0"/>
        <v>5286.213333333333</v>
      </c>
      <c r="N6" s="40"/>
    </row>
    <row r="7" spans="1:12" ht="11.25" customHeight="1">
      <c r="A7" s="6" t="s">
        <v>15</v>
      </c>
      <c r="B7" s="26">
        <v>55030200</v>
      </c>
      <c r="C7" s="27">
        <v>24330</v>
      </c>
      <c r="D7" s="27">
        <v>991</v>
      </c>
      <c r="E7" s="27">
        <v>25.76</v>
      </c>
      <c r="F7" s="27">
        <v>0</v>
      </c>
      <c r="G7" s="27">
        <v>0</v>
      </c>
      <c r="H7" s="27">
        <f>'07-02-15'!H7+D7+F7</f>
        <v>1193.6</v>
      </c>
      <c r="I7" s="27">
        <f>'07-02-15'!I7+E7+G7</f>
        <v>31.020000000000003</v>
      </c>
      <c r="J7" s="27">
        <f t="shared" si="1"/>
        <v>1224.62</v>
      </c>
      <c r="K7" s="27">
        <f t="shared" si="2"/>
        <v>23105.38</v>
      </c>
      <c r="L7" s="27">
        <f t="shared" si="0"/>
        <v>-2407.536666666667</v>
      </c>
    </row>
    <row r="8" spans="1:12" ht="11.25" customHeight="1">
      <c r="A8" s="6" t="s">
        <v>16</v>
      </c>
      <c r="B8" s="26">
        <v>55050200</v>
      </c>
      <c r="C8" s="27">
        <v>29837</v>
      </c>
      <c r="D8" s="27">
        <v>436.68</v>
      </c>
      <c r="E8" s="27">
        <v>11.35</v>
      </c>
      <c r="F8" s="27">
        <v>1365.49</v>
      </c>
      <c r="G8" s="27">
        <v>73.73</v>
      </c>
      <c r="H8" s="27">
        <f>'07-02-15'!H8+D8+F8</f>
        <v>2176.9</v>
      </c>
      <c r="I8" s="27">
        <f>'07-02-15'!I8+E8+G8</f>
        <v>103.64</v>
      </c>
      <c r="J8" s="27">
        <f t="shared" si="1"/>
        <v>2280.54</v>
      </c>
      <c r="K8" s="27">
        <f t="shared" si="2"/>
        <v>27556.46</v>
      </c>
      <c r="L8" s="27">
        <f t="shared" si="0"/>
        <v>-19954.79</v>
      </c>
    </row>
    <row r="9" spans="1:12" ht="11.25" customHeight="1">
      <c r="A9" s="6" t="s">
        <v>17</v>
      </c>
      <c r="B9" s="26">
        <v>55070100</v>
      </c>
      <c r="C9" s="27">
        <f>26873+10510+5358</f>
        <v>42741</v>
      </c>
      <c r="D9" s="27">
        <v>2501.5</v>
      </c>
      <c r="E9" s="27">
        <v>65.03</v>
      </c>
      <c r="F9" s="27">
        <v>362.89</v>
      </c>
      <c r="G9" s="27">
        <v>19.59</v>
      </c>
      <c r="H9" s="27">
        <f>'07-02-15'!H9+D9+F9</f>
        <v>3150.5299999999997</v>
      </c>
      <c r="I9" s="27">
        <f>'07-02-15'!I9+E9+G9</f>
        <v>96.13000000000001</v>
      </c>
      <c r="J9" s="27">
        <f t="shared" si="1"/>
        <v>3246.66</v>
      </c>
      <c r="K9" s="27">
        <f t="shared" si="2"/>
        <v>39494.34</v>
      </c>
      <c r="L9" s="27">
        <f t="shared" si="0"/>
        <v>-28144.410000000003</v>
      </c>
    </row>
    <row r="10" spans="1:12" ht="11.25" customHeight="1">
      <c r="A10" s="6" t="s">
        <v>18</v>
      </c>
      <c r="B10" s="26">
        <v>55070400</v>
      </c>
      <c r="C10" s="27">
        <v>3000</v>
      </c>
      <c r="D10" s="27">
        <v>0</v>
      </c>
      <c r="E10" s="27">
        <v>0</v>
      </c>
      <c r="F10" s="27">
        <v>0</v>
      </c>
      <c r="G10" s="27">
        <v>0</v>
      </c>
      <c r="H10" s="27">
        <f>'07-02-15'!H10+D10+F10</f>
        <v>0</v>
      </c>
      <c r="I10" s="27">
        <f>'07-02-15'!I10+E10+G10</f>
        <v>0</v>
      </c>
      <c r="J10" s="27">
        <f t="shared" si="1"/>
        <v>0</v>
      </c>
      <c r="K10" s="27">
        <f t="shared" si="2"/>
        <v>3000</v>
      </c>
      <c r="L10" s="27">
        <f t="shared" si="0"/>
        <v>3000</v>
      </c>
    </row>
    <row r="11" spans="1:12" ht="11.25" customHeight="1">
      <c r="A11" s="6" t="s">
        <v>20</v>
      </c>
      <c r="B11" s="26">
        <v>55080100</v>
      </c>
      <c r="C11" s="27">
        <v>23173</v>
      </c>
      <c r="D11" s="27">
        <v>702.7</v>
      </c>
      <c r="E11" s="27">
        <v>18.27</v>
      </c>
      <c r="F11" s="27">
        <v>165.19</v>
      </c>
      <c r="G11" s="27">
        <v>8.92</v>
      </c>
      <c r="H11" s="27">
        <f>'07-02-15'!H11+D11+F11</f>
        <v>1009.3</v>
      </c>
      <c r="I11" s="27">
        <f>'07-02-15'!I11+E11+G11</f>
        <v>30.86</v>
      </c>
      <c r="J11" s="27">
        <f>H11+I11</f>
        <v>1040.1599999999999</v>
      </c>
      <c r="K11" s="27">
        <f>C11-J11</f>
        <v>22132.84</v>
      </c>
      <c r="L11" s="27">
        <f t="shared" si="0"/>
        <v>462.84000000000015</v>
      </c>
    </row>
    <row r="12" spans="1:14" ht="24.75" customHeight="1">
      <c r="A12" s="75" t="s">
        <v>36</v>
      </c>
      <c r="B12" s="76"/>
      <c r="C12" s="49">
        <f>SUM(C3:C11)</f>
        <v>201348</v>
      </c>
      <c r="D12" s="49">
        <f aca="true" t="shared" si="3" ref="D12:L12">SUM(D3:D11)</f>
        <v>5622.69</v>
      </c>
      <c r="E12" s="49">
        <f t="shared" si="3"/>
        <v>146.15</v>
      </c>
      <c r="F12" s="49">
        <f t="shared" si="3"/>
        <v>2551.02</v>
      </c>
      <c r="G12" s="49">
        <f t="shared" si="3"/>
        <v>137.73</v>
      </c>
      <c r="H12" s="49">
        <f t="shared" si="3"/>
        <v>9363.629999999997</v>
      </c>
      <c r="I12" s="49">
        <f t="shared" si="3"/>
        <v>328.54</v>
      </c>
      <c r="J12" s="49">
        <f t="shared" si="3"/>
        <v>9692.17</v>
      </c>
      <c r="K12" s="49">
        <f t="shared" si="3"/>
        <v>191655.83</v>
      </c>
      <c r="L12" s="49">
        <f t="shared" si="3"/>
        <v>-10264.378333333338</v>
      </c>
      <c r="M12" s="38"/>
      <c r="N12" s="39"/>
    </row>
    <row r="13" spans="1:14" ht="11.25" customHeight="1">
      <c r="A13" s="28"/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6" t="s">
        <v>19</v>
      </c>
      <c r="B15" s="26">
        <v>55030100</v>
      </c>
      <c r="C15" s="27">
        <v>13540</v>
      </c>
      <c r="D15" s="27">
        <v>175.48</v>
      </c>
      <c r="E15" s="27">
        <v>4.56</v>
      </c>
      <c r="F15" s="27">
        <v>158.58</v>
      </c>
      <c r="G15" s="27">
        <v>8.56</v>
      </c>
      <c r="H15" s="27">
        <f>'07-02-15'!H15+D15+F15</f>
        <v>412.31</v>
      </c>
      <c r="I15" s="27">
        <f>'07-02-15'!I15+E15+G15</f>
        <v>16.13</v>
      </c>
      <c r="J15" s="27">
        <f aca="true" t="shared" si="4" ref="J15:J22">H15+I15</f>
        <v>428.44</v>
      </c>
      <c r="K15" s="27">
        <f aca="true" t="shared" si="5" ref="K15:K22">C15-J15</f>
        <v>13111.56</v>
      </c>
      <c r="L15" s="27">
        <f>C15-(J15/1.2*26.2)</f>
        <v>4185.726666666666</v>
      </c>
      <c r="M15" s="38"/>
      <c r="N15" s="39"/>
    </row>
    <row r="16" spans="1:14" ht="11.25" customHeight="1">
      <c r="A16" s="6" t="s">
        <v>33</v>
      </c>
      <c r="B16" s="26">
        <v>55110100</v>
      </c>
      <c r="C16" s="27">
        <v>7073</v>
      </c>
      <c r="D16" s="27">
        <v>0</v>
      </c>
      <c r="E16" s="27">
        <v>0</v>
      </c>
      <c r="F16" s="27">
        <v>0</v>
      </c>
      <c r="G16" s="27">
        <v>0</v>
      </c>
      <c r="H16" s="27">
        <f>'07-02-15'!H16+D16+F16</f>
        <v>0</v>
      </c>
      <c r="I16" s="27">
        <f>'07-02-15'!I16+E16+G16</f>
        <v>0</v>
      </c>
      <c r="J16" s="27">
        <f t="shared" si="4"/>
        <v>0</v>
      </c>
      <c r="K16" s="27">
        <f t="shared" si="5"/>
        <v>7073</v>
      </c>
      <c r="L16" s="27">
        <f>C16-(J16/1.2*26.2)</f>
        <v>7073</v>
      </c>
      <c r="M16" s="38"/>
      <c r="N16" s="39"/>
    </row>
    <row r="17" spans="1:14" ht="11.25" customHeight="1">
      <c r="A17" s="6" t="s">
        <v>23</v>
      </c>
      <c r="B17" s="26">
        <v>55160100</v>
      </c>
      <c r="C17" s="27">
        <v>16062</v>
      </c>
      <c r="D17" s="27">
        <f>165.2+176.2</f>
        <v>341.4</v>
      </c>
      <c r="E17" s="27">
        <f>4.29+4.58</f>
        <v>8.870000000000001</v>
      </c>
      <c r="F17" s="27">
        <v>649.59</v>
      </c>
      <c r="G17" s="27">
        <v>35.07</v>
      </c>
      <c r="H17" s="27">
        <f>'07-02-15'!H17+D17+F17</f>
        <v>1087.9</v>
      </c>
      <c r="I17" s="27">
        <f>'07-02-15'!I17+E17+G17</f>
        <v>47.44</v>
      </c>
      <c r="J17" s="27">
        <f t="shared" si="4"/>
        <v>1135.3400000000001</v>
      </c>
      <c r="K17" s="27">
        <f t="shared" si="5"/>
        <v>14926.66</v>
      </c>
      <c r="L17" s="27">
        <f>C17-(J17/1.2*26.2)</f>
        <v>-8726.256666666668</v>
      </c>
      <c r="M17" s="38"/>
      <c r="N17" s="41"/>
    </row>
    <row r="18" spans="1:14" ht="24.75" customHeight="1">
      <c r="A18" s="75" t="s">
        <v>37</v>
      </c>
      <c r="B18" s="76"/>
      <c r="C18" s="49">
        <f>SUM(C15:C17)</f>
        <v>36675</v>
      </c>
      <c r="D18" s="49">
        <f aca="true" t="shared" si="6" ref="D18:L18">SUM(D15:D17)</f>
        <v>516.88</v>
      </c>
      <c r="E18" s="49">
        <f t="shared" si="6"/>
        <v>13.43</v>
      </c>
      <c r="F18" s="49">
        <f t="shared" si="6"/>
        <v>808.1700000000001</v>
      </c>
      <c r="G18" s="49">
        <f t="shared" si="6"/>
        <v>43.63</v>
      </c>
      <c r="H18" s="49">
        <f t="shared" si="6"/>
        <v>1500.21</v>
      </c>
      <c r="I18" s="49">
        <f t="shared" si="6"/>
        <v>63.56999999999999</v>
      </c>
      <c r="J18" s="49">
        <f t="shared" si="6"/>
        <v>1563.7800000000002</v>
      </c>
      <c r="K18" s="49">
        <f t="shared" si="6"/>
        <v>35111.22</v>
      </c>
      <c r="L18" s="49">
        <f t="shared" si="6"/>
        <v>2532.4699999999975</v>
      </c>
      <c r="M18" s="38"/>
      <c r="N18" s="41"/>
    </row>
    <row r="19" spans="1:14" ht="11.25" customHeight="1">
      <c r="A19" s="28"/>
      <c r="B19" s="28"/>
      <c r="C19" s="8"/>
      <c r="D19" s="8"/>
      <c r="E19" s="8"/>
      <c r="F19" s="8"/>
      <c r="G19" s="8"/>
      <c r="H19" s="8"/>
      <c r="I19" s="8"/>
      <c r="J19" s="8"/>
      <c r="K19" s="8"/>
      <c r="L19" s="8"/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31" t="s">
        <v>21</v>
      </c>
      <c r="B21" s="32">
        <v>55090100</v>
      </c>
      <c r="C21" s="33">
        <v>26923</v>
      </c>
      <c r="D21" s="33">
        <v>992.96</v>
      </c>
      <c r="E21" s="33">
        <v>25.81</v>
      </c>
      <c r="F21" s="33">
        <v>1046.55</v>
      </c>
      <c r="G21" s="33">
        <v>56.51</v>
      </c>
      <c r="H21" s="27">
        <f>'07-02-15'!H21+D21+F21</f>
        <v>2645.2799999999997</v>
      </c>
      <c r="I21" s="27">
        <f>'07-02-15'!I21+E21+G21</f>
        <v>109.75</v>
      </c>
      <c r="J21" s="33">
        <f t="shared" si="4"/>
        <v>2755.0299999999997</v>
      </c>
      <c r="K21" s="33">
        <f t="shared" si="5"/>
        <v>24167.97</v>
      </c>
      <c r="L21" s="27">
        <f>C21-(J21/1.2*26.2)</f>
        <v>-33228.48833333333</v>
      </c>
      <c r="M21" s="38"/>
      <c r="N21" s="41"/>
    </row>
    <row r="22" spans="1:14" ht="11.25" customHeight="1">
      <c r="A22" s="31" t="s">
        <v>22</v>
      </c>
      <c r="B22" s="32">
        <v>55100100</v>
      </c>
      <c r="C22" s="33">
        <v>2026</v>
      </c>
      <c r="D22" s="33">
        <v>0</v>
      </c>
      <c r="E22" s="33">
        <v>0</v>
      </c>
      <c r="F22" s="33">
        <v>0</v>
      </c>
      <c r="G22" s="33">
        <v>0</v>
      </c>
      <c r="H22" s="27">
        <f>'07-02-15'!H22+D22+F22</f>
        <v>0</v>
      </c>
      <c r="I22" s="27">
        <f>'07-02-15'!I22+E22+G22</f>
        <v>0</v>
      </c>
      <c r="J22" s="33">
        <f t="shared" si="4"/>
        <v>0</v>
      </c>
      <c r="K22" s="33">
        <f t="shared" si="5"/>
        <v>2026</v>
      </c>
      <c r="L22" s="27">
        <f>C22-(J22/1.2*26.2)</f>
        <v>2026</v>
      </c>
      <c r="M22" s="38"/>
      <c r="N22" s="41"/>
    </row>
    <row r="23" spans="1:14" ht="24.75" customHeight="1">
      <c r="A23" s="75" t="s">
        <v>38</v>
      </c>
      <c r="B23" s="76"/>
      <c r="C23" s="49">
        <f>SUM(C21:C22)</f>
        <v>28949</v>
      </c>
      <c r="D23" s="49">
        <f aca="true" t="shared" si="7" ref="D23:L23">SUM(D21:D22)</f>
        <v>992.96</v>
      </c>
      <c r="E23" s="49">
        <f t="shared" si="7"/>
        <v>25.81</v>
      </c>
      <c r="F23" s="49">
        <f t="shared" si="7"/>
        <v>1046.55</v>
      </c>
      <c r="G23" s="49">
        <f t="shared" si="7"/>
        <v>56.51</v>
      </c>
      <c r="H23" s="49">
        <f t="shared" si="7"/>
        <v>2645.2799999999997</v>
      </c>
      <c r="I23" s="49">
        <f t="shared" si="7"/>
        <v>109.75</v>
      </c>
      <c r="J23" s="49">
        <f t="shared" si="7"/>
        <v>2755.0299999999997</v>
      </c>
      <c r="K23" s="49">
        <f t="shared" si="7"/>
        <v>26193.97</v>
      </c>
      <c r="L23" s="49">
        <f t="shared" si="7"/>
        <v>-31202.488333333327</v>
      </c>
      <c r="M23" s="38"/>
      <c r="N23" s="41"/>
    </row>
    <row r="24" spans="1:14" ht="11.25" customHeight="1">
      <c r="A24" s="2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8"/>
      <c r="N24" s="39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3" s="44" customFormat="1" ht="11.25" customHeight="1">
      <c r="A26" s="31" t="s">
        <v>26</v>
      </c>
      <c r="B26" s="32">
        <v>55130100</v>
      </c>
      <c r="C26" s="33">
        <v>4523</v>
      </c>
      <c r="D26" s="33">
        <v>319.22</v>
      </c>
      <c r="E26" s="33">
        <v>8.29</v>
      </c>
      <c r="F26" s="33">
        <v>0</v>
      </c>
      <c r="G26" s="33">
        <v>0</v>
      </c>
      <c r="H26" s="27">
        <f>'07-02-15'!H26+D26+F26</f>
        <v>395.55</v>
      </c>
      <c r="I26" s="27">
        <f>'07-02-15'!I26+E26+G26</f>
        <v>10.27</v>
      </c>
      <c r="J26" s="33">
        <f>H26+I26</f>
        <v>405.82</v>
      </c>
      <c r="K26" s="33">
        <f>C26-J26</f>
        <v>4117.18</v>
      </c>
      <c r="L26" s="27">
        <f>C26-(J26/1.2*26.2)</f>
        <v>-4337.403333333334</v>
      </c>
      <c r="M26" s="45"/>
    </row>
    <row r="27" spans="1:13" s="44" customFormat="1" ht="11.25" customHeight="1">
      <c r="A27" s="31" t="s">
        <v>30</v>
      </c>
      <c r="B27" s="32">
        <v>55140100</v>
      </c>
      <c r="C27" s="33">
        <v>2995</v>
      </c>
      <c r="D27" s="33">
        <v>0</v>
      </c>
      <c r="E27" s="33">
        <v>0</v>
      </c>
      <c r="F27" s="33">
        <v>205.44</v>
      </c>
      <c r="G27" s="33">
        <v>11.09</v>
      </c>
      <c r="H27" s="27">
        <f>'07-02-15'!H27+D27+F27</f>
        <v>205.44</v>
      </c>
      <c r="I27" s="27">
        <f>'07-02-15'!I27+E27+G27</f>
        <v>11.09</v>
      </c>
      <c r="J27" s="33">
        <f>H27+I27</f>
        <v>216.53</v>
      </c>
      <c r="K27" s="33">
        <f>C27-J27</f>
        <v>2778.47</v>
      </c>
      <c r="L27" s="27">
        <f>C27-(J27/1.2*26.2)</f>
        <v>-1732.5716666666667</v>
      </c>
      <c r="M27" s="45"/>
    </row>
    <row r="28" spans="1:14" s="44" customFormat="1" ht="24.75" customHeight="1">
      <c r="A28" s="75" t="s">
        <v>39</v>
      </c>
      <c r="B28" s="76"/>
      <c r="C28" s="49">
        <f aca="true" t="shared" si="8" ref="C28:L28">SUM(C26:C27)</f>
        <v>7518</v>
      </c>
      <c r="D28" s="49">
        <f t="shared" si="8"/>
        <v>319.22</v>
      </c>
      <c r="E28" s="49">
        <f t="shared" si="8"/>
        <v>8.29</v>
      </c>
      <c r="F28" s="49">
        <f t="shared" si="8"/>
        <v>205.44</v>
      </c>
      <c r="G28" s="49">
        <f t="shared" si="8"/>
        <v>11.09</v>
      </c>
      <c r="H28" s="49">
        <f t="shared" si="8"/>
        <v>600.99</v>
      </c>
      <c r="I28" s="49">
        <f t="shared" si="8"/>
        <v>21.36</v>
      </c>
      <c r="J28" s="49">
        <f t="shared" si="8"/>
        <v>622.35</v>
      </c>
      <c r="K28" s="49">
        <f t="shared" si="8"/>
        <v>6895.65</v>
      </c>
      <c r="L28" s="49">
        <f t="shared" si="8"/>
        <v>-6069.975</v>
      </c>
      <c r="M28" s="42"/>
      <c r="N28" s="43"/>
    </row>
    <row r="29" spans="1:14" ht="11.25" customHeight="1">
      <c r="A29" s="2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8"/>
      <c r="N29" s="39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31" t="s">
        <v>34</v>
      </c>
      <c r="B31" s="32">
        <v>55010000</v>
      </c>
      <c r="C31" s="33">
        <v>24725</v>
      </c>
      <c r="D31" s="33">
        <v>0</v>
      </c>
      <c r="E31" s="33">
        <v>0</v>
      </c>
      <c r="F31" s="33">
        <v>0</v>
      </c>
      <c r="G31" s="33">
        <v>0</v>
      </c>
      <c r="H31" s="27">
        <f>'07-02-15'!H31+D31+F31</f>
        <v>0</v>
      </c>
      <c r="I31" s="27">
        <f>'07-02-15'!I31+E31+G31</f>
        <v>0</v>
      </c>
      <c r="J31" s="33">
        <f>H31+I31</f>
        <v>0</v>
      </c>
      <c r="K31" s="33">
        <f>C31-J31</f>
        <v>24725</v>
      </c>
      <c r="L31" s="27">
        <f>C31-(J31/1.2*26.2)</f>
        <v>24725</v>
      </c>
      <c r="M31" s="38"/>
      <c r="N31" s="39"/>
    </row>
    <row r="32" spans="1:12" ht="11.25" customHeight="1">
      <c r="A32" s="6" t="s">
        <v>31</v>
      </c>
      <c r="B32" s="26">
        <v>55080500</v>
      </c>
      <c r="C32" s="27">
        <v>10000</v>
      </c>
      <c r="D32" s="27">
        <v>0</v>
      </c>
      <c r="E32" s="27">
        <v>0</v>
      </c>
      <c r="F32" s="27">
        <v>0</v>
      </c>
      <c r="G32" s="27">
        <v>0</v>
      </c>
      <c r="H32" s="27">
        <f>'07-02-15'!H32+D32+F32</f>
        <v>129.6</v>
      </c>
      <c r="I32" s="27">
        <f>'07-02-15'!I32+E32+G32</f>
        <v>6.99</v>
      </c>
      <c r="J32" s="27">
        <f>H32+I32</f>
        <v>136.59</v>
      </c>
      <c r="K32" s="27">
        <f>C32-J32</f>
        <v>9863.41</v>
      </c>
      <c r="L32" s="27">
        <f>C32-(J32/1.2*26.2)</f>
        <v>7017.785</v>
      </c>
    </row>
    <row r="33" spans="1:12" ht="11.25" customHeight="1">
      <c r="A33" s="6" t="s">
        <v>32</v>
      </c>
      <c r="B33" s="26">
        <v>55050300</v>
      </c>
      <c r="C33" s="27">
        <v>15346.24</v>
      </c>
      <c r="D33" s="27">
        <v>0</v>
      </c>
      <c r="E33" s="27">
        <v>0</v>
      </c>
      <c r="F33" s="27">
        <v>0</v>
      </c>
      <c r="G33" s="27">
        <v>0</v>
      </c>
      <c r="H33" s="27">
        <f>'07-02-15'!H33+D33+F33</f>
        <v>0</v>
      </c>
      <c r="I33" s="27">
        <f>'07-02-15'!I33+E33+G33</f>
        <v>0</v>
      </c>
      <c r="J33" s="27">
        <f>H33+I33</f>
        <v>0</v>
      </c>
      <c r="K33" s="27">
        <f>C33-J33</f>
        <v>15346.24</v>
      </c>
      <c r="L33" s="27">
        <f>C33-(J33/1.2*26.2)</f>
        <v>15346.24</v>
      </c>
    </row>
    <row r="34" spans="1:12" ht="11.25" customHeight="1">
      <c r="A34" s="6" t="s">
        <v>43</v>
      </c>
      <c r="B34" s="26">
        <v>55160300</v>
      </c>
      <c r="C34" s="27">
        <v>43385.81</v>
      </c>
      <c r="D34" s="27">
        <v>0</v>
      </c>
      <c r="E34" s="27">
        <v>0</v>
      </c>
      <c r="F34" s="27">
        <v>3154.26</v>
      </c>
      <c r="G34" s="27">
        <v>170.33</v>
      </c>
      <c r="H34" s="27">
        <f>'07-02-15'!H34+D34+F34</f>
        <v>3785.11</v>
      </c>
      <c r="I34" s="27">
        <f>'07-02-15'!I34+E34+G34</f>
        <v>204.39000000000001</v>
      </c>
      <c r="J34" s="27">
        <f>H34+I34</f>
        <v>3989.5</v>
      </c>
      <c r="K34" s="27">
        <f>C34-J34</f>
        <v>39396.31</v>
      </c>
      <c r="L34" s="27">
        <f>C34-(J34/1.2*26.2)</f>
        <v>-43718.27333333333</v>
      </c>
    </row>
    <row r="35" spans="1:12" ht="11.25" customHeight="1">
      <c r="A35" s="6" t="s">
        <v>24</v>
      </c>
      <c r="B35" s="26" t="s">
        <v>25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f>'07-02-15'!H35+D35+F35</f>
        <v>0</v>
      </c>
      <c r="I35" s="27">
        <f>'07-02-15'!I35+E35+G35</f>
        <v>0</v>
      </c>
      <c r="J35" s="27">
        <f>H35+I35</f>
        <v>0</v>
      </c>
      <c r="K35" s="27">
        <f>C35-J35</f>
        <v>0</v>
      </c>
      <c r="L35" s="27">
        <f>C35-(J35/1.2*26.2)</f>
        <v>0</v>
      </c>
    </row>
    <row r="36" spans="1:14" ht="24.75" customHeight="1">
      <c r="A36" s="75" t="s">
        <v>40</v>
      </c>
      <c r="B36" s="76"/>
      <c r="C36" s="49">
        <f>SUM(C31:C35)</f>
        <v>93457.04999999999</v>
      </c>
      <c r="D36" s="49">
        <f aca="true" t="shared" si="9" ref="D36:L36">SUM(D31:D35)</f>
        <v>0</v>
      </c>
      <c r="E36" s="49">
        <f t="shared" si="9"/>
        <v>0</v>
      </c>
      <c r="F36" s="49">
        <f t="shared" si="9"/>
        <v>3154.26</v>
      </c>
      <c r="G36" s="49">
        <f t="shared" si="9"/>
        <v>170.33</v>
      </c>
      <c r="H36" s="49">
        <f t="shared" si="9"/>
        <v>3914.71</v>
      </c>
      <c r="I36" s="49">
        <f t="shared" si="9"/>
        <v>211.38000000000002</v>
      </c>
      <c r="J36" s="49">
        <f t="shared" si="9"/>
        <v>4126.09</v>
      </c>
      <c r="K36" s="49">
        <f t="shared" si="9"/>
        <v>89330.95999999999</v>
      </c>
      <c r="L36" s="49">
        <f t="shared" si="9"/>
        <v>3370.7516666666706</v>
      </c>
      <c r="M36" s="38"/>
      <c r="N36" s="39"/>
    </row>
    <row r="37" spans="1:14" ht="11.25" customHeight="1">
      <c r="A37" s="28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8"/>
      <c r="N37" s="39"/>
    </row>
    <row r="38" spans="1:14" ht="11.25" customHeight="1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8"/>
      <c r="N38" s="39"/>
    </row>
    <row r="39" spans="1:14" ht="24.75" customHeight="1">
      <c r="A39" s="76" t="s">
        <v>42</v>
      </c>
      <c r="B39" s="76"/>
      <c r="C39" s="49">
        <f>C12+C18+C23+C28+C36</f>
        <v>367947.05</v>
      </c>
      <c r="D39" s="49">
        <f aca="true" t="shared" si="10" ref="D39:L39">D12+D18+D23+D28+D36</f>
        <v>7451.75</v>
      </c>
      <c r="E39" s="49">
        <f t="shared" si="10"/>
        <v>193.68</v>
      </c>
      <c r="F39" s="49">
        <f t="shared" si="10"/>
        <v>7765.44</v>
      </c>
      <c r="G39" s="49">
        <f t="shared" si="10"/>
        <v>419.28999999999996</v>
      </c>
      <c r="H39" s="49">
        <f t="shared" si="10"/>
        <v>18024.819999999996</v>
      </c>
      <c r="I39" s="49">
        <f t="shared" si="10"/>
        <v>734.6</v>
      </c>
      <c r="J39" s="49">
        <f t="shared" si="10"/>
        <v>18759.42</v>
      </c>
      <c r="K39" s="49">
        <f t="shared" si="10"/>
        <v>349187.63</v>
      </c>
      <c r="L39" s="49">
        <f t="shared" si="10"/>
        <v>-41633.619999999995</v>
      </c>
      <c r="M39" s="38"/>
      <c r="N39" s="39"/>
    </row>
    <row r="40" spans="1:14" ht="11.25" customHeight="1">
      <c r="A40" s="54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38"/>
      <c r="N40" s="39"/>
    </row>
    <row r="41" spans="1:14" ht="11.25" customHeight="1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38"/>
      <c r="N41" s="39"/>
    </row>
    <row r="42" spans="1:14" ht="12" customHeight="1">
      <c r="A42" s="6" t="s">
        <v>27</v>
      </c>
      <c r="B42" s="6" t="s">
        <v>28</v>
      </c>
      <c r="C42" s="27">
        <v>61829</v>
      </c>
      <c r="D42" s="27">
        <f>(-264.15)+1837.53</f>
        <v>1573.38</v>
      </c>
      <c r="E42" s="27">
        <f>(-6.86)+47.77</f>
        <v>40.910000000000004</v>
      </c>
      <c r="F42" s="27">
        <f>1056.59+1242.78</f>
        <v>2299.37</v>
      </c>
      <c r="G42" s="27">
        <f>57.05+67.11</f>
        <v>124.16</v>
      </c>
      <c r="H42" s="27">
        <f>'07-02-15'!H42+D42+F42</f>
        <v>4457.99</v>
      </c>
      <c r="I42" s="27">
        <f>'07-02-15'!I42+E42+G42</f>
        <v>186.49</v>
      </c>
      <c r="J42" s="27">
        <f>H42+I42</f>
        <v>4644.48</v>
      </c>
      <c r="K42" s="27">
        <f>C42-J42</f>
        <v>57184.520000000004</v>
      </c>
      <c r="L42" s="27">
        <f>C42-(J42/1.2*26.2)</f>
        <v>-39575.47999999998</v>
      </c>
      <c r="M42" s="38"/>
      <c r="N42" s="39"/>
    </row>
    <row r="43" spans="1:14" ht="12" customHeight="1">
      <c r="A43" s="6"/>
      <c r="B43" s="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38"/>
      <c r="N43" s="39"/>
    </row>
    <row r="44" spans="1:14" ht="12" customHeight="1">
      <c r="A44" s="6" t="s">
        <v>29</v>
      </c>
      <c r="B44" s="6" t="s">
        <v>35</v>
      </c>
      <c r="C44" s="27">
        <v>15000</v>
      </c>
      <c r="D44" s="27">
        <v>0</v>
      </c>
      <c r="E44" s="27">
        <v>0</v>
      </c>
      <c r="F44" s="27">
        <v>605.88</v>
      </c>
      <c r="G44" s="27">
        <v>32.71</v>
      </c>
      <c r="H44" s="27">
        <f>'07-02-15'!H44+D44+F44</f>
        <v>740.52</v>
      </c>
      <c r="I44" s="27">
        <f>'07-02-15'!I44+E44+G44</f>
        <v>39.980000000000004</v>
      </c>
      <c r="J44" s="27">
        <f>H44+I44</f>
        <v>780.5</v>
      </c>
      <c r="K44" s="27">
        <f>C44-J44</f>
        <v>14219.5</v>
      </c>
      <c r="L44" s="27">
        <f>C44-(J44/1.2*26.2)</f>
        <v>-2040.9166666666679</v>
      </c>
      <c r="M44" s="38"/>
      <c r="N44" s="39"/>
    </row>
    <row r="45" spans="1:14" ht="12" customHeight="1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38"/>
      <c r="N45" s="39"/>
    </row>
    <row r="46" spans="1:14" ht="12" customHeight="1">
      <c r="A46" s="50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38"/>
      <c r="N46" s="39"/>
    </row>
    <row r="47" spans="1:14" ht="24.75" customHeight="1">
      <c r="A47" s="51" t="s">
        <v>41</v>
      </c>
      <c r="B47" s="52"/>
      <c r="C47" s="53">
        <f>C42+C44</f>
        <v>76829</v>
      </c>
      <c r="D47" s="53">
        <f aca="true" t="shared" si="11" ref="D47:L47">D42+D44</f>
        <v>1573.38</v>
      </c>
      <c r="E47" s="53">
        <f t="shared" si="11"/>
        <v>40.910000000000004</v>
      </c>
      <c r="F47" s="53">
        <f t="shared" si="11"/>
        <v>2905.25</v>
      </c>
      <c r="G47" s="53">
        <f t="shared" si="11"/>
        <v>156.87</v>
      </c>
      <c r="H47" s="53">
        <f t="shared" si="11"/>
        <v>5198.51</v>
      </c>
      <c r="I47" s="53">
        <f t="shared" si="11"/>
        <v>226.47000000000003</v>
      </c>
      <c r="J47" s="53">
        <f t="shared" si="11"/>
        <v>5424.98</v>
      </c>
      <c r="K47" s="53">
        <f t="shared" si="11"/>
        <v>71404.02</v>
      </c>
      <c r="L47" s="53">
        <f t="shared" si="11"/>
        <v>-41616.39666666665</v>
      </c>
      <c r="M47" s="38"/>
      <c r="N47" s="12"/>
    </row>
    <row r="48" spans="1:14" ht="24" customHeight="1">
      <c r="A48" s="9"/>
      <c r="B48" s="10"/>
      <c r="C48" s="11"/>
      <c r="H48" s="11"/>
      <c r="I48" s="11"/>
      <c r="J48" s="11"/>
      <c r="K48" s="11"/>
      <c r="L48" s="11"/>
      <c r="M48" s="38"/>
      <c r="N48" s="12"/>
    </row>
    <row r="49" spans="1:14" ht="33.75">
      <c r="A49" s="57" t="s">
        <v>44</v>
      </c>
      <c r="B49" s="58">
        <v>43385.81</v>
      </c>
      <c r="C49" s="13"/>
      <c r="D49" s="13"/>
      <c r="E49" s="13"/>
      <c r="F49" s="13"/>
      <c r="G49" s="13"/>
      <c r="H49" s="46"/>
      <c r="I49" s="46"/>
      <c r="J49" s="46"/>
      <c r="K49" s="46"/>
      <c r="L49" s="46"/>
      <c r="M49" s="38"/>
      <c r="N49" s="12"/>
    </row>
    <row r="50" spans="1:14" ht="33.75">
      <c r="A50" s="9" t="s">
        <v>45</v>
      </c>
      <c r="B50" s="58">
        <v>10000</v>
      </c>
      <c r="C50" s="16"/>
      <c r="D50" s="11"/>
      <c r="E50" s="11"/>
      <c r="F50" s="11"/>
      <c r="G50" s="11"/>
      <c r="H50" s="11"/>
      <c r="I50" s="2"/>
      <c r="J50" s="11"/>
      <c r="K50" s="11"/>
      <c r="L50" s="11"/>
      <c r="M50" s="38"/>
      <c r="N50" s="12"/>
    </row>
    <row r="51" spans="1:14" ht="15">
      <c r="A51" s="14"/>
      <c r="B51" s="1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8"/>
      <c r="N51" s="12"/>
    </row>
    <row r="52" spans="1:14" ht="15" customHeight="1">
      <c r="A52" s="14"/>
      <c r="B52" s="1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8"/>
      <c r="N52" s="17"/>
    </row>
    <row r="53" spans="1:14" ht="15">
      <c r="A53" s="14"/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2"/>
    </row>
    <row r="54" spans="1:14" ht="22.5" customHeight="1">
      <c r="A54" s="14"/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2"/>
    </row>
    <row r="55" spans="1:14" ht="15">
      <c r="A55" s="18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N55" s="12"/>
    </row>
    <row r="56" spans="1:14" ht="15" customHeight="1">
      <c r="A56" s="18"/>
      <c r="B56" s="10"/>
      <c r="C56" s="21"/>
      <c r="D56" s="21"/>
      <c r="E56" s="21"/>
      <c r="F56" s="21"/>
      <c r="G56" s="21"/>
      <c r="H56" s="21"/>
      <c r="I56" s="21"/>
      <c r="J56" s="21"/>
      <c r="K56" s="21"/>
      <c r="L56" s="21"/>
      <c r="N56" s="12"/>
    </row>
    <row r="57" spans="1:14" ht="15" customHeight="1">
      <c r="A57" s="19"/>
      <c r="B57" s="10"/>
      <c r="C57" s="21"/>
      <c r="D57" s="21"/>
      <c r="E57" s="21"/>
      <c r="F57" s="21"/>
      <c r="G57" s="21"/>
      <c r="H57" s="21"/>
      <c r="I57" s="21"/>
      <c r="J57" s="21"/>
      <c r="K57" s="21"/>
      <c r="L57" s="21"/>
      <c r="N57" s="12"/>
    </row>
    <row r="58" spans="1:14" ht="15">
      <c r="A58" s="19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>
      <c r="A59" s="18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8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25.5" customHeight="1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 customHeight="1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 customHeight="1">
      <c r="A63" s="20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47"/>
      <c r="N63" s="12"/>
    </row>
    <row r="64" spans="1:14" ht="15" customHeight="1">
      <c r="A64" s="22"/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47"/>
      <c r="N64" s="24"/>
    </row>
    <row r="65" spans="1:14" ht="11.25" customHeight="1">
      <c r="A65" s="23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24"/>
    </row>
    <row r="66" spans="1:14" ht="11.25" customHeight="1">
      <c r="A66" s="25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2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2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N71" s="24"/>
    </row>
    <row r="72" spans="1:13" ht="15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36"/>
    </row>
    <row r="73" spans="1:13" ht="15">
      <c r="A73" s="2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36"/>
    </row>
    <row r="74" spans="1:12" ht="15">
      <c r="A74" s="22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">
      <c r="A75" s="24"/>
      <c r="B75" s="24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5">
      <c r="A76" s="24"/>
      <c r="B76" s="24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4" s="35" customFormat="1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  <c r="N80" s="36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</sheetData>
  <sheetProtection/>
  <mergeCells count="6">
    <mergeCell ref="A12:B12"/>
    <mergeCell ref="A18:B18"/>
    <mergeCell ref="A23:B23"/>
    <mergeCell ref="A28:B28"/>
    <mergeCell ref="A36:B36"/>
    <mergeCell ref="A39:B39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10" sqref="J10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7.5742187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s="44" customFormat="1" ht="11.25" customHeight="1">
      <c r="A3" s="31" t="s">
        <v>11</v>
      </c>
      <c r="B3" s="32">
        <v>55010500</v>
      </c>
      <c r="C3" s="33">
        <f>9670-5000</f>
        <v>4670</v>
      </c>
      <c r="D3" s="33">
        <v>0</v>
      </c>
      <c r="E3" s="33">
        <v>0</v>
      </c>
      <c r="F3" s="33">
        <v>0</v>
      </c>
      <c r="G3" s="33">
        <v>0</v>
      </c>
      <c r="H3" s="33">
        <f>'3-10-16'!H3+D3+F3</f>
        <v>604.8</v>
      </c>
      <c r="I3" s="33">
        <f>'3-10-16'!I3+E3+G3</f>
        <v>32.629999999999995</v>
      </c>
      <c r="J3" s="33">
        <f>H3+I3</f>
        <v>637.43</v>
      </c>
      <c r="K3" s="33">
        <f>C3-J3</f>
        <v>4032.57</v>
      </c>
      <c r="L3" s="33">
        <f>C3-(J3/19.2*26.2)</f>
        <v>3800.1736458333335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v>32649</v>
      </c>
      <c r="D4" s="33">
        <v>572.72</v>
      </c>
      <c r="E4" s="33">
        <v>14.89</v>
      </c>
      <c r="F4" s="33">
        <v>0</v>
      </c>
      <c r="G4" s="33">
        <v>0</v>
      </c>
      <c r="H4" s="33">
        <f>'3-10-16'!H4+D4+F4</f>
        <v>7574.519999999999</v>
      </c>
      <c r="I4" s="33">
        <f>'3-10-16'!I4+E4+G4</f>
        <v>265.85</v>
      </c>
      <c r="J4" s="33">
        <f>H4+I4</f>
        <v>7840.369999999999</v>
      </c>
      <c r="K4" s="33">
        <f>C4-J4</f>
        <v>24808.63</v>
      </c>
      <c r="L4" s="33">
        <f aca="true" t="shared" si="0" ref="L4:L12">C4-(J4/19.2*26.2)</f>
        <v>21950.161770833336</v>
      </c>
      <c r="M4" s="45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730.44</v>
      </c>
      <c r="E5" s="33">
        <v>18.98</v>
      </c>
      <c r="F5" s="33">
        <v>0</v>
      </c>
      <c r="G5" s="33">
        <v>0</v>
      </c>
      <c r="H5" s="33">
        <f>'3-10-16'!H5+D5+F5</f>
        <v>8596.7</v>
      </c>
      <c r="I5" s="33">
        <f>'3-10-16'!I5+E5+G5</f>
        <v>223.34</v>
      </c>
      <c r="J5" s="33">
        <f aca="true" t="shared" si="1" ref="J5:J11">H5+I5</f>
        <v>8820.04</v>
      </c>
      <c r="K5" s="33">
        <f aca="true" t="shared" si="2" ref="K5:K11">C5-J5</f>
        <v>9153.96</v>
      </c>
      <c r="L5" s="33">
        <f t="shared" si="0"/>
        <v>5938.320416666666</v>
      </c>
      <c r="M5" s="45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494.48</v>
      </c>
      <c r="E6" s="33">
        <v>12.84</v>
      </c>
      <c r="F6" s="33">
        <v>0</v>
      </c>
      <c r="G6" s="33">
        <v>0</v>
      </c>
      <c r="H6" s="33">
        <f>'3-10-16'!H6+D6+F6</f>
        <v>7896.760000000002</v>
      </c>
      <c r="I6" s="33">
        <f>'3-10-16'!I6+E6+G6</f>
        <v>205.04000000000002</v>
      </c>
      <c r="J6" s="33">
        <f>H6+I6</f>
        <v>8101.800000000002</v>
      </c>
      <c r="K6" s="33">
        <f t="shared" si="2"/>
        <v>9872.199999999997</v>
      </c>
      <c r="L6" s="33">
        <f t="shared" si="0"/>
        <v>6918.418749999997</v>
      </c>
      <c r="M6" s="45"/>
      <c r="N6" s="61"/>
    </row>
    <row r="7" spans="1:13" s="44" customFormat="1" ht="11.25" customHeight="1">
      <c r="A7" s="31" t="s">
        <v>15</v>
      </c>
      <c r="B7" s="32">
        <v>55030200</v>
      </c>
      <c r="C7" s="33">
        <v>24330</v>
      </c>
      <c r="D7" s="33">
        <v>429.3</v>
      </c>
      <c r="E7" s="33">
        <v>11.16</v>
      </c>
      <c r="F7" s="33">
        <v>0</v>
      </c>
      <c r="G7" s="33">
        <v>0</v>
      </c>
      <c r="H7" s="33">
        <f>'3-10-16'!H7+D7+F7</f>
        <v>12993.599999999999</v>
      </c>
      <c r="I7" s="33">
        <f>'3-10-16'!I7+E7+G7</f>
        <v>337.69000000000005</v>
      </c>
      <c r="J7" s="33">
        <f t="shared" si="1"/>
        <v>13331.289999999999</v>
      </c>
      <c r="K7" s="33">
        <f t="shared" si="2"/>
        <v>10998.710000000001</v>
      </c>
      <c r="L7" s="33">
        <f t="shared" si="0"/>
        <v>6138.343854166669</v>
      </c>
      <c r="M7" s="45"/>
    </row>
    <row r="8" spans="1:13" s="44" customFormat="1" ht="11.25" customHeight="1">
      <c r="A8" s="31" t="s">
        <v>16</v>
      </c>
      <c r="B8" s="32">
        <v>55050200</v>
      </c>
      <c r="C8" s="33">
        <f>29837</f>
        <v>29837</v>
      </c>
      <c r="D8" s="33">
        <v>1749.36</v>
      </c>
      <c r="E8" s="33">
        <v>45.48</v>
      </c>
      <c r="F8" s="33">
        <v>0</v>
      </c>
      <c r="G8" s="33">
        <v>0</v>
      </c>
      <c r="H8" s="33">
        <f>'3-10-16'!H8+D8+F8</f>
        <v>20232.72</v>
      </c>
      <c r="I8" s="33">
        <f>'3-10-16'!I8+E8+G8</f>
        <v>672.5399999999998</v>
      </c>
      <c r="J8" s="33">
        <f t="shared" si="1"/>
        <v>20905.260000000002</v>
      </c>
      <c r="K8" s="33">
        <f t="shared" si="2"/>
        <v>8931.739999999998</v>
      </c>
      <c r="L8" s="33">
        <f t="shared" si="0"/>
        <v>1310.0306249999958</v>
      </c>
      <c r="M8" s="45"/>
    </row>
    <row r="9" spans="1:13" s="44" customFormat="1" ht="11.25" customHeight="1">
      <c r="A9" s="31" t="s">
        <v>51</v>
      </c>
      <c r="B9" s="32">
        <v>55050400</v>
      </c>
      <c r="C9" s="33">
        <v>5000</v>
      </c>
      <c r="D9" s="33">
        <v>0</v>
      </c>
      <c r="E9" s="33">
        <v>0</v>
      </c>
      <c r="F9" s="33">
        <v>0</v>
      </c>
      <c r="G9" s="33">
        <v>0</v>
      </c>
      <c r="H9" s="33">
        <f>'3-10-16'!H9+D9+F9</f>
        <v>0</v>
      </c>
      <c r="I9" s="33">
        <f>'3-10-16'!I9+E9+G9</f>
        <v>0</v>
      </c>
      <c r="J9" s="33">
        <f t="shared" si="1"/>
        <v>0</v>
      </c>
      <c r="K9" s="33">
        <f t="shared" si="2"/>
        <v>5000</v>
      </c>
      <c r="L9" s="33">
        <f t="shared" si="0"/>
        <v>5000</v>
      </c>
      <c r="M9" s="45"/>
    </row>
    <row r="10" spans="1:13" s="44" customFormat="1" ht="11.25" customHeight="1">
      <c r="A10" s="31" t="s">
        <v>17</v>
      </c>
      <c r="B10" s="32">
        <v>55070100</v>
      </c>
      <c r="C10" s="33">
        <f>26873+10510+5358</f>
        <v>42741</v>
      </c>
      <c r="D10" s="33">
        <v>1401.63</v>
      </c>
      <c r="E10" s="33">
        <v>36.44</v>
      </c>
      <c r="F10" s="33">
        <f>(-687.5)+771</f>
        <v>83.5</v>
      </c>
      <c r="G10" s="33">
        <f>(-37.12)+41.63</f>
        <v>4.510000000000005</v>
      </c>
      <c r="H10" s="33">
        <f>'3-10-16'!H10+D10+F10</f>
        <v>38699.96</v>
      </c>
      <c r="I10" s="33">
        <f>'3-10-16'!I10+E10+G10</f>
        <v>1356.7900000000002</v>
      </c>
      <c r="J10" s="33">
        <f t="shared" si="1"/>
        <v>40056.75</v>
      </c>
      <c r="K10" s="33">
        <f t="shared" si="2"/>
        <v>2684.25</v>
      </c>
      <c r="L10" s="33">
        <f t="shared" si="0"/>
        <v>-11919.7734375</v>
      </c>
      <c r="M10" s="45"/>
    </row>
    <row r="11" spans="1:13" s="44" customFormat="1" ht="11.25" customHeight="1">
      <c r="A11" s="31" t="s">
        <v>18</v>
      </c>
      <c r="B11" s="32">
        <v>55070400</v>
      </c>
      <c r="C11" s="33">
        <v>3000</v>
      </c>
      <c r="D11" s="33">
        <v>0</v>
      </c>
      <c r="E11" s="33">
        <v>0</v>
      </c>
      <c r="F11" s="33">
        <v>0</v>
      </c>
      <c r="G11" s="33">
        <v>0</v>
      </c>
      <c r="H11" s="33">
        <f>'3-10-16'!H11+D11+F11</f>
        <v>0</v>
      </c>
      <c r="I11" s="33">
        <f>'3-10-16'!I11+E11+G11</f>
        <v>0</v>
      </c>
      <c r="J11" s="33">
        <f t="shared" si="1"/>
        <v>0</v>
      </c>
      <c r="K11" s="33">
        <f t="shared" si="2"/>
        <v>3000</v>
      </c>
      <c r="L11" s="33">
        <f t="shared" si="0"/>
        <v>3000</v>
      </c>
      <c r="M11" s="45"/>
    </row>
    <row r="12" spans="1:13" s="44" customFormat="1" ht="11.25" customHeight="1">
      <c r="A12" s="31" t="s">
        <v>20</v>
      </c>
      <c r="B12" s="32">
        <v>55080100</v>
      </c>
      <c r="C12" s="33">
        <v>23173</v>
      </c>
      <c r="D12" s="33">
        <v>711.56</v>
      </c>
      <c r="E12" s="33">
        <v>18.5</v>
      </c>
      <c r="F12" s="33">
        <v>0</v>
      </c>
      <c r="G12" s="33">
        <v>0</v>
      </c>
      <c r="H12" s="33">
        <f>'3-10-16'!H12+D12+F12</f>
        <v>16904.510000000006</v>
      </c>
      <c r="I12" s="33">
        <f>'3-10-16'!I12+E12+G12</f>
        <v>519.95</v>
      </c>
      <c r="J12" s="33">
        <f>H12+I12</f>
        <v>17424.460000000006</v>
      </c>
      <c r="K12" s="33">
        <f>C12-J12</f>
        <v>5748.539999999994</v>
      </c>
      <c r="L12" s="33">
        <f t="shared" si="0"/>
        <v>-604.1277083333407</v>
      </c>
      <c r="M12" s="45"/>
    </row>
    <row r="13" spans="1:14" ht="24.75" customHeight="1">
      <c r="A13" s="75" t="s">
        <v>36</v>
      </c>
      <c r="B13" s="76"/>
      <c r="C13" s="49">
        <f>SUM(C3:C12)</f>
        <v>201348</v>
      </c>
      <c r="D13" s="49">
        <f aca="true" t="shared" si="3" ref="D13:L13">SUM(D3:D12)</f>
        <v>6089.49</v>
      </c>
      <c r="E13" s="49">
        <f t="shared" si="3"/>
        <v>158.29</v>
      </c>
      <c r="F13" s="49">
        <f t="shared" si="3"/>
        <v>83.5</v>
      </c>
      <c r="G13" s="49">
        <f t="shared" si="3"/>
        <v>4.510000000000005</v>
      </c>
      <c r="H13" s="49">
        <f t="shared" si="3"/>
        <v>113503.57</v>
      </c>
      <c r="I13" s="49">
        <f t="shared" si="3"/>
        <v>3613.83</v>
      </c>
      <c r="J13" s="49">
        <f t="shared" si="3"/>
        <v>117117.40000000001</v>
      </c>
      <c r="K13" s="49">
        <f t="shared" si="3"/>
        <v>84230.59999999999</v>
      </c>
      <c r="L13" s="49">
        <f t="shared" si="3"/>
        <v>41531.54791666666</v>
      </c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28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38"/>
      <c r="N15" s="39"/>
    </row>
    <row r="16" spans="1:14" s="44" customFormat="1" ht="11.25" customHeight="1">
      <c r="A16" s="31" t="s">
        <v>19</v>
      </c>
      <c r="B16" s="32">
        <v>55030100</v>
      </c>
      <c r="C16" s="33">
        <v>13540</v>
      </c>
      <c r="D16" s="33">
        <v>314.4</v>
      </c>
      <c r="E16" s="33">
        <v>8.17</v>
      </c>
      <c r="F16" s="33">
        <v>0</v>
      </c>
      <c r="G16" s="33">
        <v>0</v>
      </c>
      <c r="H16" s="33">
        <f>'3-10-16'!H16+D16+F16</f>
        <v>5889.129999999999</v>
      </c>
      <c r="I16" s="33">
        <f>'3-10-16'!I16+E16+G16</f>
        <v>168.60999999999999</v>
      </c>
      <c r="J16" s="33">
        <f aca="true" t="shared" si="4" ref="J16:J23">H16+I16</f>
        <v>6057.739999999999</v>
      </c>
      <c r="K16" s="33">
        <f aca="true" t="shared" si="5" ref="K16:K23">C16-J16</f>
        <v>7482.260000000001</v>
      </c>
      <c r="L16" s="33">
        <f>C16-(J16/19.2*26.2)</f>
        <v>5273.7089583333345</v>
      </c>
      <c r="M16" s="42"/>
      <c r="N16" s="43"/>
    </row>
    <row r="17" spans="1:14" s="44" customFormat="1" ht="11.25" customHeight="1">
      <c r="A17" s="31" t="s">
        <v>33</v>
      </c>
      <c r="B17" s="32">
        <v>55110100</v>
      </c>
      <c r="C17" s="33">
        <v>7073</v>
      </c>
      <c r="D17" s="33">
        <v>62.24</v>
      </c>
      <c r="E17" s="33">
        <v>1.61</v>
      </c>
      <c r="F17" s="33">
        <v>0</v>
      </c>
      <c r="G17" s="33">
        <v>0</v>
      </c>
      <c r="H17" s="33">
        <f>'3-10-16'!H17+D17+F17</f>
        <v>665.5200000000001</v>
      </c>
      <c r="I17" s="33">
        <f>'3-10-16'!I17+E17+G17</f>
        <v>17.2</v>
      </c>
      <c r="J17" s="33">
        <f t="shared" si="4"/>
        <v>682.7200000000001</v>
      </c>
      <c r="K17" s="33">
        <f t="shared" si="5"/>
        <v>6390.28</v>
      </c>
      <c r="L17" s="33">
        <f>C17-(J17/19.2*26.2)</f>
        <v>6141.371666666666</v>
      </c>
      <c r="M17" s="42"/>
      <c r="N17" s="43"/>
    </row>
    <row r="18" spans="1:14" s="44" customFormat="1" ht="11.25" customHeight="1">
      <c r="A18" s="31" t="s">
        <v>23</v>
      </c>
      <c r="B18" s="32">
        <v>55160100</v>
      </c>
      <c r="C18" s="33">
        <v>16062</v>
      </c>
      <c r="D18" s="33">
        <v>781.85</v>
      </c>
      <c r="E18" s="33">
        <v>20.32</v>
      </c>
      <c r="F18" s="33">
        <v>232.1</v>
      </c>
      <c r="G18" s="33">
        <v>12.53</v>
      </c>
      <c r="H18" s="33">
        <f>'3-10-16'!H18+D18+F18</f>
        <v>10668.999999999998</v>
      </c>
      <c r="I18" s="33">
        <f>'3-10-16'!I18+E18+G18</f>
        <v>372.90999999999997</v>
      </c>
      <c r="J18" s="33">
        <f t="shared" si="4"/>
        <v>11041.909999999998</v>
      </c>
      <c r="K18" s="33">
        <f t="shared" si="5"/>
        <v>5020.090000000002</v>
      </c>
      <c r="L18" s="33">
        <f>C18-(J18/19.2*26.2)</f>
        <v>994.3936458333355</v>
      </c>
      <c r="M18" s="42"/>
      <c r="N18" s="60"/>
    </row>
    <row r="19" spans="1:14" ht="24.75" customHeight="1">
      <c r="A19" s="75" t="s">
        <v>37</v>
      </c>
      <c r="B19" s="76"/>
      <c r="C19" s="49">
        <f>SUM(C16:C18)</f>
        <v>36675</v>
      </c>
      <c r="D19" s="49">
        <f aca="true" t="shared" si="6" ref="D19:L19">SUM(D16:D18)</f>
        <v>1158.49</v>
      </c>
      <c r="E19" s="49">
        <f t="shared" si="6"/>
        <v>30.1</v>
      </c>
      <c r="F19" s="49">
        <f t="shared" si="6"/>
        <v>232.1</v>
      </c>
      <c r="G19" s="49">
        <f t="shared" si="6"/>
        <v>12.53</v>
      </c>
      <c r="H19" s="49">
        <f t="shared" si="6"/>
        <v>17223.649999999998</v>
      </c>
      <c r="I19" s="49">
        <f t="shared" si="6"/>
        <v>558.7199999999999</v>
      </c>
      <c r="J19" s="49">
        <f t="shared" si="6"/>
        <v>17782.369999999995</v>
      </c>
      <c r="K19" s="49">
        <f t="shared" si="6"/>
        <v>18892.630000000005</v>
      </c>
      <c r="L19" s="49">
        <f t="shared" si="6"/>
        <v>12409.474270833336</v>
      </c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28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38"/>
      <c r="N21" s="41"/>
    </row>
    <row r="22" spans="1:14" s="44" customFormat="1" ht="11.25" customHeight="1">
      <c r="A22" s="31" t="s">
        <v>21</v>
      </c>
      <c r="B22" s="32">
        <v>55090100</v>
      </c>
      <c r="C22" s="33">
        <v>26923</v>
      </c>
      <c r="D22" s="33">
        <v>0</v>
      </c>
      <c r="E22" s="33">
        <v>0</v>
      </c>
      <c r="F22" s="33">
        <v>856.54</v>
      </c>
      <c r="G22" s="33">
        <v>46.25</v>
      </c>
      <c r="H22" s="33">
        <f>'3-10-16'!H22+D22+F22</f>
        <v>24500.119999999995</v>
      </c>
      <c r="I22" s="33">
        <f>'3-10-16'!I22+E22+G22</f>
        <v>1122.96</v>
      </c>
      <c r="J22" s="33">
        <f t="shared" si="4"/>
        <v>25623.079999999994</v>
      </c>
      <c r="K22" s="33">
        <f t="shared" si="5"/>
        <v>1299.9200000000055</v>
      </c>
      <c r="L22" s="33">
        <f>C22-(J22/19.2*26.2)</f>
        <v>-8041.827916666662</v>
      </c>
      <c r="M22" s="42"/>
      <c r="N22" s="60"/>
    </row>
    <row r="23" spans="1:14" s="44" customFormat="1" ht="11.25" customHeight="1">
      <c r="A23" s="31" t="s">
        <v>22</v>
      </c>
      <c r="B23" s="32">
        <v>55100100</v>
      </c>
      <c r="C23" s="33">
        <v>2026</v>
      </c>
      <c r="D23" s="33">
        <v>0</v>
      </c>
      <c r="E23" s="33">
        <v>0</v>
      </c>
      <c r="F23" s="33">
        <v>67.8</v>
      </c>
      <c r="G23" s="33">
        <v>3.66</v>
      </c>
      <c r="H23" s="33">
        <f>'3-10-16'!H23+D23+F23</f>
        <v>727.72</v>
      </c>
      <c r="I23" s="33">
        <f>'3-10-16'!I23+E23+G23</f>
        <v>39.269999999999996</v>
      </c>
      <c r="J23" s="33">
        <f t="shared" si="4"/>
        <v>766.99</v>
      </c>
      <c r="K23" s="33">
        <f t="shared" si="5"/>
        <v>1259.01</v>
      </c>
      <c r="L23" s="33">
        <f>C23-(J23/19.2*26.2)</f>
        <v>979.3782291666666</v>
      </c>
      <c r="M23" s="42"/>
      <c r="N23" s="60"/>
    </row>
    <row r="24" spans="1:14" ht="24.75" customHeight="1">
      <c r="A24" s="75" t="s">
        <v>38</v>
      </c>
      <c r="B24" s="76"/>
      <c r="C24" s="49">
        <f>SUM(C22:C23)</f>
        <v>28949</v>
      </c>
      <c r="D24" s="49">
        <f aca="true" t="shared" si="7" ref="D24:L24">SUM(D22:D23)</f>
        <v>0</v>
      </c>
      <c r="E24" s="49">
        <f t="shared" si="7"/>
        <v>0</v>
      </c>
      <c r="F24" s="49">
        <f t="shared" si="7"/>
        <v>924.3399999999999</v>
      </c>
      <c r="G24" s="49">
        <f t="shared" si="7"/>
        <v>49.91</v>
      </c>
      <c r="H24" s="49">
        <f t="shared" si="7"/>
        <v>25227.839999999997</v>
      </c>
      <c r="I24" s="49">
        <f t="shared" si="7"/>
        <v>1162.23</v>
      </c>
      <c r="J24" s="49">
        <f t="shared" si="7"/>
        <v>26390.069999999996</v>
      </c>
      <c r="K24" s="49">
        <f t="shared" si="7"/>
        <v>2558.9300000000057</v>
      </c>
      <c r="L24" s="49">
        <f t="shared" si="7"/>
        <v>-7062.449687499995</v>
      </c>
      <c r="M24" s="38"/>
      <c r="N24" s="41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4" ht="11.2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8"/>
      <c r="N26" s="39"/>
    </row>
    <row r="27" spans="1:13" s="44" customFormat="1" ht="11.25" customHeight="1">
      <c r="A27" s="31" t="s">
        <v>26</v>
      </c>
      <c r="B27" s="32">
        <v>55130100</v>
      </c>
      <c r="C27" s="33">
        <v>4523</v>
      </c>
      <c r="D27" s="33">
        <v>82.39</v>
      </c>
      <c r="E27" s="33">
        <v>2.14</v>
      </c>
      <c r="F27" s="33">
        <v>0</v>
      </c>
      <c r="G27" s="33">
        <v>0</v>
      </c>
      <c r="H27" s="33">
        <f>'3-10-16'!H27+D27+F27</f>
        <v>1994.43</v>
      </c>
      <c r="I27" s="33">
        <f>'3-10-16'!I27+E27+G27</f>
        <v>51.72</v>
      </c>
      <c r="J27" s="33">
        <f>H27+I27</f>
        <v>2046.15</v>
      </c>
      <c r="K27" s="33">
        <f>C27-J27</f>
        <v>2476.85</v>
      </c>
      <c r="L27" s="33">
        <f>C27-(J27/19.2*26.2)</f>
        <v>1730.8578125</v>
      </c>
      <c r="M27" s="45"/>
    </row>
    <row r="28" spans="1:13" s="44" customFormat="1" ht="11.25" customHeight="1">
      <c r="A28" s="31" t="s">
        <v>30</v>
      </c>
      <c r="B28" s="32">
        <v>55140100</v>
      </c>
      <c r="C28" s="33">
        <v>2995</v>
      </c>
      <c r="D28" s="33">
        <v>0</v>
      </c>
      <c r="E28" s="33">
        <v>0</v>
      </c>
      <c r="F28" s="33">
        <v>0</v>
      </c>
      <c r="G28" s="33">
        <v>0</v>
      </c>
      <c r="H28" s="33">
        <f>'3-10-16'!H28+D28+F28</f>
        <v>2542.32</v>
      </c>
      <c r="I28" s="33">
        <f>'3-10-16'!I28+E28+G28</f>
        <v>137.11999999999998</v>
      </c>
      <c r="J28" s="33">
        <f>H28+I28</f>
        <v>2679.44</v>
      </c>
      <c r="K28" s="33">
        <f>C28-J28</f>
        <v>315.55999999999995</v>
      </c>
      <c r="L28" s="33">
        <f>C28-(J28/19.2*26.2)</f>
        <v>-661.3191666666667</v>
      </c>
      <c r="M28" s="45"/>
    </row>
    <row r="29" spans="1:14" s="44" customFormat="1" ht="24.75" customHeight="1">
      <c r="A29" s="75" t="s">
        <v>39</v>
      </c>
      <c r="B29" s="76"/>
      <c r="C29" s="49">
        <f aca="true" t="shared" si="8" ref="C29:L29">SUM(C27:C28)</f>
        <v>7518</v>
      </c>
      <c r="D29" s="49">
        <f t="shared" si="8"/>
        <v>82.39</v>
      </c>
      <c r="E29" s="49">
        <f t="shared" si="8"/>
        <v>2.14</v>
      </c>
      <c r="F29" s="49">
        <f t="shared" si="8"/>
        <v>0</v>
      </c>
      <c r="G29" s="49">
        <f t="shared" si="8"/>
        <v>0</v>
      </c>
      <c r="H29" s="49">
        <f t="shared" si="8"/>
        <v>4536.75</v>
      </c>
      <c r="I29" s="49">
        <f t="shared" si="8"/>
        <v>188.83999999999997</v>
      </c>
      <c r="J29" s="62">
        <f t="shared" si="8"/>
        <v>4725.59</v>
      </c>
      <c r="K29" s="49">
        <f t="shared" si="8"/>
        <v>2792.41</v>
      </c>
      <c r="L29" s="49">
        <f t="shared" si="8"/>
        <v>1069.5386458333332</v>
      </c>
      <c r="M29" s="42"/>
      <c r="N29" s="43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8"/>
      <c r="N31" s="39"/>
    </row>
    <row r="32" spans="1:14" s="44" customFormat="1" ht="11.25" customHeight="1">
      <c r="A32" s="31" t="s">
        <v>34</v>
      </c>
      <c r="B32" s="32">
        <v>55010000</v>
      </c>
      <c r="C32" s="33">
        <f>24725-15347</f>
        <v>9378</v>
      </c>
      <c r="D32" s="33">
        <v>0</v>
      </c>
      <c r="E32" s="33">
        <v>0</v>
      </c>
      <c r="F32" s="33">
        <v>2227.17</v>
      </c>
      <c r="G32" s="33">
        <v>120.26</v>
      </c>
      <c r="H32" s="33">
        <f>'3-10-16'!H32+D32+F32</f>
        <v>2356.77</v>
      </c>
      <c r="I32" s="33">
        <f>'3-10-16'!I32+E32+G32</f>
        <v>127.25</v>
      </c>
      <c r="J32" s="33">
        <f aca="true" t="shared" si="9" ref="J32:J38">H32+I32</f>
        <v>2484.02</v>
      </c>
      <c r="K32" s="33">
        <f aca="true" t="shared" si="10" ref="K32:K38">C32-J32</f>
        <v>6893.98</v>
      </c>
      <c r="L32" s="33">
        <f aca="true" t="shared" si="11" ref="L32:L38">C32-(J32/19.2*26.2)</f>
        <v>5988.347708333333</v>
      </c>
      <c r="M32" s="42"/>
      <c r="N32" s="43"/>
    </row>
    <row r="33" spans="1:14" s="44" customFormat="1" ht="11.25" customHeight="1">
      <c r="A33" s="31" t="s">
        <v>54</v>
      </c>
      <c r="B33" s="32" t="s">
        <v>53</v>
      </c>
      <c r="C33" s="33">
        <v>3000</v>
      </c>
      <c r="D33" s="33">
        <v>0</v>
      </c>
      <c r="E33" s="33">
        <v>0</v>
      </c>
      <c r="F33" s="33">
        <v>676.8</v>
      </c>
      <c r="G33" s="33">
        <v>36.54</v>
      </c>
      <c r="H33" s="33">
        <f>'3-10-16'!H33+D33+F33</f>
        <v>984</v>
      </c>
      <c r="I33" s="33">
        <f>'3-10-16'!I33+E33+G33</f>
        <v>53.12</v>
      </c>
      <c r="J33" s="33">
        <f t="shared" si="9"/>
        <v>1037.12</v>
      </c>
      <c r="K33" s="33">
        <f t="shared" si="10"/>
        <v>1962.88</v>
      </c>
      <c r="L33" s="33">
        <f t="shared" si="11"/>
        <v>1584.7633333333333</v>
      </c>
      <c r="M33" s="42"/>
      <c r="N33" s="43"/>
    </row>
    <row r="34" spans="1:13" s="44" customFormat="1" ht="11.25" customHeight="1">
      <c r="A34" s="31" t="s">
        <v>31</v>
      </c>
      <c r="B34" s="32">
        <v>55080500</v>
      </c>
      <c r="C34" s="33">
        <v>10000</v>
      </c>
      <c r="D34" s="33">
        <v>0</v>
      </c>
      <c r="E34" s="33">
        <v>0</v>
      </c>
      <c r="F34" s="33">
        <v>0</v>
      </c>
      <c r="G34" s="33">
        <v>0</v>
      </c>
      <c r="H34" s="33">
        <f>'3-10-16'!H34+D34+F34</f>
        <v>3870.3600000000006</v>
      </c>
      <c r="I34" s="33">
        <f>'3-10-16'!I34+E34+G34</f>
        <v>100.6</v>
      </c>
      <c r="J34" s="33">
        <f t="shared" si="9"/>
        <v>3970.9600000000005</v>
      </c>
      <c r="K34" s="33">
        <f t="shared" si="10"/>
        <v>6029.039999999999</v>
      </c>
      <c r="L34" s="33">
        <f t="shared" si="11"/>
        <v>4581.294166666667</v>
      </c>
      <c r="M34" s="45"/>
    </row>
    <row r="35" spans="1:13" s="44" customFormat="1" ht="11.25" customHeight="1">
      <c r="A35" s="31" t="s">
        <v>32</v>
      </c>
      <c r="B35" s="32">
        <v>55050300</v>
      </c>
      <c r="C35" s="33">
        <v>15347</v>
      </c>
      <c r="D35" s="33">
        <v>277.52</v>
      </c>
      <c r="E35" s="33">
        <v>7.21</v>
      </c>
      <c r="F35" s="33">
        <v>658</v>
      </c>
      <c r="G35" s="33">
        <v>35.53</v>
      </c>
      <c r="H35" s="33">
        <f>'3-10-16'!H35+D35+F35</f>
        <v>13491.14</v>
      </c>
      <c r="I35" s="33">
        <f>'3-10-16'!I35+E35+G35</f>
        <v>700.1099999999999</v>
      </c>
      <c r="J35" s="33">
        <f t="shared" si="9"/>
        <v>14191.25</v>
      </c>
      <c r="K35" s="33">
        <f t="shared" si="10"/>
        <v>1155.75</v>
      </c>
      <c r="L35" s="33">
        <f t="shared" si="11"/>
        <v>-4018.143229166668</v>
      </c>
      <c r="M35" s="45"/>
    </row>
    <row r="36" spans="1:13" s="44" customFormat="1" ht="11.25" customHeight="1">
      <c r="A36" s="31" t="s">
        <v>43</v>
      </c>
      <c r="B36" s="32">
        <v>55160300</v>
      </c>
      <c r="C36" s="33">
        <f>43385.81+42388.29</f>
        <v>85774.1</v>
      </c>
      <c r="D36" s="33">
        <v>0</v>
      </c>
      <c r="E36" s="33">
        <v>0</v>
      </c>
      <c r="F36" s="33">
        <v>3154.25</v>
      </c>
      <c r="G36" s="33">
        <v>170.32</v>
      </c>
      <c r="H36" s="33">
        <f>'3-10-16'!H36+D36+F36</f>
        <v>59299.950000000004</v>
      </c>
      <c r="I36" s="33">
        <f>'3-10-16'!I36+E36+G36</f>
        <v>3202.04</v>
      </c>
      <c r="J36" s="33">
        <f t="shared" si="9"/>
        <v>62501.990000000005</v>
      </c>
      <c r="K36" s="33">
        <f t="shared" si="10"/>
        <v>23272.11</v>
      </c>
      <c r="L36" s="33">
        <f t="shared" si="11"/>
        <v>484.92614583332033</v>
      </c>
      <c r="M36" s="45"/>
    </row>
    <row r="37" spans="1:13" s="44" customFormat="1" ht="15" customHeight="1" hidden="1">
      <c r="A37" s="31" t="s">
        <v>47</v>
      </c>
      <c r="B37" s="32">
        <v>55010100</v>
      </c>
      <c r="C37" s="33"/>
      <c r="D37" s="33"/>
      <c r="E37" s="33"/>
      <c r="F37" s="33"/>
      <c r="G37" s="33"/>
      <c r="H37" s="33">
        <f>'3-10-16'!H37+D37+F37</f>
        <v>-64.2</v>
      </c>
      <c r="I37" s="33">
        <f>'3-10-16'!I37+E37+G37</f>
        <v>-1.67</v>
      </c>
      <c r="J37" s="33">
        <f t="shared" si="9"/>
        <v>-65.87</v>
      </c>
      <c r="K37" s="33">
        <f t="shared" si="10"/>
        <v>65.87</v>
      </c>
      <c r="L37" s="33">
        <f t="shared" si="11"/>
        <v>89.88510416666668</v>
      </c>
      <c r="M37" s="45"/>
    </row>
    <row r="38" spans="1:13" s="44" customFormat="1" ht="11.25" customHeight="1">
      <c r="A38" s="31" t="s">
        <v>48</v>
      </c>
      <c r="B38" s="32" t="s">
        <v>49</v>
      </c>
      <c r="C38" s="33">
        <v>4086</v>
      </c>
      <c r="D38" s="33">
        <v>0</v>
      </c>
      <c r="E38" s="33">
        <v>0</v>
      </c>
      <c r="F38" s="33">
        <v>137.86</v>
      </c>
      <c r="G38" s="33">
        <v>7.44</v>
      </c>
      <c r="H38" s="33">
        <f>'3-10-16'!H38+D38+F38</f>
        <v>137.86</v>
      </c>
      <c r="I38" s="33">
        <f>'3-10-16'!I38+E38+G38</f>
        <v>7.44</v>
      </c>
      <c r="J38" s="33">
        <f t="shared" si="9"/>
        <v>145.3</v>
      </c>
      <c r="K38" s="33">
        <f t="shared" si="10"/>
        <v>3940.7</v>
      </c>
      <c r="L38" s="33">
        <f t="shared" si="11"/>
        <v>3887.726041666667</v>
      </c>
      <c r="M38" s="45"/>
    </row>
    <row r="39" spans="1:14" ht="24.75" customHeight="1">
      <c r="A39" s="75" t="s">
        <v>40</v>
      </c>
      <c r="B39" s="76"/>
      <c r="C39" s="49">
        <f aca="true" t="shared" si="12" ref="C39:L39">SUM(C32:C38)</f>
        <v>127585.1</v>
      </c>
      <c r="D39" s="49">
        <f t="shared" si="12"/>
        <v>277.52</v>
      </c>
      <c r="E39" s="49">
        <f t="shared" si="12"/>
        <v>7.21</v>
      </c>
      <c r="F39" s="49">
        <f t="shared" si="12"/>
        <v>6854.08</v>
      </c>
      <c r="G39" s="49">
        <f t="shared" si="12"/>
        <v>370.09</v>
      </c>
      <c r="H39" s="49">
        <f t="shared" si="12"/>
        <v>80075.88</v>
      </c>
      <c r="I39" s="49">
        <f t="shared" si="12"/>
        <v>4188.889999999999</v>
      </c>
      <c r="J39" s="62">
        <f t="shared" si="12"/>
        <v>84264.77</v>
      </c>
      <c r="K39" s="49">
        <f t="shared" si="12"/>
        <v>43320.33</v>
      </c>
      <c r="L39" s="49">
        <f t="shared" si="12"/>
        <v>12598.79927083332</v>
      </c>
      <c r="M39" s="38"/>
      <c r="N39" s="39"/>
    </row>
    <row r="40" spans="1:14" ht="11.25" customHeight="1">
      <c r="A40" s="28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8"/>
      <c r="N40" s="39"/>
    </row>
    <row r="41" spans="1:14" ht="11.25" customHeight="1">
      <c r="A41" s="28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8"/>
      <c r="N41" s="39"/>
    </row>
    <row r="42" spans="1:14" ht="24.75" customHeight="1">
      <c r="A42" s="76" t="s">
        <v>42</v>
      </c>
      <c r="B42" s="76"/>
      <c r="C42" s="49">
        <f aca="true" t="shared" si="13" ref="C42:L42">C13+C19+C24+C29+C39</f>
        <v>402075.1</v>
      </c>
      <c r="D42" s="49">
        <f t="shared" si="13"/>
        <v>7607.889999999999</v>
      </c>
      <c r="E42" s="49">
        <f t="shared" si="13"/>
        <v>197.73999999999998</v>
      </c>
      <c r="F42" s="49">
        <f t="shared" si="13"/>
        <v>8094.02</v>
      </c>
      <c r="G42" s="49">
        <f t="shared" si="13"/>
        <v>437.03999999999996</v>
      </c>
      <c r="H42" s="49">
        <f t="shared" si="13"/>
        <v>240567.69</v>
      </c>
      <c r="I42" s="49">
        <f t="shared" si="13"/>
        <v>9712.51</v>
      </c>
      <c r="J42" s="49">
        <f t="shared" si="13"/>
        <v>250280.2</v>
      </c>
      <c r="K42" s="49">
        <f t="shared" si="13"/>
        <v>151794.90000000002</v>
      </c>
      <c r="L42" s="49">
        <f t="shared" si="13"/>
        <v>60546.91041666665</v>
      </c>
      <c r="M42" s="38"/>
      <c r="N42" s="39"/>
    </row>
    <row r="43" spans="1:14" ht="11.25" customHeight="1">
      <c r="A43" s="54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38"/>
      <c r="N43" s="39"/>
    </row>
    <row r="44" spans="1:14" ht="11.25" customHeight="1">
      <c r="A44" s="54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38"/>
      <c r="N44" s="39"/>
    </row>
    <row r="45" spans="1:14" s="44" customFormat="1" ht="12" customHeight="1">
      <c r="A45" s="31" t="s">
        <v>27</v>
      </c>
      <c r="B45" s="31" t="s">
        <v>28</v>
      </c>
      <c r="C45" s="33">
        <v>61829</v>
      </c>
      <c r="D45" s="33">
        <v>1298.01</v>
      </c>
      <c r="E45" s="33">
        <v>33.74</v>
      </c>
      <c r="F45" s="33">
        <v>0</v>
      </c>
      <c r="G45" s="33">
        <v>0</v>
      </c>
      <c r="H45" s="33">
        <f>'3-10-16'!H45+D45+F45</f>
        <v>30826.979999999996</v>
      </c>
      <c r="I45" s="33">
        <f>'3-10-16'!I45+E45+G45</f>
        <v>977.1600000000002</v>
      </c>
      <c r="J45" s="33">
        <f>H45+I45</f>
        <v>31804.139999999996</v>
      </c>
      <c r="K45" s="33">
        <f>C45-J45</f>
        <v>30024.860000000004</v>
      </c>
      <c r="L45" s="33">
        <f>C45-(J45/19.2*26.2)</f>
        <v>18429.600625000006</v>
      </c>
      <c r="M45" s="42"/>
      <c r="N45" s="43"/>
    </row>
    <row r="46" spans="1:14" ht="12" customHeight="1">
      <c r="A46" s="6"/>
      <c r="B46" s="6"/>
      <c r="C46" s="27"/>
      <c r="D46" s="27"/>
      <c r="E46" s="27"/>
      <c r="F46" s="27"/>
      <c r="G46" s="27"/>
      <c r="H46" s="27"/>
      <c r="I46" s="27"/>
      <c r="J46" s="33"/>
      <c r="K46" s="27"/>
      <c r="L46" s="27"/>
      <c r="M46" s="38"/>
      <c r="N46" s="39"/>
    </row>
    <row r="47" spans="1:14" ht="12" customHeight="1">
      <c r="A47" s="6" t="s">
        <v>29</v>
      </c>
      <c r="B47" s="6" t="s">
        <v>35</v>
      </c>
      <c r="C47" s="27">
        <v>15000</v>
      </c>
      <c r="D47" s="27">
        <v>0</v>
      </c>
      <c r="E47" s="27">
        <v>0</v>
      </c>
      <c r="F47" s="27">
        <v>482.84</v>
      </c>
      <c r="G47" s="27">
        <v>26.07</v>
      </c>
      <c r="H47" s="33">
        <f>'3-10-16'!H47+D47+F47</f>
        <v>11396.57</v>
      </c>
      <c r="I47" s="33">
        <f>'3-10-16'!I47+E47+G47</f>
        <v>615.3000000000002</v>
      </c>
      <c r="J47" s="33">
        <f>H47+I47</f>
        <v>12011.869999999999</v>
      </c>
      <c r="K47" s="27">
        <f>C47-J47</f>
        <v>2988.130000000001</v>
      </c>
      <c r="L47" s="33">
        <f>C47-(J47/19.2*26.2)</f>
        <v>-1391.1976041666676</v>
      </c>
      <c r="M47" s="38"/>
      <c r="N47" s="39"/>
    </row>
    <row r="48" spans="1:14" ht="12" customHeight="1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38"/>
      <c r="N48" s="39"/>
    </row>
    <row r="49" spans="1:14" ht="12" customHeight="1">
      <c r="A49" s="50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38"/>
      <c r="N49" s="39"/>
    </row>
    <row r="50" spans="1:14" ht="24.75" customHeight="1">
      <c r="A50" s="51" t="s">
        <v>41</v>
      </c>
      <c r="B50" s="52"/>
      <c r="C50" s="53">
        <f>C45+C47</f>
        <v>76829</v>
      </c>
      <c r="D50" s="53">
        <f aca="true" t="shared" si="14" ref="D50:L50">D45+D47</f>
        <v>1298.01</v>
      </c>
      <c r="E50" s="53">
        <f t="shared" si="14"/>
        <v>33.74</v>
      </c>
      <c r="F50" s="53">
        <f t="shared" si="14"/>
        <v>482.84</v>
      </c>
      <c r="G50" s="53">
        <f t="shared" si="14"/>
        <v>26.07</v>
      </c>
      <c r="H50" s="53">
        <f t="shared" si="14"/>
        <v>42223.549999999996</v>
      </c>
      <c r="I50" s="53">
        <f t="shared" si="14"/>
        <v>1592.4600000000005</v>
      </c>
      <c r="J50" s="53">
        <f t="shared" si="14"/>
        <v>43816.009999999995</v>
      </c>
      <c r="K50" s="53">
        <f t="shared" si="14"/>
        <v>33012.990000000005</v>
      </c>
      <c r="L50" s="53">
        <f t="shared" si="14"/>
        <v>17038.40302083334</v>
      </c>
      <c r="M50" s="38"/>
      <c r="N50" s="12"/>
    </row>
    <row r="51" spans="1:14" ht="24" customHeight="1">
      <c r="A51" s="9"/>
      <c r="B51" s="10"/>
      <c r="C51" s="11"/>
      <c r="H51" s="11"/>
      <c r="I51" s="11"/>
      <c r="J51" s="11"/>
      <c r="K51" s="11"/>
      <c r="L51" s="11"/>
      <c r="M51" s="38"/>
      <c r="N51" s="12"/>
    </row>
    <row r="52" spans="1:14" ht="33.75">
      <c r="A52" s="57" t="s">
        <v>44</v>
      </c>
      <c r="B52" s="58">
        <v>43385.81</v>
      </c>
      <c r="C52" s="13"/>
      <c r="D52" s="13"/>
      <c r="E52" s="13"/>
      <c r="F52" s="13"/>
      <c r="G52" s="13"/>
      <c r="H52" s="46"/>
      <c r="I52" s="46"/>
      <c r="J52" s="46"/>
      <c r="K52" s="46"/>
      <c r="L52" s="46"/>
      <c r="M52" s="38"/>
      <c r="N52" s="12"/>
    </row>
    <row r="53" spans="1:14" ht="33.75">
      <c r="A53" s="9" t="s">
        <v>45</v>
      </c>
      <c r="B53" s="58">
        <v>10000</v>
      </c>
      <c r="C53" s="16"/>
      <c r="D53" s="11"/>
      <c r="E53" s="11"/>
      <c r="F53" s="11"/>
      <c r="G53" s="11"/>
      <c r="H53" s="11"/>
      <c r="I53" s="2"/>
      <c r="J53" s="11"/>
      <c r="K53" s="11"/>
      <c r="L53" s="11"/>
      <c r="M53" s="38"/>
      <c r="N53" s="12"/>
    </row>
    <row r="54" spans="1:14" ht="22.5">
      <c r="A54" s="14" t="s">
        <v>46</v>
      </c>
      <c r="B54" s="58">
        <v>15347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2"/>
    </row>
    <row r="55" spans="1:14" ht="33.75">
      <c r="A55" s="14" t="s">
        <v>50</v>
      </c>
      <c r="B55" s="58">
        <v>5000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  <c r="N55" s="17"/>
    </row>
    <row r="56" spans="1:14" ht="22.5">
      <c r="A56" s="14" t="s">
        <v>52</v>
      </c>
      <c r="B56" s="58">
        <v>42388.29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  <c r="N56" s="12"/>
    </row>
    <row r="57" spans="1:14" ht="22.5" customHeight="1">
      <c r="A57" s="14"/>
      <c r="B57" s="1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8"/>
      <c r="N57" s="12"/>
    </row>
    <row r="58" spans="1:14" ht="15">
      <c r="A58" s="18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N58" s="12"/>
    </row>
    <row r="59" spans="1:14" ht="15" customHeight="1">
      <c r="A59" s="18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 customHeight="1">
      <c r="A60" s="19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15">
      <c r="A61" s="19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25.5" customHeight="1">
      <c r="A64" s="18"/>
      <c r="B64" s="10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12"/>
    </row>
    <row r="65" spans="1:14" ht="15" customHeight="1">
      <c r="A65" s="18"/>
      <c r="B65" s="10"/>
      <c r="C65" s="21"/>
      <c r="D65" s="21"/>
      <c r="E65" s="21"/>
      <c r="F65" s="21"/>
      <c r="G65" s="21"/>
      <c r="H65" s="21"/>
      <c r="I65" s="21"/>
      <c r="J65" s="21"/>
      <c r="K65" s="21"/>
      <c r="L65" s="21"/>
      <c r="N65" s="12"/>
    </row>
    <row r="66" spans="1:14" ht="15" customHeight="1">
      <c r="A66" s="20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12"/>
    </row>
    <row r="67" spans="1:14" ht="15" customHeight="1">
      <c r="A67" s="22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3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5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7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47"/>
      <c r="N72" s="24"/>
    </row>
    <row r="73" spans="1:14" ht="11.25" customHeight="1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47"/>
      <c r="N73" s="24"/>
    </row>
    <row r="74" spans="1:14" ht="11.25" customHeight="1">
      <c r="A74" s="22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N74" s="24"/>
    </row>
    <row r="75" spans="1:13" ht="15">
      <c r="A75" s="22"/>
      <c r="B75" s="22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36"/>
    </row>
    <row r="76" spans="1:13" ht="15">
      <c r="A76" s="22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36"/>
    </row>
    <row r="77" spans="1:12" ht="15">
      <c r="A77" s="22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4" s="35" customFormat="1" ht="15">
      <c r="A83" s="24"/>
      <c r="B83" s="24"/>
      <c r="C83" s="48"/>
      <c r="D83" s="48"/>
      <c r="E83" s="48"/>
      <c r="F83" s="48"/>
      <c r="G83" s="48"/>
      <c r="H83" s="48"/>
      <c r="I83" s="48"/>
      <c r="J83" s="48"/>
      <c r="K83" s="48"/>
      <c r="L83" s="48"/>
      <c r="N83" s="36"/>
    </row>
    <row r="84" spans="1:12" ht="15">
      <c r="A84" s="24"/>
      <c r="B84" s="24"/>
      <c r="C84" s="48"/>
      <c r="D84" s="48"/>
      <c r="E84" s="48"/>
      <c r="F84" s="48"/>
      <c r="G84" s="48"/>
      <c r="H84" s="48"/>
      <c r="I84" s="48"/>
      <c r="J84" s="48"/>
      <c r="K84" s="48"/>
      <c r="L84" s="48"/>
    </row>
  </sheetData>
  <sheetProtection/>
  <mergeCells count="6">
    <mergeCell ref="A13:B13"/>
    <mergeCell ref="A19:B19"/>
    <mergeCell ref="A24:B24"/>
    <mergeCell ref="A29:B29"/>
    <mergeCell ref="A39:B39"/>
    <mergeCell ref="A42:B4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8" sqref="L8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8.140625" style="40" bestFit="1" customWidth="1"/>
    <col min="5" max="5" width="6.85156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s="44" customFormat="1" ht="11.25" customHeight="1">
      <c r="A3" s="31" t="s">
        <v>11</v>
      </c>
      <c r="B3" s="32">
        <v>55010500</v>
      </c>
      <c r="C3" s="33">
        <f>9670-5000</f>
        <v>4670</v>
      </c>
      <c r="D3" s="33">
        <v>0</v>
      </c>
      <c r="E3" s="33">
        <v>0</v>
      </c>
      <c r="F3" s="33">
        <v>0</v>
      </c>
      <c r="G3" s="33">
        <v>0</v>
      </c>
      <c r="H3" s="33">
        <f>'3-24-16'!H3+D3+F3</f>
        <v>604.8</v>
      </c>
      <c r="I3" s="33">
        <f>'3-24-16'!I3+E3+G3</f>
        <v>32.629999999999995</v>
      </c>
      <c r="J3" s="33">
        <f>H3+I3</f>
        <v>637.43</v>
      </c>
      <c r="K3" s="33">
        <f>C3-J3</f>
        <v>4032.57</v>
      </c>
      <c r="L3" s="33">
        <f>C3-(J3/20.2*26.2)</f>
        <v>3843.234356435644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v>32649</v>
      </c>
      <c r="D4" s="33">
        <v>600.33</v>
      </c>
      <c r="E4" s="33">
        <v>15.6</v>
      </c>
      <c r="F4" s="33">
        <v>0</v>
      </c>
      <c r="G4" s="33">
        <v>0</v>
      </c>
      <c r="H4" s="33">
        <f>'3-24-16'!H4+D4+F4</f>
        <v>8174.8499999999985</v>
      </c>
      <c r="I4" s="33">
        <f>'3-24-16'!I4+E4+G4</f>
        <v>281.45000000000005</v>
      </c>
      <c r="J4" s="33">
        <f>H4+I4</f>
        <v>8456.3</v>
      </c>
      <c r="K4" s="33">
        <f>C4-J4</f>
        <v>24192.7</v>
      </c>
      <c r="L4" s="33">
        <f aca="true" t="shared" si="0" ref="L4:L12">C4-(J4/20.2*26.2)</f>
        <v>21680.927722772278</v>
      </c>
      <c r="M4" s="45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637.65</v>
      </c>
      <c r="E5" s="33">
        <v>16.55</v>
      </c>
      <c r="F5" s="33">
        <v>0</v>
      </c>
      <c r="G5" s="33">
        <v>0</v>
      </c>
      <c r="H5" s="33">
        <f>'3-24-16'!H5+D5+F5</f>
        <v>9234.35</v>
      </c>
      <c r="I5" s="33">
        <f>'3-24-16'!I5+E5+G5</f>
        <v>239.89000000000001</v>
      </c>
      <c r="J5" s="33">
        <f aca="true" t="shared" si="1" ref="J5:J11">H5+I5</f>
        <v>9474.24</v>
      </c>
      <c r="K5" s="33">
        <f aca="true" t="shared" si="2" ref="K5:K11">C5-J5</f>
        <v>8499.76</v>
      </c>
      <c r="L5" s="33">
        <f t="shared" si="0"/>
        <v>5685.629306930692</v>
      </c>
      <c r="M5" s="45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461.6</v>
      </c>
      <c r="E6" s="33">
        <v>11.97</v>
      </c>
      <c r="F6" s="33">
        <v>0</v>
      </c>
      <c r="G6" s="33">
        <v>0</v>
      </c>
      <c r="H6" s="33">
        <f>'3-24-16'!H6+D6+F6</f>
        <v>8358.360000000002</v>
      </c>
      <c r="I6" s="33">
        <f>'3-24-16'!I6+E6+G6</f>
        <v>217.01000000000002</v>
      </c>
      <c r="J6" s="33">
        <f>H6+I6</f>
        <v>8575.370000000003</v>
      </c>
      <c r="K6" s="33">
        <f t="shared" si="2"/>
        <v>9398.629999999997</v>
      </c>
      <c r="L6" s="33">
        <f t="shared" si="0"/>
        <v>6851.4903960396005</v>
      </c>
      <c r="M6" s="45"/>
      <c r="N6" s="61"/>
    </row>
    <row r="7" spans="1:13" s="44" customFormat="1" ht="11.25" customHeight="1">
      <c r="A7" s="31" t="s">
        <v>15</v>
      </c>
      <c r="B7" s="32">
        <v>55030200</v>
      </c>
      <c r="C7" s="33">
        <v>24330</v>
      </c>
      <c r="D7" s="33">
        <v>614.31</v>
      </c>
      <c r="E7" s="33">
        <v>15.96</v>
      </c>
      <c r="F7" s="33">
        <v>0</v>
      </c>
      <c r="G7" s="33">
        <v>0</v>
      </c>
      <c r="H7" s="33">
        <f>'3-24-16'!H7+D7+F7</f>
        <v>13607.909999999998</v>
      </c>
      <c r="I7" s="33">
        <f>'3-24-16'!I7+E7+G7</f>
        <v>353.65000000000003</v>
      </c>
      <c r="J7" s="33">
        <f t="shared" si="1"/>
        <v>13961.559999999998</v>
      </c>
      <c r="K7" s="33">
        <f t="shared" si="2"/>
        <v>10368.440000000002</v>
      </c>
      <c r="L7" s="33">
        <f t="shared" si="0"/>
        <v>6221.441980198022</v>
      </c>
      <c r="M7" s="45"/>
    </row>
    <row r="8" spans="1:13" s="44" customFormat="1" ht="11.25" customHeight="1">
      <c r="A8" s="31" t="s">
        <v>16</v>
      </c>
      <c r="B8" s="32">
        <v>55050200</v>
      </c>
      <c r="C8" s="33">
        <f>29837</f>
        <v>29837</v>
      </c>
      <c r="D8" s="33">
        <v>1980.11</v>
      </c>
      <c r="E8" s="33">
        <v>51.47</v>
      </c>
      <c r="F8" s="33">
        <v>0</v>
      </c>
      <c r="G8" s="33">
        <v>0</v>
      </c>
      <c r="H8" s="33">
        <f>'3-24-16'!H8+D8+F8</f>
        <v>22212.83</v>
      </c>
      <c r="I8" s="33">
        <f>'3-24-16'!I8+E8+G8</f>
        <v>724.0099999999999</v>
      </c>
      <c r="J8" s="33">
        <f t="shared" si="1"/>
        <v>22936.84</v>
      </c>
      <c r="K8" s="33">
        <f t="shared" si="2"/>
        <v>6900.16</v>
      </c>
      <c r="L8" s="33">
        <f t="shared" si="0"/>
        <v>87.23722772277324</v>
      </c>
      <c r="M8" s="45"/>
    </row>
    <row r="9" spans="1:13" s="44" customFormat="1" ht="11.25" customHeight="1">
      <c r="A9" s="31" t="s">
        <v>51</v>
      </c>
      <c r="B9" s="32">
        <v>55050400</v>
      </c>
      <c r="C9" s="33">
        <v>5000</v>
      </c>
      <c r="D9" s="33">
        <v>0</v>
      </c>
      <c r="E9" s="33">
        <v>0</v>
      </c>
      <c r="F9" s="33">
        <v>0</v>
      </c>
      <c r="G9" s="33">
        <v>0</v>
      </c>
      <c r="H9" s="33">
        <f>'3-24-16'!H9+D9+F9</f>
        <v>0</v>
      </c>
      <c r="I9" s="33">
        <f>'3-24-16'!I9+E9+G9</f>
        <v>0</v>
      </c>
      <c r="J9" s="33">
        <f t="shared" si="1"/>
        <v>0</v>
      </c>
      <c r="K9" s="33">
        <f t="shared" si="2"/>
        <v>5000</v>
      </c>
      <c r="L9" s="33">
        <f t="shared" si="0"/>
        <v>5000</v>
      </c>
      <c r="M9" s="45"/>
    </row>
    <row r="10" spans="1:13" s="44" customFormat="1" ht="11.25" customHeight="1">
      <c r="A10" s="31" t="s">
        <v>17</v>
      </c>
      <c r="B10" s="32">
        <v>55070100</v>
      </c>
      <c r="C10" s="33">
        <f>26873+10510+5358</f>
        <v>42741</v>
      </c>
      <c r="D10" s="33">
        <v>1258.88</v>
      </c>
      <c r="E10" s="33">
        <v>32.71</v>
      </c>
      <c r="F10" s="33">
        <v>694.5</v>
      </c>
      <c r="G10" s="33">
        <v>37.5</v>
      </c>
      <c r="H10" s="33">
        <f>'3-24-16'!H10+D10+F10</f>
        <v>40653.34</v>
      </c>
      <c r="I10" s="33">
        <f>'3-24-16'!I10+E10+G10</f>
        <v>1427.0000000000002</v>
      </c>
      <c r="J10" s="33">
        <f t="shared" si="1"/>
        <v>42080.34</v>
      </c>
      <c r="K10" s="33">
        <f t="shared" si="2"/>
        <v>660.6600000000035</v>
      </c>
      <c r="L10" s="33">
        <f t="shared" si="0"/>
        <v>-11838.450891089102</v>
      </c>
      <c r="M10" s="45"/>
    </row>
    <row r="11" spans="1:13" s="44" customFormat="1" ht="11.25" customHeight="1">
      <c r="A11" s="31" t="s">
        <v>18</v>
      </c>
      <c r="B11" s="32">
        <v>55070400</v>
      </c>
      <c r="C11" s="33">
        <v>3000</v>
      </c>
      <c r="D11" s="33">
        <v>0</v>
      </c>
      <c r="E11" s="33">
        <v>0</v>
      </c>
      <c r="F11" s="33">
        <v>0</v>
      </c>
      <c r="G11" s="33">
        <v>0</v>
      </c>
      <c r="H11" s="33">
        <f>'3-24-16'!H11+D11+F11</f>
        <v>0</v>
      </c>
      <c r="I11" s="33">
        <f>'3-24-16'!I11+E11+G11</f>
        <v>0</v>
      </c>
      <c r="J11" s="33">
        <f t="shared" si="1"/>
        <v>0</v>
      </c>
      <c r="K11" s="33">
        <f t="shared" si="2"/>
        <v>3000</v>
      </c>
      <c r="L11" s="33">
        <f t="shared" si="0"/>
        <v>3000</v>
      </c>
      <c r="M11" s="45"/>
    </row>
    <row r="12" spans="1:13" s="44" customFormat="1" ht="11.25" customHeight="1">
      <c r="A12" s="31" t="s">
        <v>20</v>
      </c>
      <c r="B12" s="32">
        <v>55080100</v>
      </c>
      <c r="C12" s="33">
        <v>23173</v>
      </c>
      <c r="D12" s="33">
        <v>733.51</v>
      </c>
      <c r="E12" s="33">
        <v>19.07</v>
      </c>
      <c r="F12" s="33">
        <v>66.08</v>
      </c>
      <c r="G12" s="33">
        <v>3.56</v>
      </c>
      <c r="H12" s="33">
        <f>'3-24-16'!H12+D12+F12</f>
        <v>17704.100000000006</v>
      </c>
      <c r="I12" s="33">
        <f>'3-24-16'!I12+E12+G12</f>
        <v>542.58</v>
      </c>
      <c r="J12" s="33">
        <f>H12+I12</f>
        <v>18246.680000000008</v>
      </c>
      <c r="K12" s="33">
        <f>C12-J12</f>
        <v>4926.319999999992</v>
      </c>
      <c r="L12" s="33">
        <f t="shared" si="0"/>
        <v>-493.4859405940697</v>
      </c>
      <c r="M12" s="45"/>
    </row>
    <row r="13" spans="1:14" ht="24.75" customHeight="1">
      <c r="A13" s="75" t="s">
        <v>36</v>
      </c>
      <c r="B13" s="76"/>
      <c r="C13" s="49">
        <f>SUM(C3:C12)</f>
        <v>201348</v>
      </c>
      <c r="D13" s="49">
        <f aca="true" t="shared" si="3" ref="D13:L13">SUM(D3:D12)</f>
        <v>6286.39</v>
      </c>
      <c r="E13" s="49">
        <f t="shared" si="3"/>
        <v>163.32999999999998</v>
      </c>
      <c r="F13" s="49">
        <f t="shared" si="3"/>
        <v>760.58</v>
      </c>
      <c r="G13" s="49">
        <f t="shared" si="3"/>
        <v>41.06</v>
      </c>
      <c r="H13" s="49">
        <f t="shared" si="3"/>
        <v>120550.54000000001</v>
      </c>
      <c r="I13" s="49">
        <f t="shared" si="3"/>
        <v>3818.2200000000003</v>
      </c>
      <c r="J13" s="49">
        <f t="shared" si="3"/>
        <v>124368.76000000001</v>
      </c>
      <c r="K13" s="49">
        <f t="shared" si="3"/>
        <v>76979.23999999999</v>
      </c>
      <c r="L13" s="49">
        <f t="shared" si="3"/>
        <v>40038.024158415836</v>
      </c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28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38"/>
      <c r="N15" s="39"/>
    </row>
    <row r="16" spans="1:14" s="44" customFormat="1" ht="11.25" customHeight="1">
      <c r="A16" s="31" t="s">
        <v>19</v>
      </c>
      <c r="B16" s="32">
        <v>55030100</v>
      </c>
      <c r="C16" s="33">
        <v>13540</v>
      </c>
      <c r="D16" s="33">
        <v>356.8</v>
      </c>
      <c r="E16" s="33">
        <v>9.27</v>
      </c>
      <c r="F16" s="33">
        <v>0</v>
      </c>
      <c r="G16" s="33">
        <v>0</v>
      </c>
      <c r="H16" s="33">
        <f>'3-24-16'!H16+D16+F16</f>
        <v>6245.929999999999</v>
      </c>
      <c r="I16" s="33">
        <f>'3-24-16'!I16+E16+G16</f>
        <v>177.88</v>
      </c>
      <c r="J16" s="33">
        <f aca="true" t="shared" si="4" ref="J16:J23">H16+I16</f>
        <v>6423.8099999999995</v>
      </c>
      <c r="K16" s="33">
        <f aca="true" t="shared" si="5" ref="K16:K23">C16-J16</f>
        <v>7116.1900000000005</v>
      </c>
      <c r="L16" s="33">
        <f>C16-(J16/20.2*26.2)</f>
        <v>5208.127623762377</v>
      </c>
      <c r="M16" s="42"/>
      <c r="N16" s="43"/>
    </row>
    <row r="17" spans="1:14" s="44" customFormat="1" ht="11.25" customHeight="1">
      <c r="A17" s="31" t="s">
        <v>33</v>
      </c>
      <c r="B17" s="32">
        <v>55110100</v>
      </c>
      <c r="C17" s="33">
        <v>7073</v>
      </c>
      <c r="D17" s="33">
        <v>45.65</v>
      </c>
      <c r="E17" s="33">
        <v>1.17</v>
      </c>
      <c r="F17" s="33">
        <v>0</v>
      </c>
      <c r="G17" s="33">
        <v>0</v>
      </c>
      <c r="H17" s="33">
        <f>'3-24-16'!H17+D17+F17</f>
        <v>711.1700000000001</v>
      </c>
      <c r="I17" s="33">
        <f>'3-24-16'!I17+E17+G17</f>
        <v>18.369999999999997</v>
      </c>
      <c r="J17" s="33">
        <f t="shared" si="4"/>
        <v>729.5400000000001</v>
      </c>
      <c r="K17" s="33">
        <f t="shared" si="5"/>
        <v>6343.46</v>
      </c>
      <c r="L17" s="33">
        <f>C17-(J17/20.2*26.2)</f>
        <v>6126.76495049505</v>
      </c>
      <c r="M17" s="42"/>
      <c r="N17" s="43"/>
    </row>
    <row r="18" spans="1:14" s="44" customFormat="1" ht="11.25" customHeight="1">
      <c r="A18" s="31" t="s">
        <v>23</v>
      </c>
      <c r="B18" s="32">
        <v>55160100</v>
      </c>
      <c r="C18" s="33">
        <v>16062</v>
      </c>
      <c r="D18" s="33">
        <v>536.89</v>
      </c>
      <c r="E18" s="33">
        <v>13.95</v>
      </c>
      <c r="F18" s="33">
        <v>79.3</v>
      </c>
      <c r="G18" s="33">
        <v>4.28</v>
      </c>
      <c r="H18" s="33">
        <f>'3-24-16'!H18+D18+F18</f>
        <v>11285.189999999997</v>
      </c>
      <c r="I18" s="33">
        <f>'3-24-16'!I18+E18+G18</f>
        <v>391.13999999999993</v>
      </c>
      <c r="J18" s="33">
        <f t="shared" si="4"/>
        <v>11676.329999999996</v>
      </c>
      <c r="K18" s="33">
        <f t="shared" si="5"/>
        <v>4385.670000000004</v>
      </c>
      <c r="L18" s="33">
        <f>C18-(J18/20.2*26.2)</f>
        <v>917.453168316837</v>
      </c>
      <c r="M18" s="42"/>
      <c r="N18" s="60"/>
    </row>
    <row r="19" spans="1:14" ht="24.75" customHeight="1">
      <c r="A19" s="75" t="s">
        <v>37</v>
      </c>
      <c r="B19" s="76"/>
      <c r="C19" s="49">
        <f>SUM(C16:C18)</f>
        <v>36675</v>
      </c>
      <c r="D19" s="49">
        <f aca="true" t="shared" si="6" ref="D19:L19">SUM(D16:D18)</f>
        <v>939.3399999999999</v>
      </c>
      <c r="E19" s="49">
        <f t="shared" si="6"/>
        <v>24.39</v>
      </c>
      <c r="F19" s="49">
        <f t="shared" si="6"/>
        <v>79.3</v>
      </c>
      <c r="G19" s="49">
        <f t="shared" si="6"/>
        <v>4.28</v>
      </c>
      <c r="H19" s="49">
        <f t="shared" si="6"/>
        <v>18242.289999999997</v>
      </c>
      <c r="I19" s="49">
        <f t="shared" si="6"/>
        <v>587.3899999999999</v>
      </c>
      <c r="J19" s="49">
        <f t="shared" si="6"/>
        <v>18829.679999999997</v>
      </c>
      <c r="K19" s="49">
        <f t="shared" si="6"/>
        <v>17845.320000000007</v>
      </c>
      <c r="L19" s="49">
        <f t="shared" si="6"/>
        <v>12252.345742574264</v>
      </c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28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38"/>
      <c r="N21" s="41"/>
    </row>
    <row r="22" spans="1:14" s="44" customFormat="1" ht="11.25" customHeight="1">
      <c r="A22" s="31" t="s">
        <v>21</v>
      </c>
      <c r="B22" s="32">
        <v>55090100</v>
      </c>
      <c r="C22" s="33">
        <v>26923</v>
      </c>
      <c r="D22" s="33">
        <v>0</v>
      </c>
      <c r="E22" s="33">
        <v>0</v>
      </c>
      <c r="F22" s="33">
        <v>171.76</v>
      </c>
      <c r="G22" s="33">
        <v>9.27</v>
      </c>
      <c r="H22" s="33">
        <f>'3-24-16'!H22+D22+F22</f>
        <v>24671.879999999994</v>
      </c>
      <c r="I22" s="33">
        <f>'3-24-16'!I22+E22+G22</f>
        <v>1132.23</v>
      </c>
      <c r="J22" s="33">
        <f t="shared" si="4"/>
        <v>25804.109999999993</v>
      </c>
      <c r="K22" s="33">
        <f t="shared" si="5"/>
        <v>1118.8900000000067</v>
      </c>
      <c r="L22" s="33">
        <f>C22-(J22/20.2*26.2)</f>
        <v>-6545.697128712862</v>
      </c>
      <c r="M22" s="42"/>
      <c r="N22" s="60"/>
    </row>
    <row r="23" spans="1:14" s="44" customFormat="1" ht="11.25" customHeight="1">
      <c r="A23" s="31" t="s">
        <v>22</v>
      </c>
      <c r="B23" s="32">
        <v>55100100</v>
      </c>
      <c r="C23" s="33">
        <v>2026</v>
      </c>
      <c r="D23" s="33">
        <v>0</v>
      </c>
      <c r="E23" s="33">
        <v>0</v>
      </c>
      <c r="F23" s="33">
        <v>85.88</v>
      </c>
      <c r="G23" s="33">
        <v>4.63</v>
      </c>
      <c r="H23" s="33">
        <f>'3-24-16'!H23+D23+F23</f>
        <v>813.6</v>
      </c>
      <c r="I23" s="33">
        <f>'3-24-16'!I23+E23+G23</f>
        <v>43.9</v>
      </c>
      <c r="J23" s="33">
        <f t="shared" si="4"/>
        <v>857.5</v>
      </c>
      <c r="K23" s="33">
        <f t="shared" si="5"/>
        <v>1168.5</v>
      </c>
      <c r="L23" s="33">
        <f>C23-(J23/20.2*26.2)</f>
        <v>913.7970297029703</v>
      </c>
      <c r="M23" s="42"/>
      <c r="N23" s="60"/>
    </row>
    <row r="24" spans="1:14" ht="24.75" customHeight="1">
      <c r="A24" s="75" t="s">
        <v>38</v>
      </c>
      <c r="B24" s="76"/>
      <c r="C24" s="49">
        <f>SUM(C22:C23)</f>
        <v>28949</v>
      </c>
      <c r="D24" s="49">
        <f aca="true" t="shared" si="7" ref="D24:L24">SUM(D22:D23)</f>
        <v>0</v>
      </c>
      <c r="E24" s="49">
        <f t="shared" si="7"/>
        <v>0</v>
      </c>
      <c r="F24" s="49">
        <f t="shared" si="7"/>
        <v>257.64</v>
      </c>
      <c r="G24" s="49">
        <f t="shared" si="7"/>
        <v>13.899999999999999</v>
      </c>
      <c r="H24" s="49">
        <f t="shared" si="7"/>
        <v>25485.479999999992</v>
      </c>
      <c r="I24" s="49">
        <f t="shared" si="7"/>
        <v>1176.13</v>
      </c>
      <c r="J24" s="49">
        <f t="shared" si="7"/>
        <v>26661.609999999993</v>
      </c>
      <c r="K24" s="49">
        <f t="shared" si="7"/>
        <v>2287.3900000000067</v>
      </c>
      <c r="L24" s="49">
        <f t="shared" si="7"/>
        <v>-5631.900099009891</v>
      </c>
      <c r="M24" s="38"/>
      <c r="N24" s="41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4" ht="11.2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8"/>
      <c r="N26" s="39"/>
    </row>
    <row r="27" spans="1:13" s="44" customFormat="1" ht="11.25" customHeight="1">
      <c r="A27" s="31" t="s">
        <v>26</v>
      </c>
      <c r="B27" s="32">
        <v>55130100</v>
      </c>
      <c r="C27" s="33">
        <v>4523</v>
      </c>
      <c r="D27" s="33">
        <v>100.04</v>
      </c>
      <c r="E27" s="33">
        <v>2.59</v>
      </c>
      <c r="F27" s="33">
        <v>0</v>
      </c>
      <c r="G27" s="33">
        <v>0</v>
      </c>
      <c r="H27" s="33">
        <f>'3-24-16'!H27+D27+F27</f>
        <v>2094.4700000000003</v>
      </c>
      <c r="I27" s="33">
        <f>'3-24-16'!I27+E27+G27</f>
        <v>54.31</v>
      </c>
      <c r="J27" s="33">
        <f>H27+I27</f>
        <v>2148.78</v>
      </c>
      <c r="K27" s="33">
        <f>C27-J27</f>
        <v>2374.22</v>
      </c>
      <c r="L27" s="33">
        <f>C27-(J27/20.2*26.2)</f>
        <v>1735.9685148514845</v>
      </c>
      <c r="M27" s="45"/>
    </row>
    <row r="28" spans="1:13" s="44" customFormat="1" ht="11.25" customHeight="1">
      <c r="A28" s="31" t="s">
        <v>30</v>
      </c>
      <c r="B28" s="32">
        <v>55140100</v>
      </c>
      <c r="C28" s="33">
        <v>2995</v>
      </c>
      <c r="D28" s="33">
        <v>0</v>
      </c>
      <c r="E28" s="33">
        <v>0</v>
      </c>
      <c r="F28" s="33">
        <v>0</v>
      </c>
      <c r="G28" s="33">
        <v>0</v>
      </c>
      <c r="H28" s="33">
        <f>'3-24-16'!H28+D28+F28</f>
        <v>2542.32</v>
      </c>
      <c r="I28" s="33">
        <f>'3-24-16'!I28+E28+G28</f>
        <v>137.11999999999998</v>
      </c>
      <c r="J28" s="33">
        <f>H28+I28</f>
        <v>2679.44</v>
      </c>
      <c r="K28" s="33">
        <f>C28-J28</f>
        <v>315.55999999999995</v>
      </c>
      <c r="L28" s="33">
        <f>C28-(J28/20.2*26.2)</f>
        <v>-480.3132673267328</v>
      </c>
      <c r="M28" s="45"/>
    </row>
    <row r="29" spans="1:14" s="44" customFormat="1" ht="24.75" customHeight="1">
      <c r="A29" s="75" t="s">
        <v>39</v>
      </c>
      <c r="B29" s="76"/>
      <c r="C29" s="49">
        <f aca="true" t="shared" si="8" ref="C29:L29">SUM(C27:C28)</f>
        <v>7518</v>
      </c>
      <c r="D29" s="49">
        <f t="shared" si="8"/>
        <v>100.04</v>
      </c>
      <c r="E29" s="49">
        <f t="shared" si="8"/>
        <v>2.59</v>
      </c>
      <c r="F29" s="49">
        <f t="shared" si="8"/>
        <v>0</v>
      </c>
      <c r="G29" s="49">
        <f t="shared" si="8"/>
        <v>0</v>
      </c>
      <c r="H29" s="49">
        <f t="shared" si="8"/>
        <v>4636.790000000001</v>
      </c>
      <c r="I29" s="49">
        <f t="shared" si="8"/>
        <v>191.42999999999998</v>
      </c>
      <c r="J29" s="62">
        <f t="shared" si="8"/>
        <v>4828.22</v>
      </c>
      <c r="K29" s="49">
        <f t="shared" si="8"/>
        <v>2689.7799999999997</v>
      </c>
      <c r="L29" s="49">
        <f t="shared" si="8"/>
        <v>1255.6552475247518</v>
      </c>
      <c r="M29" s="42"/>
      <c r="N29" s="43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8"/>
      <c r="N31" s="39"/>
    </row>
    <row r="32" spans="1:14" s="44" customFormat="1" ht="11.25" customHeight="1">
      <c r="A32" s="31" t="s">
        <v>34</v>
      </c>
      <c r="B32" s="32">
        <v>55010000</v>
      </c>
      <c r="C32" s="33">
        <f>24725-15347</f>
        <v>9378</v>
      </c>
      <c r="D32" s="33">
        <v>0</v>
      </c>
      <c r="E32" s="33">
        <v>0</v>
      </c>
      <c r="F32" s="33">
        <v>0</v>
      </c>
      <c r="G32" s="33">
        <v>0</v>
      </c>
      <c r="H32" s="33">
        <f>'3-24-16'!H32+D32+F32</f>
        <v>2356.77</v>
      </c>
      <c r="I32" s="33">
        <f>'3-24-16'!I32+E32+G32</f>
        <v>127.25</v>
      </c>
      <c r="J32" s="33">
        <f aca="true" t="shared" si="9" ref="J32:J38">H32+I32</f>
        <v>2484.02</v>
      </c>
      <c r="K32" s="33">
        <f aca="true" t="shared" si="10" ref="K32:K38">C32-J32</f>
        <v>6893.98</v>
      </c>
      <c r="L32" s="33">
        <f aca="true" t="shared" si="11" ref="L32:L38">C32-(J32/20.2*26.2)</f>
        <v>6156.152277227722</v>
      </c>
      <c r="M32" s="42"/>
      <c r="N32" s="43"/>
    </row>
    <row r="33" spans="1:14" s="44" customFormat="1" ht="11.25" customHeight="1">
      <c r="A33" s="31" t="s">
        <v>54</v>
      </c>
      <c r="B33" s="32" t="s">
        <v>53</v>
      </c>
      <c r="C33" s="33">
        <v>3000</v>
      </c>
      <c r="D33" s="33">
        <v>0</v>
      </c>
      <c r="E33" s="33">
        <v>0</v>
      </c>
      <c r="F33" s="33">
        <v>734.4</v>
      </c>
      <c r="G33" s="33">
        <v>39.65</v>
      </c>
      <c r="H33" s="33">
        <f>'3-24-16'!H33+D33+F33</f>
        <v>1718.4</v>
      </c>
      <c r="I33" s="33">
        <f>'3-24-16'!I33+E33+G33</f>
        <v>92.77</v>
      </c>
      <c r="J33" s="33">
        <f t="shared" si="9"/>
        <v>1811.17</v>
      </c>
      <c r="K33" s="33">
        <f t="shared" si="10"/>
        <v>1188.83</v>
      </c>
      <c r="L33" s="33">
        <f t="shared" si="11"/>
        <v>650.858712871287</v>
      </c>
      <c r="M33" s="42"/>
      <c r="N33" s="43"/>
    </row>
    <row r="34" spans="1:13" s="44" customFormat="1" ht="11.25" customHeight="1">
      <c r="A34" s="31" t="s">
        <v>31</v>
      </c>
      <c r="B34" s="32">
        <v>55080500</v>
      </c>
      <c r="C34" s="33">
        <v>10000</v>
      </c>
      <c r="D34" s="33">
        <f>-3870.36+252.5</f>
        <v>-3617.86</v>
      </c>
      <c r="E34" s="33">
        <f>-100.6+6.56</f>
        <v>-94.03999999999999</v>
      </c>
      <c r="F34" s="33">
        <v>0</v>
      </c>
      <c r="G34" s="33">
        <v>0</v>
      </c>
      <c r="H34" s="33">
        <f>'3-24-16'!H34+D34+F34</f>
        <v>252.50000000000045</v>
      </c>
      <c r="I34" s="33">
        <f>'3-24-16'!I34+E34+G34</f>
        <v>6.560000000000002</v>
      </c>
      <c r="J34" s="33">
        <f t="shared" si="9"/>
        <v>259.06000000000046</v>
      </c>
      <c r="K34" s="33">
        <f t="shared" si="10"/>
        <v>9740.939999999999</v>
      </c>
      <c r="L34" s="33">
        <f t="shared" si="11"/>
        <v>9663.991485148514</v>
      </c>
      <c r="M34" s="45"/>
    </row>
    <row r="35" spans="1:13" s="44" customFormat="1" ht="11.25" customHeight="1">
      <c r="A35" s="31" t="s">
        <v>32</v>
      </c>
      <c r="B35" s="32">
        <v>55050300</v>
      </c>
      <c r="C35" s="33">
        <v>15347</v>
      </c>
      <c r="D35" s="33">
        <v>419.17</v>
      </c>
      <c r="E35" s="33">
        <v>10.89</v>
      </c>
      <c r="F35" s="33">
        <v>560</v>
      </c>
      <c r="G35" s="33">
        <v>30.24</v>
      </c>
      <c r="H35" s="33">
        <f>'3-24-16'!H35+D35+F35</f>
        <v>14470.31</v>
      </c>
      <c r="I35" s="33">
        <f>'3-24-16'!I35+E35+G35</f>
        <v>741.2399999999999</v>
      </c>
      <c r="J35" s="33">
        <f t="shared" si="9"/>
        <v>15211.55</v>
      </c>
      <c r="K35" s="33">
        <f t="shared" si="10"/>
        <v>135.45000000000073</v>
      </c>
      <c r="L35" s="33">
        <f t="shared" si="11"/>
        <v>-4382.832178217821</v>
      </c>
      <c r="M35" s="45"/>
    </row>
    <row r="36" spans="1:13" s="44" customFormat="1" ht="11.25" customHeight="1">
      <c r="A36" s="31" t="s">
        <v>43</v>
      </c>
      <c r="B36" s="32">
        <v>55160300</v>
      </c>
      <c r="C36" s="33">
        <f>43385.81+42388.29</f>
        <v>85774.1</v>
      </c>
      <c r="D36" s="33">
        <v>0</v>
      </c>
      <c r="E36" s="33">
        <v>0</v>
      </c>
      <c r="F36" s="33">
        <v>3154.25</v>
      </c>
      <c r="G36" s="33">
        <v>170.32</v>
      </c>
      <c r="H36" s="33">
        <f>'3-24-16'!H36+D36+F36</f>
        <v>62454.200000000004</v>
      </c>
      <c r="I36" s="33">
        <f>'3-24-16'!I36+E36+G36</f>
        <v>3372.36</v>
      </c>
      <c r="J36" s="33">
        <f t="shared" si="9"/>
        <v>65826.56</v>
      </c>
      <c r="K36" s="33">
        <f t="shared" si="10"/>
        <v>19947.540000000008</v>
      </c>
      <c r="L36" s="33">
        <f t="shared" si="11"/>
        <v>395.0964356435725</v>
      </c>
      <c r="M36" s="45"/>
    </row>
    <row r="37" spans="1:13" s="44" customFormat="1" ht="15" customHeight="1" hidden="1">
      <c r="A37" s="31" t="s">
        <v>47</v>
      </c>
      <c r="B37" s="32">
        <v>55010100</v>
      </c>
      <c r="C37" s="33"/>
      <c r="D37" s="33"/>
      <c r="E37" s="33"/>
      <c r="F37" s="33"/>
      <c r="G37" s="33"/>
      <c r="H37" s="33">
        <f>'3-24-16'!H37+D37+F37</f>
        <v>-64.2</v>
      </c>
      <c r="I37" s="33">
        <f>'3-24-16'!I37+E37+G37</f>
        <v>-1.67</v>
      </c>
      <c r="J37" s="33">
        <f t="shared" si="9"/>
        <v>-65.87</v>
      </c>
      <c r="K37" s="33">
        <f t="shared" si="10"/>
        <v>65.87</v>
      </c>
      <c r="L37" s="33">
        <f t="shared" si="11"/>
        <v>85.43534653465348</v>
      </c>
      <c r="M37" s="45"/>
    </row>
    <row r="38" spans="1:13" s="44" customFormat="1" ht="11.25" customHeight="1">
      <c r="A38" s="31" t="s">
        <v>48</v>
      </c>
      <c r="B38" s="32" t="s">
        <v>49</v>
      </c>
      <c r="C38" s="33">
        <v>4086</v>
      </c>
      <c r="D38" s="33">
        <v>0</v>
      </c>
      <c r="E38" s="33">
        <v>0</v>
      </c>
      <c r="F38" s="33">
        <v>316.4</v>
      </c>
      <c r="G38" s="33">
        <v>17.08</v>
      </c>
      <c r="H38" s="33">
        <f>'3-24-16'!H38+D38+F38</f>
        <v>454.26</v>
      </c>
      <c r="I38" s="33">
        <f>'3-24-16'!I38+E38+G38</f>
        <v>24.52</v>
      </c>
      <c r="J38" s="33">
        <f t="shared" si="9"/>
        <v>478.78</v>
      </c>
      <c r="K38" s="33">
        <f t="shared" si="10"/>
        <v>3607.2200000000003</v>
      </c>
      <c r="L38" s="33">
        <f t="shared" si="11"/>
        <v>3465.008118811881</v>
      </c>
      <c r="M38" s="45"/>
    </row>
    <row r="39" spans="1:14" ht="24.75" customHeight="1">
      <c r="A39" s="75" t="s">
        <v>40</v>
      </c>
      <c r="B39" s="76"/>
      <c r="C39" s="49">
        <f aca="true" t="shared" si="12" ref="C39:L39">SUM(C32:C38)</f>
        <v>127585.1</v>
      </c>
      <c r="D39" s="49">
        <f t="shared" si="12"/>
        <v>-3198.69</v>
      </c>
      <c r="E39" s="49">
        <f t="shared" si="12"/>
        <v>-83.14999999999999</v>
      </c>
      <c r="F39" s="49">
        <f t="shared" si="12"/>
        <v>4765.049999999999</v>
      </c>
      <c r="G39" s="49">
        <f t="shared" si="12"/>
        <v>257.28999999999996</v>
      </c>
      <c r="H39" s="49">
        <f t="shared" si="12"/>
        <v>81642.24</v>
      </c>
      <c r="I39" s="49">
        <f t="shared" si="12"/>
        <v>4363.030000000001</v>
      </c>
      <c r="J39" s="62">
        <f t="shared" si="12"/>
        <v>86005.27</v>
      </c>
      <c r="K39" s="49">
        <f t="shared" si="12"/>
        <v>41579.83000000001</v>
      </c>
      <c r="L39" s="49">
        <f t="shared" si="12"/>
        <v>16033.71019801981</v>
      </c>
      <c r="M39" s="38"/>
      <c r="N39" s="39"/>
    </row>
    <row r="40" spans="1:14" ht="11.25" customHeight="1">
      <c r="A40" s="28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8"/>
      <c r="N40" s="39"/>
    </row>
    <row r="41" spans="1:14" ht="11.25" customHeight="1">
      <c r="A41" s="28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8"/>
      <c r="N41" s="39"/>
    </row>
    <row r="42" spans="1:14" ht="24.75" customHeight="1">
      <c r="A42" s="76" t="s">
        <v>42</v>
      </c>
      <c r="B42" s="76"/>
      <c r="C42" s="49">
        <f aca="true" t="shared" si="13" ref="C42:L42">C13+C19+C24+C29+C39</f>
        <v>402075.1</v>
      </c>
      <c r="D42" s="49">
        <f t="shared" si="13"/>
        <v>4127.08</v>
      </c>
      <c r="E42" s="49">
        <f t="shared" si="13"/>
        <v>107.15999999999998</v>
      </c>
      <c r="F42" s="49">
        <f t="shared" si="13"/>
        <v>5862.57</v>
      </c>
      <c r="G42" s="49">
        <f t="shared" si="13"/>
        <v>316.53</v>
      </c>
      <c r="H42" s="49">
        <f t="shared" si="13"/>
        <v>250557.34000000003</v>
      </c>
      <c r="I42" s="49">
        <f t="shared" si="13"/>
        <v>10136.2</v>
      </c>
      <c r="J42" s="49">
        <f t="shared" si="13"/>
        <v>260693.53999999998</v>
      </c>
      <c r="K42" s="49">
        <f t="shared" si="13"/>
        <v>141381.56000000003</v>
      </c>
      <c r="L42" s="49">
        <f t="shared" si="13"/>
        <v>63947.83524752477</v>
      </c>
      <c r="M42" s="38"/>
      <c r="N42" s="39"/>
    </row>
    <row r="43" spans="1:14" ht="11.25" customHeight="1">
      <c r="A43" s="54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38"/>
      <c r="N43" s="39"/>
    </row>
    <row r="44" spans="1:14" ht="11.25" customHeight="1">
      <c r="A44" s="54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38"/>
      <c r="N44" s="39"/>
    </row>
    <row r="45" spans="1:14" s="44" customFormat="1" ht="12" customHeight="1">
      <c r="A45" s="31" t="s">
        <v>27</v>
      </c>
      <c r="B45" s="31" t="s">
        <v>28</v>
      </c>
      <c r="C45" s="33">
        <v>61829</v>
      </c>
      <c r="D45" s="33">
        <v>1377.78</v>
      </c>
      <c r="E45" s="33">
        <v>35.81</v>
      </c>
      <c r="F45" s="33">
        <v>0</v>
      </c>
      <c r="G45" s="33">
        <v>0</v>
      </c>
      <c r="H45" s="33">
        <f>'3-24-16'!H45+D45+F45</f>
        <v>32204.759999999995</v>
      </c>
      <c r="I45" s="33">
        <f>'3-24-16'!I45+E45+G45</f>
        <v>1012.9700000000003</v>
      </c>
      <c r="J45" s="33">
        <f>H45+I45</f>
        <v>33217.729999999996</v>
      </c>
      <c r="K45" s="33">
        <f>C45-J45</f>
        <v>28611.270000000004</v>
      </c>
      <c r="L45" s="33">
        <f>C45-(J45/20.2*26.2)</f>
        <v>18744.61752475248</v>
      </c>
      <c r="M45" s="42"/>
      <c r="N45" s="43"/>
    </row>
    <row r="46" spans="1:14" ht="12" customHeight="1">
      <c r="A46" s="6"/>
      <c r="B46" s="6"/>
      <c r="C46" s="27"/>
      <c r="D46" s="27"/>
      <c r="E46" s="27"/>
      <c r="F46" s="27"/>
      <c r="G46" s="27"/>
      <c r="H46" s="27"/>
      <c r="I46" s="27"/>
      <c r="J46" s="33"/>
      <c r="K46" s="27"/>
      <c r="L46" s="27"/>
      <c r="M46" s="38"/>
      <c r="N46" s="39"/>
    </row>
    <row r="47" spans="1:14" ht="12" customHeight="1">
      <c r="A47" s="6" t="s">
        <v>29</v>
      </c>
      <c r="B47" s="6" t="s">
        <v>35</v>
      </c>
      <c r="C47" s="27">
        <v>15000</v>
      </c>
      <c r="D47" s="27">
        <v>0</v>
      </c>
      <c r="E47" s="27">
        <v>0</v>
      </c>
      <c r="F47" s="27">
        <v>585.52</v>
      </c>
      <c r="G47" s="27">
        <v>31.61</v>
      </c>
      <c r="H47" s="33">
        <f>'3-24-16'!H47+D47+F47</f>
        <v>11982.09</v>
      </c>
      <c r="I47" s="33">
        <f>'3-24-16'!I47+E47+G47</f>
        <v>646.9100000000002</v>
      </c>
      <c r="J47" s="33">
        <f>H47+I47</f>
        <v>12629</v>
      </c>
      <c r="K47" s="27">
        <f>C47-J47</f>
        <v>2371</v>
      </c>
      <c r="L47" s="33">
        <f>C47-(J47/20.2*26.2)</f>
        <v>-1380.1881188118805</v>
      </c>
      <c r="M47" s="38"/>
      <c r="N47" s="39"/>
    </row>
    <row r="48" spans="1:14" ht="12" customHeight="1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38"/>
      <c r="N48" s="39"/>
    </row>
    <row r="49" spans="1:14" ht="12" customHeight="1">
      <c r="A49" s="50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38"/>
      <c r="N49" s="39"/>
    </row>
    <row r="50" spans="1:14" ht="24.75" customHeight="1">
      <c r="A50" s="51" t="s">
        <v>41</v>
      </c>
      <c r="B50" s="52"/>
      <c r="C50" s="53">
        <f>C45+C47</f>
        <v>76829</v>
      </c>
      <c r="D50" s="53">
        <f aca="true" t="shared" si="14" ref="D50:L50">D45+D47</f>
        <v>1377.78</v>
      </c>
      <c r="E50" s="53">
        <f t="shared" si="14"/>
        <v>35.81</v>
      </c>
      <c r="F50" s="53">
        <f t="shared" si="14"/>
        <v>585.52</v>
      </c>
      <c r="G50" s="53">
        <f t="shared" si="14"/>
        <v>31.61</v>
      </c>
      <c r="H50" s="53">
        <f t="shared" si="14"/>
        <v>44186.84999999999</v>
      </c>
      <c r="I50" s="53">
        <f t="shared" si="14"/>
        <v>1659.8800000000006</v>
      </c>
      <c r="J50" s="53">
        <f t="shared" si="14"/>
        <v>45846.729999999996</v>
      </c>
      <c r="K50" s="53">
        <f t="shared" si="14"/>
        <v>30982.270000000004</v>
      </c>
      <c r="L50" s="53">
        <f t="shared" si="14"/>
        <v>17364.429405940602</v>
      </c>
      <c r="M50" s="38"/>
      <c r="N50" s="12"/>
    </row>
    <row r="51" spans="1:14" ht="24" customHeight="1">
      <c r="A51" s="9"/>
      <c r="B51" s="10"/>
      <c r="C51" s="11"/>
      <c r="H51" s="11"/>
      <c r="I51" s="11"/>
      <c r="J51" s="11"/>
      <c r="K51" s="11"/>
      <c r="L51" s="11"/>
      <c r="M51" s="38"/>
      <c r="N51" s="12"/>
    </row>
    <row r="52" spans="1:14" ht="33.75">
      <c r="A52" s="57" t="s">
        <v>44</v>
      </c>
      <c r="B52" s="58">
        <v>43385.81</v>
      </c>
      <c r="C52" s="13"/>
      <c r="D52" s="13"/>
      <c r="E52" s="13"/>
      <c r="F52" s="13"/>
      <c r="G52" s="13"/>
      <c r="H52" s="46"/>
      <c r="I52" s="46"/>
      <c r="J52" s="46"/>
      <c r="K52" s="46"/>
      <c r="L52" s="46"/>
      <c r="M52" s="38"/>
      <c r="N52" s="12"/>
    </row>
    <row r="53" spans="1:14" ht="33.75">
      <c r="A53" s="9" t="s">
        <v>45</v>
      </c>
      <c r="B53" s="58">
        <v>10000</v>
      </c>
      <c r="C53" s="16"/>
      <c r="D53" s="11"/>
      <c r="E53" s="11"/>
      <c r="F53" s="11"/>
      <c r="G53" s="11"/>
      <c r="H53" s="11"/>
      <c r="I53" s="2"/>
      <c r="J53" s="11"/>
      <c r="K53" s="11"/>
      <c r="L53" s="11"/>
      <c r="M53" s="38"/>
      <c r="N53" s="12"/>
    </row>
    <row r="54" spans="1:14" ht="22.5">
      <c r="A54" s="14" t="s">
        <v>46</v>
      </c>
      <c r="B54" s="58">
        <v>15347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2"/>
    </row>
    <row r="55" spans="1:14" ht="33.75">
      <c r="A55" s="14" t="s">
        <v>50</v>
      </c>
      <c r="B55" s="58">
        <v>5000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  <c r="N55" s="17"/>
    </row>
    <row r="56" spans="1:14" ht="22.5">
      <c r="A56" s="14" t="s">
        <v>52</v>
      </c>
      <c r="B56" s="58">
        <v>42388.29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  <c r="N56" s="12"/>
    </row>
    <row r="57" spans="1:14" ht="22.5" customHeight="1">
      <c r="A57" s="14"/>
      <c r="B57" s="1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8"/>
      <c r="N57" s="12"/>
    </row>
    <row r="58" spans="1:14" ht="15">
      <c r="A58" s="18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N58" s="12"/>
    </row>
    <row r="59" spans="1:14" ht="15" customHeight="1">
      <c r="A59" s="18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 customHeight="1">
      <c r="A60" s="19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15">
      <c r="A61" s="19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25.5" customHeight="1">
      <c r="A64" s="18"/>
      <c r="B64" s="10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12"/>
    </row>
    <row r="65" spans="1:14" ht="15" customHeight="1">
      <c r="A65" s="18"/>
      <c r="B65" s="10"/>
      <c r="C65" s="21"/>
      <c r="D65" s="21"/>
      <c r="E65" s="21"/>
      <c r="F65" s="21"/>
      <c r="G65" s="21"/>
      <c r="H65" s="21"/>
      <c r="I65" s="21"/>
      <c r="J65" s="21"/>
      <c r="K65" s="21"/>
      <c r="L65" s="21"/>
      <c r="N65" s="12"/>
    </row>
    <row r="66" spans="1:14" ht="15" customHeight="1">
      <c r="A66" s="20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12"/>
    </row>
    <row r="67" spans="1:14" ht="15" customHeight="1">
      <c r="A67" s="22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3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5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7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47"/>
      <c r="N72" s="24"/>
    </row>
    <row r="73" spans="1:14" ht="11.25" customHeight="1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47"/>
      <c r="N73" s="24"/>
    </row>
    <row r="74" spans="1:14" ht="11.25" customHeight="1">
      <c r="A74" s="22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N74" s="24"/>
    </row>
    <row r="75" spans="1:13" ht="15">
      <c r="A75" s="22"/>
      <c r="B75" s="22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36"/>
    </row>
    <row r="76" spans="1:13" ht="15">
      <c r="A76" s="22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36"/>
    </row>
    <row r="77" spans="1:12" ht="15">
      <c r="A77" s="22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4" s="35" customFormat="1" ht="15">
      <c r="A83" s="24"/>
      <c r="B83" s="24"/>
      <c r="C83" s="48"/>
      <c r="D83" s="48"/>
      <c r="E83" s="48"/>
      <c r="F83" s="48"/>
      <c r="G83" s="48"/>
      <c r="H83" s="48"/>
      <c r="I83" s="48"/>
      <c r="J83" s="48"/>
      <c r="K83" s="48"/>
      <c r="L83" s="48"/>
      <c r="N83" s="36"/>
    </row>
    <row r="84" spans="1:12" ht="15">
      <c r="A84" s="24"/>
      <c r="B84" s="24"/>
      <c r="C84" s="48"/>
      <c r="D84" s="48"/>
      <c r="E84" s="48"/>
      <c r="F84" s="48"/>
      <c r="G84" s="48"/>
      <c r="H84" s="48"/>
      <c r="I84" s="48"/>
      <c r="J84" s="48"/>
      <c r="K84" s="48"/>
      <c r="L84" s="48"/>
    </row>
  </sheetData>
  <sheetProtection/>
  <mergeCells count="6">
    <mergeCell ref="A13:B13"/>
    <mergeCell ref="A19:B19"/>
    <mergeCell ref="A24:B24"/>
    <mergeCell ref="A29:B29"/>
    <mergeCell ref="A39:B39"/>
    <mergeCell ref="A42:B4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9" sqref="C9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7.57421875" style="40" bestFit="1" customWidth="1"/>
    <col min="5" max="5" width="6.003906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7.421875" style="64" bestFit="1" customWidth="1"/>
    <col min="14" max="14" width="9.00390625" style="36" bestFit="1" customWidth="1"/>
    <col min="15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65"/>
    </row>
    <row r="3" spans="1:14" s="44" customFormat="1" ht="11.25" customHeight="1">
      <c r="A3" s="31" t="s">
        <v>11</v>
      </c>
      <c r="B3" s="32">
        <v>55010500</v>
      </c>
      <c r="C3" s="33">
        <f>9670-5000</f>
        <v>4670</v>
      </c>
      <c r="D3" s="33">
        <v>0</v>
      </c>
      <c r="E3" s="33">
        <v>0</v>
      </c>
      <c r="F3" s="33">
        <v>0</v>
      </c>
      <c r="G3" s="33">
        <v>0</v>
      </c>
      <c r="H3" s="33">
        <f>'4-07-16'!H3+D3+F3</f>
        <v>604.8</v>
      </c>
      <c r="I3" s="33">
        <f>'4-07-16'!I3+E3+G3</f>
        <v>32.629999999999995</v>
      </c>
      <c r="J3" s="63">
        <f>H3+I3</f>
        <v>637.43</v>
      </c>
      <c r="K3" s="33">
        <f>C3-J3</f>
        <v>4032.57</v>
      </c>
      <c r="L3" s="33">
        <f>C3-(J3/21.2*26.2)</f>
        <v>3882.2327358490566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v>32649</v>
      </c>
      <c r="D4" s="33">
        <v>561.15</v>
      </c>
      <c r="E4" s="33">
        <v>14.58</v>
      </c>
      <c r="F4" s="33">
        <v>0</v>
      </c>
      <c r="G4" s="33">
        <v>0</v>
      </c>
      <c r="H4" s="33">
        <f>'4-07-16'!H4+D4+F4</f>
        <v>8735.999999999998</v>
      </c>
      <c r="I4" s="33">
        <f>'4-07-16'!I4+E4+G4</f>
        <v>296.03000000000003</v>
      </c>
      <c r="J4" s="63">
        <f>H4+I4</f>
        <v>9032.029999999999</v>
      </c>
      <c r="K4" s="33">
        <f>C4-J4</f>
        <v>23616.97</v>
      </c>
      <c r="L4" s="33">
        <f aca="true" t="shared" si="0" ref="L4:L12">C4-(J4/21.2*26.2)</f>
        <v>21486.77424528302</v>
      </c>
      <c r="M4" s="66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f>187.65+760.99</f>
        <v>948.64</v>
      </c>
      <c r="E5" s="33">
        <f>4.87+19.78</f>
        <v>24.650000000000002</v>
      </c>
      <c r="F5" s="33">
        <v>0</v>
      </c>
      <c r="G5" s="33">
        <v>0</v>
      </c>
      <c r="H5" s="33">
        <f>'4-07-16'!H5+D5+F5</f>
        <v>10182.99</v>
      </c>
      <c r="I5" s="33">
        <f>'4-07-16'!I5+E5+G5</f>
        <v>264.54</v>
      </c>
      <c r="J5" s="63">
        <f aca="true" t="shared" si="1" ref="J5:J11">H5+I5</f>
        <v>10447.53</v>
      </c>
      <c r="K5" s="33">
        <f aca="true" t="shared" si="2" ref="K5:K11">C5-J5</f>
        <v>7526.469999999999</v>
      </c>
      <c r="L5" s="33">
        <f t="shared" si="0"/>
        <v>5062.429905660376</v>
      </c>
      <c r="M5" s="66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551.5</v>
      </c>
      <c r="E6" s="33">
        <v>14.33</v>
      </c>
      <c r="F6" s="33">
        <v>0</v>
      </c>
      <c r="G6" s="33">
        <v>0</v>
      </c>
      <c r="H6" s="33">
        <f>'4-07-16'!H6+D6+F6</f>
        <v>8909.860000000002</v>
      </c>
      <c r="I6" s="33">
        <f>'4-07-16'!I6+E6+G6</f>
        <v>231.34000000000003</v>
      </c>
      <c r="J6" s="63">
        <f>H6+I6</f>
        <v>9141.200000000003</v>
      </c>
      <c r="K6" s="33">
        <f t="shared" si="2"/>
        <v>8832.799999999997</v>
      </c>
      <c r="L6" s="33">
        <f t="shared" si="0"/>
        <v>6676.856603773582</v>
      </c>
      <c r="M6" s="66"/>
      <c r="N6" s="61"/>
    </row>
    <row r="7" spans="1:13" s="44" customFormat="1" ht="11.25" customHeight="1">
      <c r="A7" s="31" t="s">
        <v>15</v>
      </c>
      <c r="B7" s="32">
        <v>55030200</v>
      </c>
      <c r="C7" s="33">
        <v>24330</v>
      </c>
      <c r="D7" s="33">
        <v>706.66</v>
      </c>
      <c r="E7" s="33">
        <v>18.37</v>
      </c>
      <c r="F7" s="33">
        <v>0</v>
      </c>
      <c r="G7" s="33">
        <v>0</v>
      </c>
      <c r="H7" s="33">
        <f>'4-07-16'!H7+D7+F7</f>
        <v>14314.569999999998</v>
      </c>
      <c r="I7" s="33">
        <f>'4-07-16'!I7+E7+G7</f>
        <v>372.02000000000004</v>
      </c>
      <c r="J7" s="63">
        <f t="shared" si="1"/>
        <v>14686.589999999998</v>
      </c>
      <c r="K7" s="33">
        <f t="shared" si="2"/>
        <v>9643.410000000002</v>
      </c>
      <c r="L7" s="33">
        <f t="shared" si="0"/>
        <v>6179.591603773584</v>
      </c>
      <c r="M7" s="66"/>
    </row>
    <row r="8" spans="1:13" s="44" customFormat="1" ht="11.25" customHeight="1">
      <c r="A8" s="31" t="s">
        <v>16</v>
      </c>
      <c r="B8" s="32">
        <v>55050200</v>
      </c>
      <c r="C8" s="33">
        <f>29837</f>
        <v>29837</v>
      </c>
      <c r="D8" s="33">
        <v>2018.38</v>
      </c>
      <c r="E8" s="33">
        <v>52.47</v>
      </c>
      <c r="F8" s="33">
        <v>0</v>
      </c>
      <c r="G8" s="33">
        <v>0</v>
      </c>
      <c r="H8" s="33">
        <f>'4-07-16'!H8+D8+F8</f>
        <v>24231.210000000003</v>
      </c>
      <c r="I8" s="33">
        <f>'4-07-16'!I8+E8+G8</f>
        <v>776.4799999999999</v>
      </c>
      <c r="J8" s="63">
        <f t="shared" si="1"/>
        <v>25007.690000000002</v>
      </c>
      <c r="K8" s="33">
        <f t="shared" si="2"/>
        <v>4829.309999999998</v>
      </c>
      <c r="L8" s="33">
        <f t="shared" si="0"/>
        <v>-1068.7300943396294</v>
      </c>
      <c r="M8" s="66"/>
    </row>
    <row r="9" spans="1:13" s="44" customFormat="1" ht="11.25" customHeight="1">
      <c r="A9" s="31" t="s">
        <v>51</v>
      </c>
      <c r="B9" s="32">
        <v>55050400</v>
      </c>
      <c r="C9" s="33">
        <v>5000</v>
      </c>
      <c r="D9" s="33">
        <v>0</v>
      </c>
      <c r="E9" s="33">
        <v>0</v>
      </c>
      <c r="F9" s="33">
        <v>0</v>
      </c>
      <c r="G9" s="33">
        <v>0</v>
      </c>
      <c r="H9" s="33">
        <f>'4-07-16'!H9+D9+F9</f>
        <v>0</v>
      </c>
      <c r="I9" s="33">
        <f>'4-07-16'!I9+E9+G9</f>
        <v>0</v>
      </c>
      <c r="J9" s="63">
        <f t="shared" si="1"/>
        <v>0</v>
      </c>
      <c r="K9" s="33">
        <f t="shared" si="2"/>
        <v>5000</v>
      </c>
      <c r="L9" s="33">
        <f t="shared" si="0"/>
        <v>5000</v>
      </c>
      <c r="M9" s="66"/>
    </row>
    <row r="10" spans="1:14" s="44" customFormat="1" ht="11.25" customHeight="1">
      <c r="A10" s="31" t="s">
        <v>17</v>
      </c>
      <c r="B10" s="32">
        <v>55070100</v>
      </c>
      <c r="C10" s="33">
        <f>26873+10510+5358</f>
        <v>42741</v>
      </c>
      <c r="D10" s="33">
        <f>1457.88+-467.5</f>
        <v>990.3800000000001</v>
      </c>
      <c r="E10" s="33">
        <f>37.9+-12.15</f>
        <v>25.75</v>
      </c>
      <c r="F10" s="33">
        <v>954.75</v>
      </c>
      <c r="G10" s="33">
        <v>51.55</v>
      </c>
      <c r="H10" s="33">
        <f>'4-07-16'!H10+D10+F10</f>
        <v>42598.469999999994</v>
      </c>
      <c r="I10" s="33">
        <f>'4-07-16'!I10+E10+G10</f>
        <v>1504.3000000000002</v>
      </c>
      <c r="J10" s="63">
        <f t="shared" si="1"/>
        <v>44102.77</v>
      </c>
      <c r="K10" s="33">
        <f t="shared" si="2"/>
        <v>-1361.7699999999968</v>
      </c>
      <c r="L10" s="33">
        <f t="shared" si="0"/>
        <v>-11763.366698113205</v>
      </c>
      <c r="M10" s="66"/>
      <c r="N10" s="68"/>
    </row>
    <row r="11" spans="1:13" s="44" customFormat="1" ht="11.25" customHeight="1">
      <c r="A11" s="31" t="s">
        <v>18</v>
      </c>
      <c r="B11" s="32">
        <v>55070400</v>
      </c>
      <c r="C11" s="33">
        <v>3000</v>
      </c>
      <c r="D11" s="33">
        <v>0</v>
      </c>
      <c r="E11" s="33">
        <v>0</v>
      </c>
      <c r="F11" s="33">
        <v>0</v>
      </c>
      <c r="G11" s="33">
        <v>0</v>
      </c>
      <c r="H11" s="33">
        <f>'4-07-16'!H11+D11+F11</f>
        <v>0</v>
      </c>
      <c r="I11" s="33">
        <f>'4-07-16'!I11+E11+G11</f>
        <v>0</v>
      </c>
      <c r="J11" s="63">
        <f t="shared" si="1"/>
        <v>0</v>
      </c>
      <c r="K11" s="33">
        <f t="shared" si="2"/>
        <v>3000</v>
      </c>
      <c r="L11" s="33">
        <f t="shared" si="0"/>
        <v>3000</v>
      </c>
      <c r="M11" s="66"/>
    </row>
    <row r="12" spans="1:13" s="44" customFormat="1" ht="11.25" customHeight="1">
      <c r="A12" s="31" t="s">
        <v>20</v>
      </c>
      <c r="B12" s="32">
        <v>55080100</v>
      </c>
      <c r="C12" s="33">
        <v>23173</v>
      </c>
      <c r="D12" s="33">
        <v>787.21</v>
      </c>
      <c r="E12" s="33">
        <v>20.46</v>
      </c>
      <c r="F12" s="33">
        <v>0</v>
      </c>
      <c r="G12" s="33">
        <v>0</v>
      </c>
      <c r="H12" s="33">
        <f>'4-07-16'!H12+D12+F12</f>
        <v>18491.310000000005</v>
      </c>
      <c r="I12" s="33">
        <f>'4-07-16'!I12+E12+G12</f>
        <v>563.0400000000001</v>
      </c>
      <c r="J12" s="63">
        <f>H12+I12</f>
        <v>19054.350000000006</v>
      </c>
      <c r="K12" s="33">
        <f>C12-J12</f>
        <v>4118.649999999994</v>
      </c>
      <c r="L12" s="33">
        <f t="shared" si="0"/>
        <v>-375.3004716981195</v>
      </c>
      <c r="M12" s="66"/>
    </row>
    <row r="13" spans="1:14" ht="24.75" customHeight="1">
      <c r="A13" s="75" t="s">
        <v>36</v>
      </c>
      <c r="B13" s="76"/>
      <c r="C13" s="49">
        <f>SUM(C3:C12)</f>
        <v>201348</v>
      </c>
      <c r="D13" s="49">
        <f aca="true" t="shared" si="3" ref="D13:L13">SUM(D3:D12)</f>
        <v>6563.92</v>
      </c>
      <c r="E13" s="49">
        <f t="shared" si="3"/>
        <v>170.61</v>
      </c>
      <c r="F13" s="49">
        <f t="shared" si="3"/>
        <v>954.75</v>
      </c>
      <c r="G13" s="49">
        <f t="shared" si="3"/>
        <v>51.55</v>
      </c>
      <c r="H13" s="49">
        <f t="shared" si="3"/>
        <v>128069.20999999999</v>
      </c>
      <c r="I13" s="49">
        <f t="shared" si="3"/>
        <v>4040.38</v>
      </c>
      <c r="J13" s="49">
        <f t="shared" si="3"/>
        <v>132109.59</v>
      </c>
      <c r="K13" s="49">
        <f t="shared" si="3"/>
        <v>69238.41</v>
      </c>
      <c r="L13" s="49">
        <f t="shared" si="3"/>
        <v>38080.48783018868</v>
      </c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28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38"/>
      <c r="N15" s="39"/>
    </row>
    <row r="16" spans="1:14" s="44" customFormat="1" ht="11.25" customHeight="1">
      <c r="A16" s="31" t="s">
        <v>19</v>
      </c>
      <c r="B16" s="32">
        <v>55030100</v>
      </c>
      <c r="C16" s="33">
        <v>13540</v>
      </c>
      <c r="D16" s="33">
        <v>350.19</v>
      </c>
      <c r="E16" s="33">
        <v>9.1</v>
      </c>
      <c r="F16" s="33">
        <v>0</v>
      </c>
      <c r="G16" s="33">
        <v>0</v>
      </c>
      <c r="H16" s="33">
        <f>'4-07-16'!H16+D16+F16</f>
        <v>6596.119999999999</v>
      </c>
      <c r="I16" s="33">
        <f>'4-07-16'!I16+E16+G16</f>
        <v>186.98</v>
      </c>
      <c r="J16" s="63">
        <f aca="true" t="shared" si="4" ref="J16:J23">H16+I16</f>
        <v>6783.0999999999985</v>
      </c>
      <c r="K16" s="33">
        <f aca="true" t="shared" si="5" ref="K16:K23">C16-J16</f>
        <v>6756.9000000000015</v>
      </c>
      <c r="L16" s="33">
        <f>C16-(J16/21.2*26.2)</f>
        <v>5157.112264150945</v>
      </c>
      <c r="M16" s="42"/>
      <c r="N16" s="43"/>
    </row>
    <row r="17" spans="1:14" s="44" customFormat="1" ht="11.25" customHeight="1">
      <c r="A17" s="31" t="s">
        <v>33</v>
      </c>
      <c r="B17" s="32">
        <v>55110100</v>
      </c>
      <c r="C17" s="33">
        <v>7073</v>
      </c>
      <c r="D17" s="33">
        <v>66.92</v>
      </c>
      <c r="E17" s="33">
        <v>1.73</v>
      </c>
      <c r="F17" s="33">
        <v>0</v>
      </c>
      <c r="G17" s="33">
        <v>0</v>
      </c>
      <c r="H17" s="33">
        <f>'4-07-16'!H17+D17+F17</f>
        <v>778.09</v>
      </c>
      <c r="I17" s="33">
        <f>'4-07-16'!I17+E17+G17</f>
        <v>20.099999999999998</v>
      </c>
      <c r="J17" s="63">
        <f t="shared" si="4"/>
        <v>798.19</v>
      </c>
      <c r="K17" s="33">
        <f t="shared" si="5"/>
        <v>6274.8099999999995</v>
      </c>
      <c r="L17" s="33">
        <f>C17-(J17/21.2*26.2)</f>
        <v>6086.557641509434</v>
      </c>
      <c r="M17" s="42"/>
      <c r="N17" s="43"/>
    </row>
    <row r="18" spans="1:14" s="44" customFormat="1" ht="11.25" customHeight="1">
      <c r="A18" s="31" t="s">
        <v>23</v>
      </c>
      <c r="B18" s="32">
        <v>55160100</v>
      </c>
      <c r="C18" s="33">
        <v>16062</v>
      </c>
      <c r="D18" s="33">
        <v>726.43</v>
      </c>
      <c r="E18" s="33">
        <v>18.88</v>
      </c>
      <c r="F18" s="33">
        <v>44.05</v>
      </c>
      <c r="G18" s="33">
        <v>2.37</v>
      </c>
      <c r="H18" s="33">
        <f>'4-07-16'!H18+D18+F18</f>
        <v>12055.669999999996</v>
      </c>
      <c r="I18" s="33">
        <f>'4-07-16'!I18+E18+G18</f>
        <v>412.38999999999993</v>
      </c>
      <c r="J18" s="63">
        <f t="shared" si="4"/>
        <v>12468.059999999996</v>
      </c>
      <c r="K18" s="33">
        <f t="shared" si="5"/>
        <v>3593.940000000004</v>
      </c>
      <c r="L18" s="33">
        <f>C18-(J18/21.2*26.2)</f>
        <v>653.3598113207609</v>
      </c>
      <c r="M18" s="42"/>
      <c r="N18" s="60"/>
    </row>
    <row r="19" spans="1:14" ht="24.75" customHeight="1">
      <c r="A19" s="75" t="s">
        <v>37</v>
      </c>
      <c r="B19" s="76"/>
      <c r="C19" s="49">
        <f>SUM(C16:C18)</f>
        <v>36675</v>
      </c>
      <c r="D19" s="49">
        <f aca="true" t="shared" si="6" ref="D19:L19">SUM(D16:D18)</f>
        <v>1143.54</v>
      </c>
      <c r="E19" s="49">
        <f t="shared" si="6"/>
        <v>29.71</v>
      </c>
      <c r="F19" s="49">
        <f t="shared" si="6"/>
        <v>44.05</v>
      </c>
      <c r="G19" s="49">
        <f t="shared" si="6"/>
        <v>2.37</v>
      </c>
      <c r="H19" s="49">
        <f t="shared" si="6"/>
        <v>19429.879999999997</v>
      </c>
      <c r="I19" s="49">
        <f t="shared" si="6"/>
        <v>619.4699999999999</v>
      </c>
      <c r="J19" s="49">
        <f t="shared" si="6"/>
        <v>20049.349999999995</v>
      </c>
      <c r="K19" s="49">
        <f t="shared" si="6"/>
        <v>16625.650000000005</v>
      </c>
      <c r="L19" s="49">
        <f t="shared" si="6"/>
        <v>11897.02971698114</v>
      </c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28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38"/>
      <c r="N21" s="41"/>
    </row>
    <row r="22" spans="1:14" s="44" customFormat="1" ht="11.25" customHeight="1">
      <c r="A22" s="31" t="s">
        <v>21</v>
      </c>
      <c r="B22" s="32">
        <v>55090100</v>
      </c>
      <c r="C22" s="33">
        <v>26923</v>
      </c>
      <c r="D22" s="33">
        <v>0</v>
      </c>
      <c r="E22" s="33">
        <v>0</v>
      </c>
      <c r="F22" s="33">
        <v>0</v>
      </c>
      <c r="G22" s="33">
        <v>0</v>
      </c>
      <c r="H22" s="33">
        <f>'4-07-16'!H22+D22+F22</f>
        <v>24671.879999999994</v>
      </c>
      <c r="I22" s="33">
        <f>'4-07-16'!I22+E22+G22</f>
        <v>1132.23</v>
      </c>
      <c r="J22" s="63">
        <f t="shared" si="4"/>
        <v>25804.109999999993</v>
      </c>
      <c r="K22" s="33">
        <f t="shared" si="5"/>
        <v>1118.8900000000067</v>
      </c>
      <c r="L22" s="33">
        <f>C22-(J22/21.2*26.2)</f>
        <v>-4966.984999999993</v>
      </c>
      <c r="M22" s="42"/>
      <c r="N22" s="60"/>
    </row>
    <row r="23" spans="1:14" s="44" customFormat="1" ht="11.25" customHeight="1">
      <c r="A23" s="31" t="s">
        <v>22</v>
      </c>
      <c r="B23" s="32">
        <v>55100100</v>
      </c>
      <c r="C23" s="33">
        <v>2026</v>
      </c>
      <c r="D23" s="33">
        <v>0</v>
      </c>
      <c r="E23" s="33">
        <v>0</v>
      </c>
      <c r="F23" s="33">
        <v>58.76</v>
      </c>
      <c r="G23" s="33">
        <v>3.17</v>
      </c>
      <c r="H23" s="33">
        <f>'4-07-16'!H23+D23+F23</f>
        <v>872.36</v>
      </c>
      <c r="I23" s="33">
        <f>'4-07-16'!I23+E23+G23</f>
        <v>47.07</v>
      </c>
      <c r="J23" s="63">
        <f t="shared" si="4"/>
        <v>919.4300000000001</v>
      </c>
      <c r="K23" s="33">
        <f t="shared" si="5"/>
        <v>1106.57</v>
      </c>
      <c r="L23" s="33">
        <f>C23-(J23/21.2*26.2)</f>
        <v>889.7233018867923</v>
      </c>
      <c r="M23" s="42"/>
      <c r="N23" s="60"/>
    </row>
    <row r="24" spans="1:14" ht="24.75" customHeight="1">
      <c r="A24" s="75" t="s">
        <v>38</v>
      </c>
      <c r="B24" s="76"/>
      <c r="C24" s="49">
        <f>SUM(C22:C23)</f>
        <v>28949</v>
      </c>
      <c r="D24" s="49">
        <f aca="true" t="shared" si="7" ref="D24:L24">SUM(D22:D23)</f>
        <v>0</v>
      </c>
      <c r="E24" s="49">
        <f t="shared" si="7"/>
        <v>0</v>
      </c>
      <c r="F24" s="49">
        <f t="shared" si="7"/>
        <v>58.76</v>
      </c>
      <c r="G24" s="49">
        <f t="shared" si="7"/>
        <v>3.17</v>
      </c>
      <c r="H24" s="49">
        <f t="shared" si="7"/>
        <v>25544.239999999994</v>
      </c>
      <c r="I24" s="49">
        <f t="shared" si="7"/>
        <v>1179.3</v>
      </c>
      <c r="J24" s="49">
        <f t="shared" si="7"/>
        <v>26723.539999999994</v>
      </c>
      <c r="K24" s="49">
        <f t="shared" si="7"/>
        <v>2225.4600000000064</v>
      </c>
      <c r="L24" s="49">
        <f t="shared" si="7"/>
        <v>-4077.261698113201</v>
      </c>
      <c r="M24" s="38"/>
      <c r="N24" s="41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4" ht="11.2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8"/>
      <c r="N26" s="39"/>
    </row>
    <row r="27" spans="1:13" s="44" customFormat="1" ht="11.25" customHeight="1">
      <c r="A27" s="31" t="s">
        <v>26</v>
      </c>
      <c r="B27" s="32">
        <v>55130100</v>
      </c>
      <c r="C27" s="33">
        <v>4523</v>
      </c>
      <c r="D27" s="33">
        <v>90.41</v>
      </c>
      <c r="E27" s="33">
        <v>2.35</v>
      </c>
      <c r="F27" s="33">
        <v>0</v>
      </c>
      <c r="G27" s="33">
        <v>0</v>
      </c>
      <c r="H27" s="33">
        <f>'4-07-16'!H27+D27+F27</f>
        <v>2184.88</v>
      </c>
      <c r="I27" s="33">
        <f>'4-07-16'!I27+E27+G27</f>
        <v>56.660000000000004</v>
      </c>
      <c r="J27" s="63">
        <f>H27+I27</f>
        <v>2241.54</v>
      </c>
      <c r="K27" s="33">
        <f>C27-J27</f>
        <v>2281.46</v>
      </c>
      <c r="L27" s="33">
        <f>C27-(J27/21.2*26.2)</f>
        <v>1752.7949056603775</v>
      </c>
      <c r="M27" s="66"/>
    </row>
    <row r="28" spans="1:13" s="44" customFormat="1" ht="11.25" customHeight="1">
      <c r="A28" s="31" t="s">
        <v>30</v>
      </c>
      <c r="B28" s="32">
        <v>55140100</v>
      </c>
      <c r="C28" s="33">
        <v>2995</v>
      </c>
      <c r="D28" s="33">
        <v>0</v>
      </c>
      <c r="E28" s="33">
        <v>0</v>
      </c>
      <c r="F28" s="33">
        <v>0</v>
      </c>
      <c r="G28" s="33">
        <v>0</v>
      </c>
      <c r="H28" s="33">
        <f>'4-07-16'!H28+D28+F28</f>
        <v>2542.32</v>
      </c>
      <c r="I28" s="33">
        <f>'4-07-16'!I28+E28+G28</f>
        <v>137.11999999999998</v>
      </c>
      <c r="J28" s="63">
        <f>H28+I28</f>
        <v>2679.44</v>
      </c>
      <c r="K28" s="33">
        <f>C28-J28</f>
        <v>315.55999999999995</v>
      </c>
      <c r="L28" s="33">
        <f>C28-(J28/21.2*26.2)</f>
        <v>-316.38339622641524</v>
      </c>
      <c r="M28" s="66"/>
    </row>
    <row r="29" spans="1:14" s="44" customFormat="1" ht="24.75" customHeight="1">
      <c r="A29" s="75" t="s">
        <v>39</v>
      </c>
      <c r="B29" s="76"/>
      <c r="C29" s="49">
        <f aca="true" t="shared" si="8" ref="C29:L29">SUM(C27:C28)</f>
        <v>7518</v>
      </c>
      <c r="D29" s="49">
        <f t="shared" si="8"/>
        <v>90.41</v>
      </c>
      <c r="E29" s="49">
        <f t="shared" si="8"/>
        <v>2.35</v>
      </c>
      <c r="F29" s="49">
        <f t="shared" si="8"/>
        <v>0</v>
      </c>
      <c r="G29" s="49">
        <f t="shared" si="8"/>
        <v>0</v>
      </c>
      <c r="H29" s="49">
        <f t="shared" si="8"/>
        <v>4727.200000000001</v>
      </c>
      <c r="I29" s="49">
        <f t="shared" si="8"/>
        <v>193.77999999999997</v>
      </c>
      <c r="J29" s="62">
        <f t="shared" si="8"/>
        <v>4920.98</v>
      </c>
      <c r="K29" s="49">
        <f t="shared" si="8"/>
        <v>2597.02</v>
      </c>
      <c r="L29" s="49">
        <f t="shared" si="8"/>
        <v>1436.4115094339622</v>
      </c>
      <c r="M29" s="42"/>
      <c r="N29" s="43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8"/>
      <c r="N31" s="39"/>
    </row>
    <row r="32" spans="1:14" s="44" customFormat="1" ht="11.25" customHeight="1">
      <c r="A32" s="31" t="s">
        <v>34</v>
      </c>
      <c r="B32" s="32">
        <v>55010000</v>
      </c>
      <c r="C32" s="33">
        <f>24725-15347</f>
        <v>9378</v>
      </c>
      <c r="D32" s="33">
        <v>0</v>
      </c>
      <c r="E32" s="33">
        <v>0</v>
      </c>
      <c r="F32" s="33">
        <f>454.26+4.52</f>
        <v>458.78</v>
      </c>
      <c r="G32" s="33">
        <f>24.53+0.24</f>
        <v>24.77</v>
      </c>
      <c r="H32" s="33">
        <f>'4-07-16'!H32+D32+F32</f>
        <v>2815.55</v>
      </c>
      <c r="I32" s="33">
        <f>'4-07-16'!I32+E32+G32</f>
        <v>152.02</v>
      </c>
      <c r="J32" s="63">
        <f aca="true" t="shared" si="9" ref="J32:J38">H32+I32</f>
        <v>2967.57</v>
      </c>
      <c r="K32" s="33">
        <f aca="true" t="shared" si="10" ref="K32:K38">C32-J32</f>
        <v>6410.43</v>
      </c>
      <c r="L32" s="33">
        <f aca="true" t="shared" si="11" ref="L32:L38">C32-(J32/21.2*26.2)</f>
        <v>5710.5314150943395</v>
      </c>
      <c r="M32" s="42"/>
      <c r="N32" s="43"/>
    </row>
    <row r="33" spans="1:14" s="44" customFormat="1" ht="11.25" customHeight="1">
      <c r="A33" s="31" t="s">
        <v>54</v>
      </c>
      <c r="B33" s="32" t="s">
        <v>53</v>
      </c>
      <c r="C33" s="33">
        <v>3000</v>
      </c>
      <c r="D33" s="33">
        <v>0</v>
      </c>
      <c r="E33" s="33">
        <v>0</v>
      </c>
      <c r="F33" s="33">
        <v>765.6</v>
      </c>
      <c r="G33" s="33">
        <v>41.34</v>
      </c>
      <c r="H33" s="33">
        <f>'4-07-16'!H33+D33+F33</f>
        <v>2484</v>
      </c>
      <c r="I33" s="33">
        <f>'4-07-16'!I33+E33+G33</f>
        <v>134.11</v>
      </c>
      <c r="J33" s="63">
        <f t="shared" si="9"/>
        <v>2618.11</v>
      </c>
      <c r="K33" s="33">
        <f t="shared" si="10"/>
        <v>381.8899999999999</v>
      </c>
      <c r="L33" s="33">
        <f t="shared" si="11"/>
        <v>-235.58877358490554</v>
      </c>
      <c r="M33" s="42"/>
      <c r="N33" s="43"/>
    </row>
    <row r="34" spans="1:13" s="44" customFormat="1" ht="11.25" customHeight="1">
      <c r="A34" s="31" t="s">
        <v>31</v>
      </c>
      <c r="B34" s="32">
        <v>55080500</v>
      </c>
      <c r="C34" s="33">
        <v>10000</v>
      </c>
      <c r="D34" s="33">
        <v>120</v>
      </c>
      <c r="E34" s="33">
        <v>3.1</v>
      </c>
      <c r="F34" s="33">
        <v>0</v>
      </c>
      <c r="G34" s="33">
        <v>0</v>
      </c>
      <c r="H34" s="33">
        <f>'4-07-16'!H34+D34+F34</f>
        <v>372.50000000000045</v>
      </c>
      <c r="I34" s="33">
        <f>'4-07-16'!I34+E34+G34</f>
        <v>9.660000000000002</v>
      </c>
      <c r="J34" s="63">
        <f t="shared" si="9"/>
        <v>382.1600000000005</v>
      </c>
      <c r="K34" s="33">
        <f t="shared" si="10"/>
        <v>9617.84</v>
      </c>
      <c r="L34" s="33">
        <f t="shared" si="11"/>
        <v>9527.707924528302</v>
      </c>
      <c r="M34" s="66"/>
    </row>
    <row r="35" spans="1:13" s="44" customFormat="1" ht="11.25" customHeight="1">
      <c r="A35" s="31" t="s">
        <v>32</v>
      </c>
      <c r="B35" s="32">
        <v>55050300</v>
      </c>
      <c r="C35" s="33">
        <v>15347</v>
      </c>
      <c r="D35" s="33">
        <v>256.02</v>
      </c>
      <c r="E35" s="33">
        <v>6.65</v>
      </c>
      <c r="F35" s="33">
        <v>0</v>
      </c>
      <c r="G35" s="33">
        <v>0</v>
      </c>
      <c r="H35" s="33">
        <f>'4-07-16'!H35+D35+F35</f>
        <v>14726.33</v>
      </c>
      <c r="I35" s="33">
        <f>'4-07-16'!I35+E35+G35</f>
        <v>747.8899999999999</v>
      </c>
      <c r="J35" s="63">
        <f t="shared" si="9"/>
        <v>15474.22</v>
      </c>
      <c r="K35" s="33">
        <f t="shared" si="10"/>
        <v>-127.21999999999935</v>
      </c>
      <c r="L35" s="33">
        <f t="shared" si="11"/>
        <v>-3776.8001886792445</v>
      </c>
      <c r="M35" s="66"/>
    </row>
    <row r="36" spans="1:13" s="44" customFormat="1" ht="11.25" customHeight="1">
      <c r="A36" s="31" t="s">
        <v>43</v>
      </c>
      <c r="B36" s="32">
        <v>55160300</v>
      </c>
      <c r="C36" s="33">
        <f>43385.81+42388.29</f>
        <v>85774.1</v>
      </c>
      <c r="D36" s="33">
        <v>0</v>
      </c>
      <c r="E36" s="33">
        <v>0</v>
      </c>
      <c r="F36" s="33">
        <v>3154.25</v>
      </c>
      <c r="G36" s="33">
        <v>170.32</v>
      </c>
      <c r="H36" s="33">
        <f>'4-07-16'!H36+D36+F36</f>
        <v>65608.45000000001</v>
      </c>
      <c r="I36" s="33">
        <f>'4-07-16'!I36+E36+G36</f>
        <v>3542.6800000000003</v>
      </c>
      <c r="J36" s="63">
        <f t="shared" si="9"/>
        <v>69151.13</v>
      </c>
      <c r="K36" s="33">
        <f t="shared" si="10"/>
        <v>16622.97</v>
      </c>
      <c r="L36" s="33">
        <f t="shared" si="11"/>
        <v>313.74122641509166</v>
      </c>
      <c r="M36" s="66"/>
    </row>
    <row r="37" spans="1:13" s="44" customFormat="1" ht="15" customHeight="1" hidden="1">
      <c r="A37" s="31" t="s">
        <v>47</v>
      </c>
      <c r="B37" s="32">
        <v>55010100</v>
      </c>
      <c r="C37" s="33"/>
      <c r="D37" s="33"/>
      <c r="E37" s="33"/>
      <c r="F37" s="33"/>
      <c r="G37" s="33"/>
      <c r="H37" s="33">
        <f>'4-07-16'!H37+D37+F37</f>
        <v>-64.2</v>
      </c>
      <c r="I37" s="33">
        <f>'4-07-16'!I37+E37+G37</f>
        <v>-1.67</v>
      </c>
      <c r="J37" s="33">
        <f t="shared" si="9"/>
        <v>-65.87</v>
      </c>
      <c r="K37" s="33">
        <f t="shared" si="10"/>
        <v>65.87</v>
      </c>
      <c r="L37" s="33">
        <f t="shared" si="11"/>
        <v>81.40537735849057</v>
      </c>
      <c r="M37" s="66"/>
    </row>
    <row r="38" spans="1:13" s="44" customFormat="1" ht="11.25" customHeight="1">
      <c r="A38" s="31" t="s">
        <v>48</v>
      </c>
      <c r="B38" s="32" t="s">
        <v>49</v>
      </c>
      <c r="C38" s="33">
        <v>4086</v>
      </c>
      <c r="D38" s="33">
        <v>0</v>
      </c>
      <c r="E38" s="33">
        <v>0</v>
      </c>
      <c r="F38" s="33">
        <f>-454.26</f>
        <v>-454.26</v>
      </c>
      <c r="G38" s="33">
        <f>-24.52</f>
        <v>-24.52</v>
      </c>
      <c r="H38" s="33">
        <f>'4-07-16'!H38+D38+F38</f>
        <v>0</v>
      </c>
      <c r="I38" s="33">
        <f>'4-07-16'!I38+E38+G38</f>
        <v>0</v>
      </c>
      <c r="J38" s="63">
        <f t="shared" si="9"/>
        <v>0</v>
      </c>
      <c r="K38" s="33">
        <f t="shared" si="10"/>
        <v>4086</v>
      </c>
      <c r="L38" s="33">
        <f t="shared" si="11"/>
        <v>4086</v>
      </c>
      <c r="M38" s="66"/>
    </row>
    <row r="39" spans="1:14" ht="24.75" customHeight="1">
      <c r="A39" s="75" t="s">
        <v>40</v>
      </c>
      <c r="B39" s="76"/>
      <c r="C39" s="49">
        <f aca="true" t="shared" si="12" ref="C39:L39">SUM(C32:C38)</f>
        <v>127585.1</v>
      </c>
      <c r="D39" s="49">
        <f t="shared" si="12"/>
        <v>376.02</v>
      </c>
      <c r="E39" s="49">
        <f t="shared" si="12"/>
        <v>9.75</v>
      </c>
      <c r="F39" s="49">
        <f t="shared" si="12"/>
        <v>3924.37</v>
      </c>
      <c r="G39" s="49">
        <f t="shared" si="12"/>
        <v>211.91</v>
      </c>
      <c r="H39" s="49">
        <f t="shared" si="12"/>
        <v>85942.63000000002</v>
      </c>
      <c r="I39" s="49">
        <f t="shared" si="12"/>
        <v>4584.6900000000005</v>
      </c>
      <c r="J39" s="62">
        <f t="shared" si="12"/>
        <v>90527.32</v>
      </c>
      <c r="K39" s="49">
        <f t="shared" si="12"/>
        <v>37057.780000000006</v>
      </c>
      <c r="L39" s="49">
        <f t="shared" si="12"/>
        <v>15706.996981132075</v>
      </c>
      <c r="M39" s="38"/>
      <c r="N39" s="39"/>
    </row>
    <row r="40" spans="1:14" ht="11.25" customHeight="1">
      <c r="A40" s="28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8"/>
      <c r="N40" s="39"/>
    </row>
    <row r="41" spans="1:14" ht="11.25" customHeight="1">
      <c r="A41" s="28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8"/>
      <c r="N41" s="39"/>
    </row>
    <row r="42" spans="1:14" ht="24.75" customHeight="1">
      <c r="A42" s="76" t="s">
        <v>42</v>
      </c>
      <c r="B42" s="76"/>
      <c r="C42" s="49">
        <f aca="true" t="shared" si="13" ref="C42:L42">C13+C19+C24+C29+C39</f>
        <v>402075.1</v>
      </c>
      <c r="D42" s="49">
        <f t="shared" si="13"/>
        <v>8173.889999999999</v>
      </c>
      <c r="E42" s="49">
        <f t="shared" si="13"/>
        <v>212.42000000000002</v>
      </c>
      <c r="F42" s="49">
        <f t="shared" si="13"/>
        <v>4981.93</v>
      </c>
      <c r="G42" s="49">
        <f t="shared" si="13"/>
        <v>269</v>
      </c>
      <c r="H42" s="49">
        <f t="shared" si="13"/>
        <v>263713.16000000003</v>
      </c>
      <c r="I42" s="49">
        <f t="shared" si="13"/>
        <v>10617.62</v>
      </c>
      <c r="J42" s="49">
        <f t="shared" si="13"/>
        <v>274330.78</v>
      </c>
      <c r="K42" s="49">
        <f t="shared" si="13"/>
        <v>127744.32000000004</v>
      </c>
      <c r="L42" s="49">
        <f t="shared" si="13"/>
        <v>63043.66433962266</v>
      </c>
      <c r="M42" s="38"/>
      <c r="N42" s="39"/>
    </row>
    <row r="43" spans="1:14" ht="11.25" customHeight="1">
      <c r="A43" s="54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38"/>
      <c r="N43" s="39"/>
    </row>
    <row r="44" spans="1:14" ht="11.25" customHeight="1">
      <c r="A44" s="54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38"/>
      <c r="N44" s="39"/>
    </row>
    <row r="45" spans="1:14" s="44" customFormat="1" ht="12" customHeight="1">
      <c r="A45" s="31" t="s">
        <v>27</v>
      </c>
      <c r="B45" s="31" t="s">
        <v>28</v>
      </c>
      <c r="C45" s="33">
        <v>61829</v>
      </c>
      <c r="D45" s="33">
        <v>1225.85</v>
      </c>
      <c r="E45" s="33">
        <v>31.87</v>
      </c>
      <c r="F45" s="33">
        <v>0</v>
      </c>
      <c r="G45" s="33">
        <v>0</v>
      </c>
      <c r="H45" s="33">
        <f>'4-07-16'!H45+D45+F45</f>
        <v>33430.60999999999</v>
      </c>
      <c r="I45" s="33">
        <f>'4-07-16'!I45+E45+G45</f>
        <v>1044.8400000000001</v>
      </c>
      <c r="J45" s="63">
        <f>H45+I45</f>
        <v>34475.45</v>
      </c>
      <c r="K45" s="33">
        <f>C45-J45</f>
        <v>27353.550000000003</v>
      </c>
      <c r="L45" s="33">
        <f>C45-(J45/21.2*26.2)</f>
        <v>19222.54764150943</v>
      </c>
      <c r="M45" s="42"/>
      <c r="N45" s="43"/>
    </row>
    <row r="46" spans="1:14" ht="12" customHeight="1">
      <c r="A46" s="6"/>
      <c r="B46" s="6"/>
      <c r="C46" s="27"/>
      <c r="D46" s="27"/>
      <c r="E46" s="27"/>
      <c r="F46" s="27"/>
      <c r="G46" s="27"/>
      <c r="H46" s="27"/>
      <c r="I46" s="27"/>
      <c r="J46" s="33"/>
      <c r="K46" s="27"/>
      <c r="L46" s="27"/>
      <c r="M46" s="38"/>
      <c r="N46" s="39"/>
    </row>
    <row r="47" spans="1:14" ht="12" customHeight="1">
      <c r="A47" s="6" t="s">
        <v>29</v>
      </c>
      <c r="B47" s="6" t="s">
        <v>35</v>
      </c>
      <c r="C47" s="27">
        <v>15000</v>
      </c>
      <c r="D47" s="27">
        <v>0</v>
      </c>
      <c r="E47" s="27">
        <v>0</v>
      </c>
      <c r="F47" s="27">
        <v>689.2</v>
      </c>
      <c r="G47" s="27">
        <v>37.21</v>
      </c>
      <c r="H47" s="33">
        <f>'4-07-16'!H47+D47+F47</f>
        <v>12671.29</v>
      </c>
      <c r="I47" s="33">
        <f>'4-07-16'!I47+E47+G47</f>
        <v>684.1200000000002</v>
      </c>
      <c r="J47" s="63">
        <f>H47+I47</f>
        <v>13355.410000000002</v>
      </c>
      <c r="K47" s="27">
        <f>C47-J47</f>
        <v>1644.5899999999983</v>
      </c>
      <c r="L47" s="33">
        <f>C47-(J47/21.2*26.2)</f>
        <v>-1505.2708490566074</v>
      </c>
      <c r="M47" s="38"/>
      <c r="N47" s="39"/>
    </row>
    <row r="48" spans="1:14" ht="12" customHeight="1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38"/>
      <c r="N48" s="39"/>
    </row>
    <row r="49" spans="1:14" ht="12" customHeight="1">
      <c r="A49" s="50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38"/>
      <c r="N49" s="39"/>
    </row>
    <row r="50" spans="1:14" ht="24.75" customHeight="1">
      <c r="A50" s="51" t="s">
        <v>41</v>
      </c>
      <c r="B50" s="52"/>
      <c r="C50" s="53">
        <f>C45+C47</f>
        <v>76829</v>
      </c>
      <c r="D50" s="53">
        <f aca="true" t="shared" si="14" ref="D50:L50">D45+D47</f>
        <v>1225.85</v>
      </c>
      <c r="E50" s="53">
        <f t="shared" si="14"/>
        <v>31.87</v>
      </c>
      <c r="F50" s="53">
        <f t="shared" si="14"/>
        <v>689.2</v>
      </c>
      <c r="G50" s="53">
        <f t="shared" si="14"/>
        <v>37.21</v>
      </c>
      <c r="H50" s="53">
        <f t="shared" si="14"/>
        <v>46101.899999999994</v>
      </c>
      <c r="I50" s="53">
        <f t="shared" si="14"/>
        <v>1728.9600000000005</v>
      </c>
      <c r="J50" s="53">
        <f t="shared" si="14"/>
        <v>47830.86</v>
      </c>
      <c r="K50" s="53">
        <f t="shared" si="14"/>
        <v>28998.14</v>
      </c>
      <c r="L50" s="53">
        <f t="shared" si="14"/>
        <v>17717.276792452823</v>
      </c>
      <c r="M50" s="38"/>
      <c r="N50" s="12"/>
    </row>
    <row r="51" spans="1:14" ht="24" customHeight="1">
      <c r="A51" s="9"/>
      <c r="B51" s="10"/>
      <c r="C51" s="11"/>
      <c r="H51" s="11"/>
      <c r="I51" s="11"/>
      <c r="J51" s="11"/>
      <c r="K51" s="11"/>
      <c r="L51" s="11"/>
      <c r="M51" s="38"/>
      <c r="N51" s="12"/>
    </row>
    <row r="52" spans="1:14" ht="33.75">
      <c r="A52" s="57" t="s">
        <v>44</v>
      </c>
      <c r="B52" s="58">
        <v>43385.81</v>
      </c>
      <c r="C52" s="13"/>
      <c r="D52" s="13"/>
      <c r="E52" s="13"/>
      <c r="F52" s="13"/>
      <c r="G52" s="13"/>
      <c r="H52" s="46"/>
      <c r="I52" s="46"/>
      <c r="J52" s="46"/>
      <c r="K52" s="46"/>
      <c r="L52" s="46"/>
      <c r="M52" s="38"/>
      <c r="N52" s="12"/>
    </row>
    <row r="53" spans="1:14" ht="33.75">
      <c r="A53" s="9" t="s">
        <v>45</v>
      </c>
      <c r="B53" s="58">
        <v>10000</v>
      </c>
      <c r="C53" s="16"/>
      <c r="D53" s="11"/>
      <c r="E53" s="11"/>
      <c r="F53" s="11"/>
      <c r="G53" s="11"/>
      <c r="H53" s="11"/>
      <c r="I53" s="2"/>
      <c r="J53" s="11"/>
      <c r="K53" s="11"/>
      <c r="L53" s="11"/>
      <c r="M53" s="38"/>
      <c r="N53" s="12"/>
    </row>
    <row r="54" spans="1:14" ht="22.5">
      <c r="A54" s="14" t="s">
        <v>46</v>
      </c>
      <c r="B54" s="58">
        <v>15347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2"/>
    </row>
    <row r="55" spans="1:14" ht="33.75">
      <c r="A55" s="14" t="s">
        <v>50</v>
      </c>
      <c r="B55" s="58">
        <v>5000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  <c r="N55" s="17"/>
    </row>
    <row r="56" spans="1:14" ht="22.5">
      <c r="A56" s="14" t="s">
        <v>52</v>
      </c>
      <c r="B56" s="58">
        <v>42388.29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  <c r="N56" s="12"/>
    </row>
    <row r="57" spans="1:14" ht="22.5" customHeight="1">
      <c r="A57" s="14"/>
      <c r="B57" s="1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8"/>
      <c r="N57" s="12"/>
    </row>
    <row r="58" spans="1:14" ht="15">
      <c r="A58" s="18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N58" s="12"/>
    </row>
    <row r="59" spans="1:14" ht="15" customHeight="1">
      <c r="A59" s="18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 customHeight="1">
      <c r="A60" s="19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15">
      <c r="A61" s="19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25.5" customHeight="1">
      <c r="A64" s="18"/>
      <c r="B64" s="10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12"/>
    </row>
    <row r="65" spans="1:14" ht="15" customHeight="1">
      <c r="A65" s="18"/>
      <c r="B65" s="10"/>
      <c r="C65" s="21"/>
      <c r="D65" s="21"/>
      <c r="E65" s="21"/>
      <c r="F65" s="21"/>
      <c r="G65" s="21"/>
      <c r="H65" s="21"/>
      <c r="I65" s="21"/>
      <c r="J65" s="21"/>
      <c r="K65" s="21"/>
      <c r="L65" s="21"/>
      <c r="N65" s="12"/>
    </row>
    <row r="66" spans="1:14" ht="15" customHeight="1">
      <c r="A66" s="20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12"/>
    </row>
    <row r="67" spans="1:14" ht="15" customHeight="1">
      <c r="A67" s="22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3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5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7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47"/>
      <c r="N72" s="24"/>
    </row>
    <row r="73" spans="1:14" ht="11.25" customHeight="1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47"/>
      <c r="N73" s="24"/>
    </row>
    <row r="74" spans="1:14" ht="11.25" customHeight="1">
      <c r="A74" s="22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N74" s="24"/>
    </row>
    <row r="75" spans="1:13" ht="15">
      <c r="A75" s="22"/>
      <c r="B75" s="22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67"/>
    </row>
    <row r="76" spans="1:13" ht="15">
      <c r="A76" s="22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67"/>
    </row>
    <row r="77" spans="1:12" ht="15">
      <c r="A77" s="22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4" s="35" customFormat="1" ht="15">
      <c r="A83" s="24"/>
      <c r="B83" s="24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64"/>
      <c r="N83" s="36"/>
    </row>
    <row r="84" spans="1:12" ht="15">
      <c r="A84" s="24"/>
      <c r="B84" s="24"/>
      <c r="C84" s="48"/>
      <c r="D84" s="48"/>
      <c r="E84" s="48"/>
      <c r="F84" s="48"/>
      <c r="G84" s="48"/>
      <c r="H84" s="48"/>
      <c r="I84" s="48"/>
      <c r="J84" s="48"/>
      <c r="K84" s="48"/>
      <c r="L84" s="48"/>
    </row>
  </sheetData>
  <sheetProtection/>
  <mergeCells count="6">
    <mergeCell ref="A13:B13"/>
    <mergeCell ref="A19:B19"/>
    <mergeCell ref="A24:B24"/>
    <mergeCell ref="A29:B29"/>
    <mergeCell ref="A39:B39"/>
    <mergeCell ref="A42:B42"/>
  </mergeCells>
  <printOptions/>
  <pageMargins left="0.7" right="0.7" top="0.75" bottom="0.75" header="0.3" footer="0.3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7.5742187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s="44" customFormat="1" ht="11.25" customHeight="1">
      <c r="A3" s="31" t="s">
        <v>11</v>
      </c>
      <c r="B3" s="32">
        <v>55010500</v>
      </c>
      <c r="C3" s="33">
        <f>9670-5000-4032.57</f>
        <v>637.4299999999998</v>
      </c>
      <c r="D3" s="33">
        <v>0</v>
      </c>
      <c r="E3" s="33">
        <v>0</v>
      </c>
      <c r="F3" s="33">
        <v>0</v>
      </c>
      <c r="G3" s="33">
        <v>0</v>
      </c>
      <c r="H3" s="33">
        <f>'4-21-16'!H3+D3+F3</f>
        <v>604.8</v>
      </c>
      <c r="I3" s="33">
        <f>'4-21-16'!I3+E3+G3</f>
        <v>32.629999999999995</v>
      </c>
      <c r="J3" s="33">
        <f>H3+I3</f>
        <v>637.43</v>
      </c>
      <c r="K3" s="33">
        <f>C3-J3</f>
        <v>0</v>
      </c>
      <c r="L3" s="33">
        <f>C3-(J3/22.2*26.2)</f>
        <v>-114.85225225225236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f>32649-7500</f>
        <v>25149</v>
      </c>
      <c r="D4" s="33">
        <v>103.14</v>
      </c>
      <c r="E4" s="33">
        <v>2.68</v>
      </c>
      <c r="F4" s="33">
        <v>0</v>
      </c>
      <c r="G4" s="33">
        <v>0</v>
      </c>
      <c r="H4" s="33">
        <f>'4-21-16'!H4+D4+F4</f>
        <v>8839.139999999998</v>
      </c>
      <c r="I4" s="33">
        <f>'4-21-16'!I4+E4+G4</f>
        <v>298.71000000000004</v>
      </c>
      <c r="J4" s="33">
        <f>H4+I4</f>
        <v>9137.849999999999</v>
      </c>
      <c r="K4" s="33">
        <f>C4-J4</f>
        <v>16011.150000000001</v>
      </c>
      <c r="L4" s="33">
        <f aca="true" t="shared" si="0" ref="L4:L12">C4-(J4/22.2*26.2)</f>
        <v>14364.690540540543</v>
      </c>
      <c r="M4" s="45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477.49</v>
      </c>
      <c r="E5" s="33">
        <v>12.4</v>
      </c>
      <c r="F5" s="33">
        <v>0</v>
      </c>
      <c r="G5" s="33">
        <v>0</v>
      </c>
      <c r="H5" s="33">
        <f>'4-21-16'!H5+D5+F5</f>
        <v>10660.48</v>
      </c>
      <c r="I5" s="33">
        <f>'4-21-16'!I5+E5+G5</f>
        <v>276.94</v>
      </c>
      <c r="J5" s="33">
        <f aca="true" t="shared" si="1" ref="J5:J11">H5+I5</f>
        <v>10937.42</v>
      </c>
      <c r="K5" s="33">
        <f aca="true" t="shared" si="2" ref="K5:K11">C5-J5</f>
        <v>7036.58</v>
      </c>
      <c r="L5" s="33">
        <f t="shared" si="0"/>
        <v>5065.873693693693</v>
      </c>
      <c r="M5" s="45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432.15</v>
      </c>
      <c r="E6" s="33">
        <v>11.22</v>
      </c>
      <c r="F6" s="33">
        <v>0</v>
      </c>
      <c r="G6" s="33">
        <v>0</v>
      </c>
      <c r="H6" s="33">
        <f>'4-21-16'!H6+D6+F6</f>
        <v>9342.010000000002</v>
      </c>
      <c r="I6" s="33">
        <f>'4-21-16'!I6+E6+G6</f>
        <v>242.56000000000003</v>
      </c>
      <c r="J6" s="33">
        <f>H6+I6</f>
        <v>9584.570000000002</v>
      </c>
      <c r="K6" s="33">
        <f t="shared" si="2"/>
        <v>8389.429999999998</v>
      </c>
      <c r="L6" s="33">
        <f t="shared" si="0"/>
        <v>6662.480450450448</v>
      </c>
      <c r="M6" s="45"/>
      <c r="N6" s="61"/>
    </row>
    <row r="7" spans="1:13" s="44" customFormat="1" ht="11.25" customHeight="1">
      <c r="A7" s="31" t="s">
        <v>15</v>
      </c>
      <c r="B7" s="32">
        <v>55030200</v>
      </c>
      <c r="C7" s="33">
        <f>24330+7500</f>
        <v>31830</v>
      </c>
      <c r="D7" s="33">
        <v>723.84</v>
      </c>
      <c r="E7" s="33">
        <v>18.81</v>
      </c>
      <c r="F7" s="33">
        <v>0</v>
      </c>
      <c r="G7" s="33">
        <v>0</v>
      </c>
      <c r="H7" s="33">
        <f>'4-21-16'!H7+D7+F7</f>
        <v>15038.409999999998</v>
      </c>
      <c r="I7" s="33">
        <f>'4-21-16'!I7+E7+G7</f>
        <v>390.83000000000004</v>
      </c>
      <c r="J7" s="33">
        <f t="shared" si="1"/>
        <v>15429.239999999998</v>
      </c>
      <c r="K7" s="33">
        <f t="shared" si="2"/>
        <v>16400.760000000002</v>
      </c>
      <c r="L7" s="33">
        <f t="shared" si="0"/>
        <v>13620.71675675676</v>
      </c>
      <c r="M7" s="45"/>
    </row>
    <row r="8" spans="1:13" s="44" customFormat="1" ht="11.25" customHeight="1">
      <c r="A8" s="31" t="s">
        <v>16</v>
      </c>
      <c r="B8" s="32">
        <v>55050200</v>
      </c>
      <c r="C8" s="33">
        <f>29837-127.22</f>
        <v>29709.78</v>
      </c>
      <c r="D8" s="33">
        <v>1061.75</v>
      </c>
      <c r="E8" s="33">
        <v>27.59</v>
      </c>
      <c r="F8" s="33">
        <v>0</v>
      </c>
      <c r="G8" s="33">
        <v>0</v>
      </c>
      <c r="H8" s="33">
        <f>'4-21-16'!H8+D8+F8</f>
        <v>25292.960000000003</v>
      </c>
      <c r="I8" s="33">
        <f>'4-21-16'!I8+E8+G8</f>
        <v>804.0699999999999</v>
      </c>
      <c r="J8" s="33">
        <f t="shared" si="1"/>
        <v>26097.030000000002</v>
      </c>
      <c r="K8" s="33">
        <f t="shared" si="2"/>
        <v>3612.7499999999964</v>
      </c>
      <c r="L8" s="33">
        <f t="shared" si="0"/>
        <v>-1089.4175675675688</v>
      </c>
      <c r="M8" s="45"/>
    </row>
    <row r="9" spans="1:13" s="44" customFormat="1" ht="11.25" customHeight="1">
      <c r="A9" s="31" t="s">
        <v>51</v>
      </c>
      <c r="B9" s="32">
        <v>55050400</v>
      </c>
      <c r="C9" s="33">
        <v>5000</v>
      </c>
      <c r="D9" s="33">
        <f>1092.44+458.12</f>
        <v>1550.56</v>
      </c>
      <c r="E9" s="33">
        <v>11.91</v>
      </c>
      <c r="F9" s="33">
        <f>458.78+327.7</f>
        <v>786.48</v>
      </c>
      <c r="G9" s="33">
        <f>24.77+17.68</f>
        <v>42.45</v>
      </c>
      <c r="H9" s="33">
        <f>'4-21-16'!H9+D9+F9</f>
        <v>2337.04</v>
      </c>
      <c r="I9" s="33">
        <f>'4-21-16'!I9+E9+G9</f>
        <v>54.36</v>
      </c>
      <c r="J9" s="33">
        <f t="shared" si="1"/>
        <v>2391.4</v>
      </c>
      <c r="K9" s="33">
        <f t="shared" si="2"/>
        <v>2608.6</v>
      </c>
      <c r="L9" s="33">
        <f t="shared" si="0"/>
        <v>2177.7171171171167</v>
      </c>
      <c r="M9" s="45"/>
    </row>
    <row r="10" spans="1:13" s="44" customFormat="1" ht="11.25" customHeight="1">
      <c r="A10" s="31" t="s">
        <v>17</v>
      </c>
      <c r="B10" s="32">
        <v>55070100</v>
      </c>
      <c r="C10" s="33">
        <f>26873+10510+5358+3000+4032.57</f>
        <v>49773.57</v>
      </c>
      <c r="D10" s="33">
        <v>1048.93</v>
      </c>
      <c r="E10" s="33">
        <v>27.26</v>
      </c>
      <c r="F10" s="33">
        <v>653.25</v>
      </c>
      <c r="G10" s="33">
        <v>35.27</v>
      </c>
      <c r="H10" s="33">
        <f>'4-21-16'!H10+D10+F10</f>
        <v>44300.649999999994</v>
      </c>
      <c r="I10" s="33">
        <f>'4-21-16'!I10+E10+G10</f>
        <v>1566.8300000000002</v>
      </c>
      <c r="J10" s="33">
        <f t="shared" si="1"/>
        <v>45867.479999999996</v>
      </c>
      <c r="K10" s="33">
        <f t="shared" si="2"/>
        <v>3906.090000000004</v>
      </c>
      <c r="L10" s="33">
        <f t="shared" si="0"/>
        <v>-4358.320810810808</v>
      </c>
      <c r="M10" s="45"/>
    </row>
    <row r="11" spans="1:13" s="44" customFormat="1" ht="11.25" customHeight="1">
      <c r="A11" s="31" t="s">
        <v>18</v>
      </c>
      <c r="B11" s="32">
        <v>55070400</v>
      </c>
      <c r="C11" s="33">
        <f>3000-3000</f>
        <v>0</v>
      </c>
      <c r="D11" s="33">
        <v>0</v>
      </c>
      <c r="E11" s="33">
        <v>0</v>
      </c>
      <c r="F11" s="33">
        <v>0</v>
      </c>
      <c r="G11" s="33">
        <v>0</v>
      </c>
      <c r="H11" s="33">
        <f>'4-21-16'!H11+D11+F11</f>
        <v>0</v>
      </c>
      <c r="I11" s="33">
        <f>'4-21-16'!I11+E11+G11</f>
        <v>0</v>
      </c>
      <c r="J11" s="33">
        <f t="shared" si="1"/>
        <v>0</v>
      </c>
      <c r="K11" s="33">
        <f t="shared" si="2"/>
        <v>0</v>
      </c>
      <c r="L11" s="33">
        <f t="shared" si="0"/>
        <v>0</v>
      </c>
      <c r="M11" s="45"/>
    </row>
    <row r="12" spans="1:13" s="44" customFormat="1" ht="11.25" customHeight="1">
      <c r="A12" s="31" t="s">
        <v>20</v>
      </c>
      <c r="B12" s="32">
        <v>55080100</v>
      </c>
      <c r="C12" s="33">
        <v>23173</v>
      </c>
      <c r="D12" s="33">
        <v>410.87</v>
      </c>
      <c r="E12" s="33">
        <v>10.67</v>
      </c>
      <c r="F12" s="33">
        <v>0</v>
      </c>
      <c r="G12" s="33">
        <v>0</v>
      </c>
      <c r="H12" s="33">
        <f>'4-21-16'!H12+D12+F12</f>
        <v>18902.180000000004</v>
      </c>
      <c r="I12" s="33">
        <f>'4-21-16'!I12+E12+G12</f>
        <v>573.71</v>
      </c>
      <c r="J12" s="33">
        <f>H12+I12</f>
        <v>19475.890000000003</v>
      </c>
      <c r="K12" s="33">
        <f>C12-J12</f>
        <v>3697.109999999997</v>
      </c>
      <c r="L12" s="33">
        <f t="shared" si="0"/>
        <v>187.9406306306264</v>
      </c>
      <c r="M12" s="45"/>
    </row>
    <row r="13" spans="1:14" ht="24.75" customHeight="1">
      <c r="A13" s="75" t="s">
        <v>36</v>
      </c>
      <c r="B13" s="76"/>
      <c r="C13" s="49">
        <f>SUM(C3:C12)</f>
        <v>201220.78</v>
      </c>
      <c r="D13" s="49">
        <f aca="true" t="shared" si="3" ref="D13:L13">SUM(D3:D12)</f>
        <v>5808.7300000000005</v>
      </c>
      <c r="E13" s="49">
        <f t="shared" si="3"/>
        <v>122.54</v>
      </c>
      <c r="F13" s="49">
        <f t="shared" si="3"/>
        <v>1439.73</v>
      </c>
      <c r="G13" s="49">
        <f t="shared" si="3"/>
        <v>77.72</v>
      </c>
      <c r="H13" s="49">
        <f t="shared" si="3"/>
        <v>135317.66999999998</v>
      </c>
      <c r="I13" s="49">
        <f t="shared" si="3"/>
        <v>4240.64</v>
      </c>
      <c r="J13" s="49">
        <f t="shared" si="3"/>
        <v>139558.31</v>
      </c>
      <c r="K13" s="49">
        <f t="shared" si="3"/>
        <v>61662.47</v>
      </c>
      <c r="L13" s="49">
        <f t="shared" si="3"/>
        <v>36516.828558558555</v>
      </c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28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38"/>
      <c r="N15" s="39"/>
    </row>
    <row r="16" spans="1:14" s="44" customFormat="1" ht="11.25" customHeight="1">
      <c r="A16" s="31" t="s">
        <v>19</v>
      </c>
      <c r="B16" s="32">
        <v>55030100</v>
      </c>
      <c r="C16" s="33">
        <v>13540</v>
      </c>
      <c r="D16" s="33">
        <v>94.71</v>
      </c>
      <c r="E16" s="33">
        <v>2.46</v>
      </c>
      <c r="F16" s="33">
        <v>0</v>
      </c>
      <c r="G16" s="33">
        <v>0</v>
      </c>
      <c r="H16" s="33">
        <f>'4-21-16'!H16+D16+F16</f>
        <v>6690.829999999999</v>
      </c>
      <c r="I16" s="33">
        <f>'4-21-16'!I16+E16+G16</f>
        <v>189.44</v>
      </c>
      <c r="J16" s="33">
        <f aca="true" t="shared" si="4" ref="J16:J23">H16+I16</f>
        <v>6880.269999999999</v>
      </c>
      <c r="K16" s="33">
        <f aca="true" t="shared" si="5" ref="K16:K23">C16-J16</f>
        <v>6659.730000000001</v>
      </c>
      <c r="L16" s="33">
        <f>C16-(J16/22.2*26.2)</f>
        <v>5420.041711711713</v>
      </c>
      <c r="M16" s="42"/>
      <c r="N16" s="43"/>
    </row>
    <row r="17" spans="1:14" s="44" customFormat="1" ht="11.25" customHeight="1">
      <c r="A17" s="31" t="s">
        <v>33</v>
      </c>
      <c r="B17" s="32">
        <v>55110100</v>
      </c>
      <c r="C17" s="33">
        <v>7073</v>
      </c>
      <c r="D17" s="33">
        <v>6.22</v>
      </c>
      <c r="E17" s="33">
        <v>0.16</v>
      </c>
      <c r="F17" s="33">
        <v>0</v>
      </c>
      <c r="G17" s="33">
        <v>0</v>
      </c>
      <c r="H17" s="33">
        <f>'4-21-16'!H17+D17+F17</f>
        <v>784.3100000000001</v>
      </c>
      <c r="I17" s="33">
        <f>'4-21-16'!I17+E17+G17</f>
        <v>20.259999999999998</v>
      </c>
      <c r="J17" s="33">
        <f t="shared" si="4"/>
        <v>804.57</v>
      </c>
      <c r="K17" s="33">
        <f t="shared" si="5"/>
        <v>6268.43</v>
      </c>
      <c r="L17" s="33">
        <f>C17-(J17/22.2*26.2)</f>
        <v>6123.462432432432</v>
      </c>
      <c r="M17" s="42"/>
      <c r="N17" s="43"/>
    </row>
    <row r="18" spans="1:14" s="44" customFormat="1" ht="11.25" customHeight="1">
      <c r="A18" s="31" t="s">
        <v>23</v>
      </c>
      <c r="B18" s="32">
        <v>55160100</v>
      </c>
      <c r="C18" s="33">
        <v>16062</v>
      </c>
      <c r="D18" s="33">
        <f>-1092.44+161.64</f>
        <v>-930.8000000000001</v>
      </c>
      <c r="E18" s="33">
        <v>4.19</v>
      </c>
      <c r="F18" s="33">
        <v>85.9</v>
      </c>
      <c r="G18" s="33">
        <v>4.63</v>
      </c>
      <c r="H18" s="33">
        <f>'4-21-16'!H18+D18+F18</f>
        <v>11210.769999999997</v>
      </c>
      <c r="I18" s="33">
        <f>'4-21-16'!I18+E18+G18</f>
        <v>421.2099999999999</v>
      </c>
      <c r="J18" s="33">
        <f t="shared" si="4"/>
        <v>11631.979999999996</v>
      </c>
      <c r="K18" s="33">
        <f t="shared" si="5"/>
        <v>4430.020000000004</v>
      </c>
      <c r="L18" s="33">
        <f>C18-(J18/22.2*26.2)</f>
        <v>2334.1677477477515</v>
      </c>
      <c r="M18" s="42"/>
      <c r="N18" s="60"/>
    </row>
    <row r="19" spans="1:14" ht="24.75" customHeight="1">
      <c r="A19" s="75" t="s">
        <v>37</v>
      </c>
      <c r="B19" s="76"/>
      <c r="C19" s="49">
        <f>SUM(C16:C18)</f>
        <v>36675</v>
      </c>
      <c r="D19" s="49">
        <f aca="true" t="shared" si="6" ref="D19:L19">SUM(D16:D18)</f>
        <v>-829.8700000000001</v>
      </c>
      <c r="E19" s="49">
        <f t="shared" si="6"/>
        <v>6.8100000000000005</v>
      </c>
      <c r="F19" s="49">
        <f t="shared" si="6"/>
        <v>85.9</v>
      </c>
      <c r="G19" s="49">
        <f t="shared" si="6"/>
        <v>4.63</v>
      </c>
      <c r="H19" s="49">
        <f t="shared" si="6"/>
        <v>18685.909999999996</v>
      </c>
      <c r="I19" s="49">
        <f t="shared" si="6"/>
        <v>630.9099999999999</v>
      </c>
      <c r="J19" s="49">
        <f t="shared" si="6"/>
        <v>19316.819999999992</v>
      </c>
      <c r="K19" s="49">
        <f t="shared" si="6"/>
        <v>17358.180000000008</v>
      </c>
      <c r="L19" s="49">
        <f t="shared" si="6"/>
        <v>13877.671891891898</v>
      </c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28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38"/>
      <c r="N21" s="41"/>
    </row>
    <row r="22" spans="1:14" s="44" customFormat="1" ht="11.25" customHeight="1">
      <c r="A22" s="31" t="s">
        <v>21</v>
      </c>
      <c r="B22" s="32">
        <v>55090100</v>
      </c>
      <c r="C22" s="33">
        <v>26923</v>
      </c>
      <c r="D22" s="33">
        <v>0</v>
      </c>
      <c r="E22" s="33">
        <v>0</v>
      </c>
      <c r="F22" s="33">
        <v>0</v>
      </c>
      <c r="G22" s="33">
        <v>0</v>
      </c>
      <c r="H22" s="33">
        <f>'4-21-16'!H22+D22+F22</f>
        <v>24671.879999999994</v>
      </c>
      <c r="I22" s="33">
        <f>'4-21-16'!I22+E22+G22</f>
        <v>1132.23</v>
      </c>
      <c r="J22" s="33">
        <f t="shared" si="4"/>
        <v>25804.109999999993</v>
      </c>
      <c r="K22" s="33">
        <f t="shared" si="5"/>
        <v>1118.8900000000067</v>
      </c>
      <c r="L22" s="33">
        <f>C22-(J22/22.2*26.2)</f>
        <v>-3530.4991891891805</v>
      </c>
      <c r="M22" s="42"/>
      <c r="N22" s="60"/>
    </row>
    <row r="23" spans="1:14" s="44" customFormat="1" ht="11.25" customHeight="1">
      <c r="A23" s="31" t="s">
        <v>22</v>
      </c>
      <c r="B23" s="32">
        <v>55100100</v>
      </c>
      <c r="C23" s="33">
        <v>2026</v>
      </c>
      <c r="D23" s="33">
        <v>0</v>
      </c>
      <c r="E23" s="33">
        <v>0</v>
      </c>
      <c r="F23" s="33">
        <v>90.4</v>
      </c>
      <c r="G23" s="33">
        <v>4.87</v>
      </c>
      <c r="H23" s="33">
        <f>'4-21-16'!H23+D23+F23</f>
        <v>962.76</v>
      </c>
      <c r="I23" s="33">
        <f>'4-21-16'!I23+E23+G23</f>
        <v>51.94</v>
      </c>
      <c r="J23" s="33">
        <f t="shared" si="4"/>
        <v>1014.7</v>
      </c>
      <c r="K23" s="33">
        <f t="shared" si="5"/>
        <v>1011.3</v>
      </c>
      <c r="L23" s="33">
        <f>C23-(J23/22.2*26.2)</f>
        <v>828.4711711711711</v>
      </c>
      <c r="M23" s="42"/>
      <c r="N23" s="60"/>
    </row>
    <row r="24" spans="1:14" ht="24.75" customHeight="1">
      <c r="A24" s="75" t="s">
        <v>38</v>
      </c>
      <c r="B24" s="76"/>
      <c r="C24" s="49">
        <f>SUM(C22:C23)</f>
        <v>28949</v>
      </c>
      <c r="D24" s="49">
        <f aca="true" t="shared" si="7" ref="D24:L24">SUM(D22:D23)</f>
        <v>0</v>
      </c>
      <c r="E24" s="49">
        <f t="shared" si="7"/>
        <v>0</v>
      </c>
      <c r="F24" s="49">
        <f t="shared" si="7"/>
        <v>90.4</v>
      </c>
      <c r="G24" s="49">
        <f t="shared" si="7"/>
        <v>4.87</v>
      </c>
      <c r="H24" s="49">
        <f t="shared" si="7"/>
        <v>25634.639999999992</v>
      </c>
      <c r="I24" s="49">
        <f t="shared" si="7"/>
        <v>1184.17</v>
      </c>
      <c r="J24" s="49">
        <f t="shared" si="7"/>
        <v>26818.809999999994</v>
      </c>
      <c r="K24" s="49">
        <f t="shared" si="7"/>
        <v>2130.190000000007</v>
      </c>
      <c r="L24" s="49">
        <f t="shared" si="7"/>
        <v>-2702.0280180180093</v>
      </c>
      <c r="M24" s="38"/>
      <c r="N24" s="41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4" ht="11.2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8"/>
      <c r="N26" s="39"/>
    </row>
    <row r="27" spans="1:13" s="44" customFormat="1" ht="11.25" customHeight="1">
      <c r="A27" s="31" t="s">
        <v>26</v>
      </c>
      <c r="B27" s="32">
        <v>55130100</v>
      </c>
      <c r="C27" s="33">
        <v>4523</v>
      </c>
      <c r="D27" s="33">
        <v>72.76</v>
      </c>
      <c r="E27" s="33">
        <v>1.88</v>
      </c>
      <c r="F27" s="33">
        <v>0</v>
      </c>
      <c r="G27" s="33">
        <v>0</v>
      </c>
      <c r="H27" s="33">
        <f>'4-21-16'!H27+D27+F27</f>
        <v>2257.6400000000003</v>
      </c>
      <c r="I27" s="33">
        <f>'4-21-16'!I27+E27+G27</f>
        <v>58.540000000000006</v>
      </c>
      <c r="J27" s="33">
        <f>H27+I27</f>
        <v>2316.1800000000003</v>
      </c>
      <c r="K27" s="33">
        <f>C27-J27</f>
        <v>2206.8199999999997</v>
      </c>
      <c r="L27" s="33">
        <f>C27-(J27/22.2*26.2)</f>
        <v>1789.4902702702698</v>
      </c>
      <c r="M27" s="45"/>
    </row>
    <row r="28" spans="1:13" s="44" customFormat="1" ht="11.25" customHeight="1">
      <c r="A28" s="31" t="s">
        <v>30</v>
      </c>
      <c r="B28" s="32">
        <v>55140100</v>
      </c>
      <c r="C28" s="33">
        <v>2995</v>
      </c>
      <c r="D28" s="33">
        <v>0</v>
      </c>
      <c r="E28" s="33">
        <v>0</v>
      </c>
      <c r="F28" s="33">
        <v>0</v>
      </c>
      <c r="G28" s="33">
        <v>0</v>
      </c>
      <c r="H28" s="33">
        <f>'4-21-16'!H28+D28+F28</f>
        <v>2542.32</v>
      </c>
      <c r="I28" s="33">
        <f>'4-21-16'!I28+E28+G28</f>
        <v>137.11999999999998</v>
      </c>
      <c r="J28" s="33">
        <f>H28+I28</f>
        <v>2679.44</v>
      </c>
      <c r="K28" s="33">
        <f>C28-J28</f>
        <v>315.55999999999995</v>
      </c>
      <c r="L28" s="33">
        <f>C28-(J28/22.2*26.2)</f>
        <v>-167.22198198198203</v>
      </c>
      <c r="M28" s="45"/>
    </row>
    <row r="29" spans="1:14" s="44" customFormat="1" ht="24.75" customHeight="1">
      <c r="A29" s="75" t="s">
        <v>39</v>
      </c>
      <c r="B29" s="76"/>
      <c r="C29" s="49">
        <f aca="true" t="shared" si="8" ref="C29:L29">SUM(C27:C28)</f>
        <v>7518</v>
      </c>
      <c r="D29" s="49">
        <f t="shared" si="8"/>
        <v>72.76</v>
      </c>
      <c r="E29" s="49">
        <f t="shared" si="8"/>
        <v>1.88</v>
      </c>
      <c r="F29" s="49">
        <f t="shared" si="8"/>
        <v>0</v>
      </c>
      <c r="G29" s="49">
        <f t="shared" si="8"/>
        <v>0</v>
      </c>
      <c r="H29" s="49">
        <f t="shared" si="8"/>
        <v>4799.960000000001</v>
      </c>
      <c r="I29" s="49">
        <f t="shared" si="8"/>
        <v>195.65999999999997</v>
      </c>
      <c r="J29" s="62">
        <f t="shared" si="8"/>
        <v>4995.620000000001</v>
      </c>
      <c r="K29" s="49">
        <f t="shared" si="8"/>
        <v>2522.3799999999997</v>
      </c>
      <c r="L29" s="49">
        <f t="shared" si="8"/>
        <v>1622.2682882882877</v>
      </c>
      <c r="M29" s="42"/>
      <c r="N29" s="43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8"/>
      <c r="N31" s="39"/>
    </row>
    <row r="32" spans="1:14" s="44" customFormat="1" ht="11.25" customHeight="1">
      <c r="A32" s="31" t="s">
        <v>34</v>
      </c>
      <c r="B32" s="32">
        <v>55010000</v>
      </c>
      <c r="C32" s="33">
        <f>24725-15347</f>
        <v>9378</v>
      </c>
      <c r="D32" s="33">
        <v>0</v>
      </c>
      <c r="E32" s="33">
        <v>0</v>
      </c>
      <c r="F32" s="33">
        <f>-458.78</f>
        <v>-458.78</v>
      </c>
      <c r="G32" s="33">
        <f>-24.77</f>
        <v>-24.77</v>
      </c>
      <c r="H32" s="33">
        <f>'4-21-16'!H32+D32+F32</f>
        <v>2356.7700000000004</v>
      </c>
      <c r="I32" s="33">
        <f>'4-21-16'!I32+E32+G32</f>
        <v>127.25000000000001</v>
      </c>
      <c r="J32" s="33">
        <f aca="true" t="shared" si="9" ref="J32:J38">H32+I32</f>
        <v>2484.0200000000004</v>
      </c>
      <c r="K32" s="33">
        <f aca="true" t="shared" si="10" ref="K32:K38">C32-J32</f>
        <v>6893.98</v>
      </c>
      <c r="L32" s="33">
        <f aca="true" t="shared" si="11" ref="L32:L38">C32-(J32/22.2*26.2)</f>
        <v>6446.408828828828</v>
      </c>
      <c r="M32" s="42"/>
      <c r="N32" s="43"/>
    </row>
    <row r="33" spans="1:14" s="44" customFormat="1" ht="11.25" customHeight="1">
      <c r="A33" s="31" t="s">
        <v>54</v>
      </c>
      <c r="B33" s="32" t="s">
        <v>53</v>
      </c>
      <c r="C33" s="33">
        <v>3000</v>
      </c>
      <c r="D33" s="33">
        <v>0</v>
      </c>
      <c r="E33" s="33">
        <v>0</v>
      </c>
      <c r="F33" s="33">
        <v>0</v>
      </c>
      <c r="G33" s="33">
        <v>0</v>
      </c>
      <c r="H33" s="33">
        <f>'4-21-16'!H33+D33+F33</f>
        <v>2484</v>
      </c>
      <c r="I33" s="33">
        <f>'4-21-16'!I33+E33+G33</f>
        <v>134.11</v>
      </c>
      <c r="J33" s="33">
        <f t="shared" si="9"/>
        <v>2618.11</v>
      </c>
      <c r="K33" s="33">
        <f t="shared" si="10"/>
        <v>381.8899999999999</v>
      </c>
      <c r="L33" s="33">
        <f t="shared" si="11"/>
        <v>-89.84153153153193</v>
      </c>
      <c r="M33" s="42"/>
      <c r="N33" s="43"/>
    </row>
    <row r="34" spans="1:13" s="44" customFormat="1" ht="11.25" customHeight="1">
      <c r="A34" s="31" t="s">
        <v>31</v>
      </c>
      <c r="B34" s="32">
        <v>55080500</v>
      </c>
      <c r="C34" s="33">
        <v>10000</v>
      </c>
      <c r="D34" s="33">
        <f>675.19+409.13</f>
        <v>1084.3200000000002</v>
      </c>
      <c r="E34" s="33">
        <v>10.63</v>
      </c>
      <c r="F34" s="33">
        <v>0</v>
      </c>
      <c r="G34" s="33">
        <v>0</v>
      </c>
      <c r="H34" s="33">
        <f>'4-21-16'!H34+D34+F34</f>
        <v>1456.8200000000006</v>
      </c>
      <c r="I34" s="33">
        <f>'4-21-16'!I34+E34+G34</f>
        <v>20.290000000000003</v>
      </c>
      <c r="J34" s="33">
        <f t="shared" si="9"/>
        <v>1477.1100000000006</v>
      </c>
      <c r="K34" s="33">
        <f t="shared" si="10"/>
        <v>8522.89</v>
      </c>
      <c r="L34" s="33">
        <f t="shared" si="11"/>
        <v>8256.744054054054</v>
      </c>
      <c r="M34" s="45"/>
    </row>
    <row r="35" spans="1:13" s="44" customFormat="1" ht="11.25" customHeight="1">
      <c r="A35" s="31" t="s">
        <v>32</v>
      </c>
      <c r="B35" s="32">
        <v>55050300</v>
      </c>
      <c r="C35" s="33">
        <f>15347+127.22</f>
        <v>15474.22</v>
      </c>
      <c r="D35" s="33">
        <f>-675.19</f>
        <v>-675.19</v>
      </c>
      <c r="E35" s="33">
        <v>0</v>
      </c>
      <c r="F35" s="33">
        <v>0</v>
      </c>
      <c r="G35" s="33">
        <v>0</v>
      </c>
      <c r="H35" s="33">
        <f>'4-21-16'!H35+D35+F35</f>
        <v>14051.14</v>
      </c>
      <c r="I35" s="33">
        <f>'4-21-16'!I35+E35+G35</f>
        <v>747.8899999999999</v>
      </c>
      <c r="J35" s="33">
        <f t="shared" si="9"/>
        <v>14799.029999999999</v>
      </c>
      <c r="K35" s="33">
        <f t="shared" si="10"/>
        <v>675.1900000000005</v>
      </c>
      <c r="L35" s="33">
        <f t="shared" si="11"/>
        <v>-1991.3018918918915</v>
      </c>
      <c r="M35" s="45"/>
    </row>
    <row r="36" spans="1:13" s="44" customFormat="1" ht="11.25" customHeight="1">
      <c r="A36" s="31" t="s">
        <v>43</v>
      </c>
      <c r="B36" s="32">
        <v>55160300</v>
      </c>
      <c r="C36" s="33">
        <f>43385.81+42388.29</f>
        <v>85774.1</v>
      </c>
      <c r="D36" s="33">
        <v>0</v>
      </c>
      <c r="E36" s="33">
        <v>0</v>
      </c>
      <c r="F36" s="33">
        <v>3154.25</v>
      </c>
      <c r="G36" s="33">
        <v>170.32</v>
      </c>
      <c r="H36" s="33">
        <f>'4-21-16'!H36+D36+F36</f>
        <v>68762.70000000001</v>
      </c>
      <c r="I36" s="33">
        <f>'4-21-16'!I36+E36+G36</f>
        <v>3713.0000000000005</v>
      </c>
      <c r="J36" s="33">
        <f t="shared" si="9"/>
        <v>72475.70000000001</v>
      </c>
      <c r="K36" s="33">
        <f t="shared" si="10"/>
        <v>13298.399999999994</v>
      </c>
      <c r="L36" s="33">
        <f t="shared" si="11"/>
        <v>239.7153153153049</v>
      </c>
      <c r="M36" s="45"/>
    </row>
    <row r="37" spans="1:13" s="44" customFormat="1" ht="15" customHeight="1" hidden="1">
      <c r="A37" s="31" t="s">
        <v>47</v>
      </c>
      <c r="B37" s="32">
        <v>55010100</v>
      </c>
      <c r="C37" s="33"/>
      <c r="D37" s="33"/>
      <c r="E37" s="33"/>
      <c r="F37" s="33"/>
      <c r="G37" s="33"/>
      <c r="H37" s="33">
        <f>'4-21-16'!H37+D37+F37</f>
        <v>-64.2</v>
      </c>
      <c r="I37" s="33">
        <f>'4-21-16'!I37+E37+G37</f>
        <v>-1.67</v>
      </c>
      <c r="J37" s="33">
        <f t="shared" si="9"/>
        <v>-65.87</v>
      </c>
      <c r="K37" s="33">
        <f t="shared" si="10"/>
        <v>65.87</v>
      </c>
      <c r="L37" s="33">
        <f t="shared" si="11"/>
        <v>77.73846846846847</v>
      </c>
      <c r="M37" s="45"/>
    </row>
    <row r="38" spans="1:13" s="44" customFormat="1" ht="11.25" customHeight="1">
      <c r="A38" s="31" t="s">
        <v>48</v>
      </c>
      <c r="B38" s="32" t="s">
        <v>60</v>
      </c>
      <c r="C38" s="33">
        <v>4086</v>
      </c>
      <c r="D38" s="33">
        <v>0</v>
      </c>
      <c r="E38" s="33">
        <v>0</v>
      </c>
      <c r="F38" s="33">
        <v>0</v>
      </c>
      <c r="G38" s="33">
        <v>0</v>
      </c>
      <c r="H38" s="33">
        <f>'4-21-16'!H38+D38+F38</f>
        <v>0</v>
      </c>
      <c r="I38" s="33">
        <f>'4-21-16'!I38+E38+G38</f>
        <v>0</v>
      </c>
      <c r="J38" s="33">
        <f t="shared" si="9"/>
        <v>0</v>
      </c>
      <c r="K38" s="33">
        <f t="shared" si="10"/>
        <v>4086</v>
      </c>
      <c r="L38" s="33">
        <f t="shared" si="11"/>
        <v>4086</v>
      </c>
      <c r="M38" s="45"/>
    </row>
    <row r="39" spans="1:14" ht="24.75" customHeight="1">
      <c r="A39" s="75" t="s">
        <v>40</v>
      </c>
      <c r="B39" s="76"/>
      <c r="C39" s="49">
        <f aca="true" t="shared" si="12" ref="C39:L39">SUM(C32:C38)</f>
        <v>127712.32</v>
      </c>
      <c r="D39" s="49">
        <f t="shared" si="12"/>
        <v>409.1300000000001</v>
      </c>
      <c r="E39" s="49">
        <f t="shared" si="12"/>
        <v>10.63</v>
      </c>
      <c r="F39" s="49">
        <f t="shared" si="12"/>
        <v>2695.4700000000003</v>
      </c>
      <c r="G39" s="49">
        <f t="shared" si="12"/>
        <v>145.54999999999998</v>
      </c>
      <c r="H39" s="49">
        <f t="shared" si="12"/>
        <v>89047.23000000001</v>
      </c>
      <c r="I39" s="49">
        <f t="shared" si="12"/>
        <v>4740.870000000001</v>
      </c>
      <c r="J39" s="62">
        <f t="shared" si="12"/>
        <v>93788.10000000002</v>
      </c>
      <c r="K39" s="49">
        <f t="shared" si="12"/>
        <v>33924.21999999999</v>
      </c>
      <c r="L39" s="49">
        <f t="shared" si="12"/>
        <v>17025.463243243234</v>
      </c>
      <c r="M39" s="38"/>
      <c r="N39" s="39"/>
    </row>
    <row r="40" spans="1:14" ht="11.25" customHeight="1">
      <c r="A40" s="28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8"/>
      <c r="N40" s="39"/>
    </row>
    <row r="41" spans="1:14" ht="11.25" customHeight="1">
      <c r="A41" s="28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8"/>
      <c r="N41" s="39"/>
    </row>
    <row r="42" spans="1:14" ht="24.75" customHeight="1">
      <c r="A42" s="76" t="s">
        <v>42</v>
      </c>
      <c r="B42" s="76"/>
      <c r="C42" s="49">
        <f aca="true" t="shared" si="13" ref="C42:L42">C13+C19+C24+C29+C39</f>
        <v>402075.10000000003</v>
      </c>
      <c r="D42" s="49">
        <f t="shared" si="13"/>
        <v>5460.750000000001</v>
      </c>
      <c r="E42" s="49">
        <f t="shared" si="13"/>
        <v>141.85999999999999</v>
      </c>
      <c r="F42" s="49">
        <f t="shared" si="13"/>
        <v>4311.5</v>
      </c>
      <c r="G42" s="49">
        <f t="shared" si="13"/>
        <v>232.76999999999998</v>
      </c>
      <c r="H42" s="49">
        <f t="shared" si="13"/>
        <v>273485.41</v>
      </c>
      <c r="I42" s="49">
        <f t="shared" si="13"/>
        <v>10992.25</v>
      </c>
      <c r="J42" s="49">
        <f t="shared" si="13"/>
        <v>284477.66000000003</v>
      </c>
      <c r="K42" s="49">
        <f t="shared" si="13"/>
        <v>117597.44</v>
      </c>
      <c r="L42" s="49">
        <f t="shared" si="13"/>
        <v>66340.20396396396</v>
      </c>
      <c r="M42" s="38"/>
      <c r="N42" s="39"/>
    </row>
    <row r="43" spans="1:14" ht="11.25" customHeight="1">
      <c r="A43" s="54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38"/>
      <c r="N43" s="39"/>
    </row>
    <row r="44" spans="1:14" ht="11.25" customHeight="1">
      <c r="A44" s="54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38"/>
      <c r="N44" s="39"/>
    </row>
    <row r="45" spans="1:14" s="44" customFormat="1" ht="12" customHeight="1">
      <c r="A45" s="31" t="s">
        <v>27</v>
      </c>
      <c r="B45" s="31" t="s">
        <v>28</v>
      </c>
      <c r="C45" s="33">
        <v>61829</v>
      </c>
      <c r="D45" s="33">
        <v>707.2</v>
      </c>
      <c r="E45" s="33">
        <v>18.38</v>
      </c>
      <c r="F45" s="33">
        <v>0</v>
      </c>
      <c r="G45" s="33">
        <v>0</v>
      </c>
      <c r="H45" s="33">
        <f>'4-21-16'!H45+D45+F45</f>
        <v>34137.80999999999</v>
      </c>
      <c r="I45" s="33">
        <f>'4-21-16'!I45+E45+G45</f>
        <v>1063.2200000000003</v>
      </c>
      <c r="J45" s="33">
        <f>H45+I45</f>
        <v>35201.02999999999</v>
      </c>
      <c r="K45" s="33">
        <f>C45-J45</f>
        <v>26627.97000000001</v>
      </c>
      <c r="L45" s="33">
        <f>C45-(J45/22.2*26.2)</f>
        <v>20285.44207207208</v>
      </c>
      <c r="M45" s="42"/>
      <c r="N45" s="43"/>
    </row>
    <row r="46" spans="1:14" ht="12" customHeight="1">
      <c r="A46" s="6"/>
      <c r="B46" s="6"/>
      <c r="C46" s="27"/>
      <c r="D46" s="27"/>
      <c r="E46" s="27"/>
      <c r="F46" s="27"/>
      <c r="G46" s="27"/>
      <c r="H46" s="27"/>
      <c r="I46" s="27"/>
      <c r="J46" s="33"/>
      <c r="K46" s="27"/>
      <c r="L46" s="27"/>
      <c r="M46" s="38"/>
      <c r="N46" s="39"/>
    </row>
    <row r="47" spans="1:14" ht="12" customHeight="1">
      <c r="A47" s="6" t="s">
        <v>29</v>
      </c>
      <c r="B47" s="6" t="s">
        <v>35</v>
      </c>
      <c r="C47" s="27">
        <v>15000</v>
      </c>
      <c r="D47" s="27">
        <v>0</v>
      </c>
      <c r="E47" s="27">
        <v>0</v>
      </c>
      <c r="F47" s="27">
        <v>654.64</v>
      </c>
      <c r="G47" s="27">
        <v>35.34</v>
      </c>
      <c r="H47" s="33">
        <f>'4-21-16'!H47+D47+F47</f>
        <v>13325.93</v>
      </c>
      <c r="I47" s="33">
        <f>'4-21-16'!I47+E47+G47</f>
        <v>719.4600000000003</v>
      </c>
      <c r="J47" s="33">
        <f>H47+I47</f>
        <v>14045.390000000001</v>
      </c>
      <c r="K47" s="27">
        <f>C47-J47</f>
        <v>954.6099999999988</v>
      </c>
      <c r="L47" s="33">
        <f>C47-(J47/22.2*26.2)</f>
        <v>-1576.090900900901</v>
      </c>
      <c r="M47" s="38"/>
      <c r="N47" s="39"/>
    </row>
    <row r="48" spans="1:14" ht="12" customHeight="1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38"/>
      <c r="N48" s="39"/>
    </row>
    <row r="49" spans="1:14" ht="12" customHeight="1">
      <c r="A49" s="50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38"/>
      <c r="N49" s="39"/>
    </row>
    <row r="50" spans="1:14" ht="24.75" customHeight="1">
      <c r="A50" s="51" t="s">
        <v>41</v>
      </c>
      <c r="B50" s="52"/>
      <c r="C50" s="53">
        <f>C45+C47</f>
        <v>76829</v>
      </c>
      <c r="D50" s="53">
        <f aca="true" t="shared" si="14" ref="D50:L50">D45+D47</f>
        <v>707.2</v>
      </c>
      <c r="E50" s="53">
        <f t="shared" si="14"/>
        <v>18.38</v>
      </c>
      <c r="F50" s="53">
        <f t="shared" si="14"/>
        <v>654.64</v>
      </c>
      <c r="G50" s="53">
        <f t="shared" si="14"/>
        <v>35.34</v>
      </c>
      <c r="H50" s="53">
        <f t="shared" si="14"/>
        <v>47463.73999999999</v>
      </c>
      <c r="I50" s="53">
        <f t="shared" si="14"/>
        <v>1782.6800000000005</v>
      </c>
      <c r="J50" s="53">
        <f t="shared" si="14"/>
        <v>49246.41999999999</v>
      </c>
      <c r="K50" s="53">
        <f t="shared" si="14"/>
        <v>27582.58000000001</v>
      </c>
      <c r="L50" s="53">
        <f t="shared" si="14"/>
        <v>18709.35117117118</v>
      </c>
      <c r="M50" s="38"/>
      <c r="N50" s="12"/>
    </row>
    <row r="51" spans="1:14" ht="24" customHeight="1">
      <c r="A51" s="9"/>
      <c r="B51" s="10"/>
      <c r="C51" s="11"/>
      <c r="H51" s="11"/>
      <c r="I51" s="11"/>
      <c r="J51" s="11"/>
      <c r="K51" s="11"/>
      <c r="L51" s="11"/>
      <c r="M51" s="38"/>
      <c r="N51" s="12"/>
    </row>
    <row r="52" spans="1:14" ht="33.75">
      <c r="A52" s="57" t="s">
        <v>44</v>
      </c>
      <c r="B52" s="58">
        <v>43385.81</v>
      </c>
      <c r="C52" s="13"/>
      <c r="D52" s="13"/>
      <c r="E52" s="13"/>
      <c r="F52" s="13"/>
      <c r="G52" s="13"/>
      <c r="H52" s="46"/>
      <c r="I52" s="46"/>
      <c r="J52" s="46"/>
      <c r="K52" s="46"/>
      <c r="L52" s="46"/>
      <c r="M52" s="38"/>
      <c r="N52" s="12"/>
    </row>
    <row r="53" spans="1:14" ht="33.75">
      <c r="A53" s="9" t="s">
        <v>45</v>
      </c>
      <c r="B53" s="58">
        <v>10000</v>
      </c>
      <c r="C53" s="16"/>
      <c r="D53" s="11"/>
      <c r="E53" s="11"/>
      <c r="F53" s="11"/>
      <c r="G53" s="11"/>
      <c r="H53" s="11"/>
      <c r="I53" s="2"/>
      <c r="J53" s="11"/>
      <c r="K53" s="11"/>
      <c r="L53" s="11"/>
      <c r="M53" s="38"/>
      <c r="N53" s="12"/>
    </row>
    <row r="54" spans="1:14" ht="22.5">
      <c r="A54" s="14" t="s">
        <v>46</v>
      </c>
      <c r="B54" s="58">
        <v>15347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2"/>
    </row>
    <row r="55" spans="1:14" ht="33.75">
      <c r="A55" s="14" t="s">
        <v>50</v>
      </c>
      <c r="B55" s="58">
        <v>5000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  <c r="N55" s="17"/>
    </row>
    <row r="56" spans="1:14" ht="22.5">
      <c r="A56" s="14" t="s">
        <v>55</v>
      </c>
      <c r="B56" s="58">
        <v>42388.29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  <c r="N56" s="12"/>
    </row>
    <row r="57" spans="1:14" ht="22.5" customHeight="1">
      <c r="A57" s="57" t="s">
        <v>56</v>
      </c>
      <c r="B57" s="58">
        <v>127.22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8"/>
      <c r="N57" s="12"/>
    </row>
    <row r="58" spans="1:14" ht="22.5">
      <c r="A58" s="57" t="s">
        <v>57</v>
      </c>
      <c r="B58" s="58">
        <v>7500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N58" s="12"/>
    </row>
    <row r="59" spans="1:14" ht="23.25">
      <c r="A59" s="18" t="s">
        <v>58</v>
      </c>
      <c r="B59" s="58">
        <v>3000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23.25">
      <c r="A60" s="18" t="s">
        <v>59</v>
      </c>
      <c r="B60" s="58">
        <v>4032.57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15">
      <c r="A61" s="19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25.5" customHeight="1">
      <c r="A64" s="18"/>
      <c r="B64" s="10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12"/>
    </row>
    <row r="65" spans="1:14" ht="15" customHeight="1">
      <c r="A65" s="18"/>
      <c r="B65" s="10"/>
      <c r="C65" s="21"/>
      <c r="D65" s="21"/>
      <c r="E65" s="21"/>
      <c r="F65" s="21"/>
      <c r="G65" s="21"/>
      <c r="H65" s="21"/>
      <c r="I65" s="21"/>
      <c r="J65" s="21"/>
      <c r="K65" s="21"/>
      <c r="L65" s="21"/>
      <c r="N65" s="12"/>
    </row>
    <row r="66" spans="1:14" ht="15" customHeight="1">
      <c r="A66" s="20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12"/>
    </row>
    <row r="67" spans="1:14" ht="15" customHeight="1">
      <c r="A67" s="22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3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5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7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47"/>
      <c r="N72" s="24"/>
    </row>
    <row r="73" spans="1:14" ht="11.25" customHeight="1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47"/>
      <c r="N73" s="24"/>
    </row>
    <row r="74" spans="1:14" ht="11.25" customHeight="1">
      <c r="A74" s="22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N74" s="24"/>
    </row>
    <row r="75" spans="1:13" ht="15">
      <c r="A75" s="22"/>
      <c r="B75" s="22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36"/>
    </row>
    <row r="76" spans="1:13" ht="15">
      <c r="A76" s="22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36"/>
    </row>
    <row r="77" spans="1:12" ht="15">
      <c r="A77" s="22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4" s="35" customFormat="1" ht="15">
      <c r="A83" s="24"/>
      <c r="B83" s="24"/>
      <c r="C83" s="48"/>
      <c r="D83" s="48"/>
      <c r="E83" s="48"/>
      <c r="F83" s="48"/>
      <c r="G83" s="48"/>
      <c r="H83" s="48"/>
      <c r="I83" s="48"/>
      <c r="J83" s="48"/>
      <c r="K83" s="48"/>
      <c r="L83" s="48"/>
      <c r="N83" s="36"/>
    </row>
    <row r="84" spans="1:12" ht="15">
      <c r="A84" s="24"/>
      <c r="B84" s="24"/>
      <c r="C84" s="48"/>
      <c r="D84" s="48"/>
      <c r="E84" s="48"/>
      <c r="F84" s="48"/>
      <c r="G84" s="48"/>
      <c r="H84" s="48"/>
      <c r="I84" s="48"/>
      <c r="J84" s="48"/>
      <c r="K84" s="48"/>
      <c r="L84" s="48"/>
    </row>
  </sheetData>
  <sheetProtection/>
  <mergeCells count="6">
    <mergeCell ref="A13:B13"/>
    <mergeCell ref="A19:B19"/>
    <mergeCell ref="A24:B24"/>
    <mergeCell ref="A29:B29"/>
    <mergeCell ref="A39:B39"/>
    <mergeCell ref="A42:B4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L20" sqref="L20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8.14062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s="44" customFormat="1" ht="11.25" customHeight="1">
      <c r="A3" s="31" t="s">
        <v>11</v>
      </c>
      <c r="B3" s="32">
        <v>55010500</v>
      </c>
      <c r="C3" s="33">
        <f>9670-5000-4032.57</f>
        <v>637.4299999999998</v>
      </c>
      <c r="D3" s="33">
        <v>0</v>
      </c>
      <c r="E3" s="33">
        <v>0</v>
      </c>
      <c r="F3" s="33">
        <v>0</v>
      </c>
      <c r="G3" s="33">
        <v>0</v>
      </c>
      <c r="H3" s="33">
        <f>'5-5-16'!H3+D3+F3</f>
        <v>604.8</v>
      </c>
      <c r="I3" s="33">
        <f>'5-5-16'!I3+E3+G3</f>
        <v>32.629999999999995</v>
      </c>
      <c r="J3" s="33">
        <f>H3+I3</f>
        <v>637.43</v>
      </c>
      <c r="K3" s="33">
        <f>C3-J3</f>
        <v>0</v>
      </c>
      <c r="L3" s="33">
        <f>C3-(J3/23.2*26.2)</f>
        <v>-82.42629310344842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f>32649-7500</f>
        <v>25149</v>
      </c>
      <c r="D4" s="33">
        <v>901.22</v>
      </c>
      <c r="E4" s="33">
        <v>23.43</v>
      </c>
      <c r="F4" s="33">
        <v>0</v>
      </c>
      <c r="G4" s="33">
        <v>0</v>
      </c>
      <c r="H4" s="33">
        <f>'5-5-16'!H4+D4+F4</f>
        <v>9740.359999999997</v>
      </c>
      <c r="I4" s="33">
        <f>'5-5-16'!I4+E4+G4</f>
        <v>322.14000000000004</v>
      </c>
      <c r="J4" s="33">
        <f>H4+I4</f>
        <v>10062.499999999996</v>
      </c>
      <c r="K4" s="33">
        <f>C4-J4</f>
        <v>15086.500000000004</v>
      </c>
      <c r="L4" s="33">
        <f aca="true" t="shared" si="0" ref="L4:L12">C4-(J4/23.2*26.2)</f>
        <v>13785.314655172418</v>
      </c>
      <c r="M4" s="45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186.06</v>
      </c>
      <c r="E5" s="33">
        <v>4.83</v>
      </c>
      <c r="F5" s="33">
        <v>0</v>
      </c>
      <c r="G5" s="33">
        <v>0</v>
      </c>
      <c r="H5" s="33">
        <f>'5-5-16'!H5+D5+F5</f>
        <v>10846.539999999999</v>
      </c>
      <c r="I5" s="33">
        <f>'5-5-16'!I5+E5+G5</f>
        <v>281.77</v>
      </c>
      <c r="J5" s="33">
        <f aca="true" t="shared" si="1" ref="J5:J11">H5+I5</f>
        <v>11128.31</v>
      </c>
      <c r="K5" s="33">
        <f aca="true" t="shared" si="2" ref="K5:K11">C5-J5</f>
        <v>6845.6900000000005</v>
      </c>
      <c r="L5" s="33">
        <f t="shared" si="0"/>
        <v>5406.684396551724</v>
      </c>
      <c r="M5" s="45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103.73</v>
      </c>
      <c r="E6" s="33">
        <v>2.69</v>
      </c>
      <c r="F6" s="33">
        <v>0</v>
      </c>
      <c r="G6" s="33">
        <v>0</v>
      </c>
      <c r="H6" s="33">
        <f>'5-5-16'!H6+D6+F6</f>
        <v>9445.740000000002</v>
      </c>
      <c r="I6" s="33">
        <f>'5-5-16'!I6+E6+G6</f>
        <v>245.25000000000003</v>
      </c>
      <c r="J6" s="33">
        <f>H6+I6</f>
        <v>9690.990000000002</v>
      </c>
      <c r="K6" s="33">
        <f t="shared" si="2"/>
        <v>8283.009999999998</v>
      </c>
      <c r="L6" s="33">
        <f t="shared" si="0"/>
        <v>7029.86474137931</v>
      </c>
      <c r="M6" s="45"/>
      <c r="N6" s="61"/>
    </row>
    <row r="7" spans="1:13" s="44" customFormat="1" ht="11.25" customHeight="1">
      <c r="A7" s="31" t="s">
        <v>15</v>
      </c>
      <c r="B7" s="32">
        <v>55030200</v>
      </c>
      <c r="C7" s="33">
        <f>24330+7500</f>
        <v>31830</v>
      </c>
      <c r="D7" s="33">
        <v>182.42</v>
      </c>
      <c r="E7" s="33">
        <v>4.74</v>
      </c>
      <c r="F7" s="33">
        <v>0</v>
      </c>
      <c r="G7" s="33">
        <v>0</v>
      </c>
      <c r="H7" s="33">
        <f>'5-5-16'!H7+D7+F7</f>
        <v>15220.829999999998</v>
      </c>
      <c r="I7" s="33">
        <f>'5-5-16'!I7+E7+G7</f>
        <v>395.57000000000005</v>
      </c>
      <c r="J7" s="33">
        <f t="shared" si="1"/>
        <v>15616.399999999998</v>
      </c>
      <c r="K7" s="33">
        <f t="shared" si="2"/>
        <v>16213.600000000002</v>
      </c>
      <c r="L7" s="33">
        <f t="shared" si="0"/>
        <v>14194.237931034484</v>
      </c>
      <c r="M7" s="45"/>
    </row>
    <row r="8" spans="1:13" s="44" customFormat="1" ht="11.25" customHeight="1">
      <c r="A8" s="31" t="s">
        <v>16</v>
      </c>
      <c r="B8" s="32">
        <v>55050200</v>
      </c>
      <c r="C8" s="33">
        <f>29837-127.22</f>
        <v>29709.78</v>
      </c>
      <c r="D8" s="33">
        <v>742.37</v>
      </c>
      <c r="E8" s="33">
        <v>19.3</v>
      </c>
      <c r="F8" s="33">
        <v>0</v>
      </c>
      <c r="G8" s="33">
        <v>0</v>
      </c>
      <c r="H8" s="33">
        <f>'5-5-16'!H8+D8+F8</f>
        <v>26035.33</v>
      </c>
      <c r="I8" s="33">
        <f>'5-5-16'!I8+E8+G8</f>
        <v>823.3699999999999</v>
      </c>
      <c r="J8" s="33">
        <f t="shared" si="1"/>
        <v>26858.7</v>
      </c>
      <c r="K8" s="33">
        <f t="shared" si="2"/>
        <v>2851.079999999998</v>
      </c>
      <c r="L8" s="33">
        <f t="shared" si="0"/>
        <v>-622.0277586206903</v>
      </c>
      <c r="M8" s="45"/>
    </row>
    <row r="9" spans="1:13" s="44" customFormat="1" ht="11.25" customHeight="1">
      <c r="A9" s="31" t="s">
        <v>51</v>
      </c>
      <c r="B9" s="32">
        <v>55050400</v>
      </c>
      <c r="C9" s="33">
        <v>5000</v>
      </c>
      <c r="D9" s="33">
        <f>-458.12</f>
        <v>-458.12</v>
      </c>
      <c r="E9" s="33">
        <f>-40.31</f>
        <v>-40.31</v>
      </c>
      <c r="F9" s="33">
        <v>280.24</v>
      </c>
      <c r="G9" s="33">
        <v>15.13</v>
      </c>
      <c r="H9" s="33">
        <f>'5-5-16'!H9+D9+F9</f>
        <v>2159.16</v>
      </c>
      <c r="I9" s="33">
        <f>'5-5-16'!I9+E9+G9</f>
        <v>29.18</v>
      </c>
      <c r="J9" s="33">
        <f t="shared" si="1"/>
        <v>2188.3399999999997</v>
      </c>
      <c r="K9" s="33">
        <f t="shared" si="2"/>
        <v>2811.6600000000003</v>
      </c>
      <c r="L9" s="33">
        <f t="shared" si="0"/>
        <v>2528.6850000000004</v>
      </c>
      <c r="M9" s="45"/>
    </row>
    <row r="10" spans="1:13" s="44" customFormat="1" ht="11.25" customHeight="1">
      <c r="A10" s="31" t="s">
        <v>17</v>
      </c>
      <c r="B10" s="32">
        <v>55070100</v>
      </c>
      <c r="C10" s="33">
        <f>26873+10510+5358+3000+4032.57</f>
        <v>49773.57</v>
      </c>
      <c r="D10" s="33">
        <v>820.83</v>
      </c>
      <c r="E10" s="33">
        <v>21.34</v>
      </c>
      <c r="F10" s="33">
        <v>976</v>
      </c>
      <c r="G10" s="33">
        <v>52.7</v>
      </c>
      <c r="H10" s="33">
        <f>'5-5-16'!H10+D10+F10</f>
        <v>46097.479999999996</v>
      </c>
      <c r="I10" s="33">
        <f>'5-5-16'!I10+E10+G10</f>
        <v>1640.8700000000001</v>
      </c>
      <c r="J10" s="33">
        <f t="shared" si="1"/>
        <v>47738.35</v>
      </c>
      <c r="K10" s="33">
        <f t="shared" si="2"/>
        <v>2035.2200000000012</v>
      </c>
      <c r="L10" s="33">
        <f t="shared" si="0"/>
        <v>-4137.842499999999</v>
      </c>
      <c r="M10" s="45"/>
    </row>
    <row r="11" spans="1:13" s="44" customFormat="1" ht="11.25" customHeight="1">
      <c r="A11" s="31" t="s">
        <v>18</v>
      </c>
      <c r="B11" s="32">
        <v>55070400</v>
      </c>
      <c r="C11" s="33">
        <f>3000-3000</f>
        <v>0</v>
      </c>
      <c r="D11" s="33">
        <v>0</v>
      </c>
      <c r="E11" s="33">
        <v>0</v>
      </c>
      <c r="F11" s="33">
        <v>0</v>
      </c>
      <c r="G11" s="33">
        <v>0</v>
      </c>
      <c r="H11" s="33">
        <f>'5-5-16'!H11+D11+F11</f>
        <v>0</v>
      </c>
      <c r="I11" s="33">
        <f>'5-5-16'!I11+E11+G11</f>
        <v>0</v>
      </c>
      <c r="J11" s="33">
        <f t="shared" si="1"/>
        <v>0</v>
      </c>
      <c r="K11" s="33">
        <f t="shared" si="2"/>
        <v>0</v>
      </c>
      <c r="L11" s="33">
        <f t="shared" si="0"/>
        <v>0</v>
      </c>
      <c r="M11" s="45"/>
    </row>
    <row r="12" spans="1:13" s="44" customFormat="1" ht="11.25" customHeight="1">
      <c r="A12" s="31" t="s">
        <v>20</v>
      </c>
      <c r="B12" s="32">
        <v>55080100</v>
      </c>
      <c r="C12" s="33">
        <v>23173</v>
      </c>
      <c r="D12" s="33">
        <v>548.17</v>
      </c>
      <c r="E12" s="33">
        <v>14.25</v>
      </c>
      <c r="F12" s="33">
        <v>0</v>
      </c>
      <c r="G12" s="33">
        <v>0</v>
      </c>
      <c r="H12" s="33">
        <f>'5-5-16'!H12+D12+F12</f>
        <v>19450.350000000002</v>
      </c>
      <c r="I12" s="33">
        <f>'5-5-16'!I12+E12+G12</f>
        <v>587.96</v>
      </c>
      <c r="J12" s="33">
        <f>H12+I12</f>
        <v>20038.31</v>
      </c>
      <c r="K12" s="33">
        <f>C12-J12</f>
        <v>3134.6899999999987</v>
      </c>
      <c r="L12" s="33">
        <f t="shared" si="0"/>
        <v>543.5292241379284</v>
      </c>
      <c r="M12" s="45"/>
    </row>
    <row r="13" spans="1:14" ht="24.75" customHeight="1">
      <c r="A13" s="75" t="s">
        <v>36</v>
      </c>
      <c r="B13" s="76"/>
      <c r="C13" s="49">
        <f>SUM(C3:C12)</f>
        <v>201220.78</v>
      </c>
      <c r="D13" s="49">
        <f aca="true" t="shared" si="3" ref="D13:L13">SUM(D3:D12)</f>
        <v>3026.6800000000003</v>
      </c>
      <c r="E13" s="49">
        <f t="shared" si="3"/>
        <v>50.269999999999996</v>
      </c>
      <c r="F13" s="49">
        <f t="shared" si="3"/>
        <v>1256.24</v>
      </c>
      <c r="G13" s="49">
        <f t="shared" si="3"/>
        <v>67.83</v>
      </c>
      <c r="H13" s="49">
        <f t="shared" si="3"/>
        <v>139600.59</v>
      </c>
      <c r="I13" s="49">
        <f t="shared" si="3"/>
        <v>4358.74</v>
      </c>
      <c r="J13" s="49">
        <f t="shared" si="3"/>
        <v>143959.33</v>
      </c>
      <c r="K13" s="49">
        <f t="shared" si="3"/>
        <v>57261.45000000001</v>
      </c>
      <c r="L13" s="49">
        <f t="shared" si="3"/>
        <v>38646.01939655172</v>
      </c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28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38"/>
      <c r="N15" s="39"/>
    </row>
    <row r="16" spans="1:14" s="44" customFormat="1" ht="11.25" customHeight="1">
      <c r="A16" s="31" t="s">
        <v>19</v>
      </c>
      <c r="B16" s="32">
        <v>55030100</v>
      </c>
      <c r="C16" s="33">
        <v>13540</v>
      </c>
      <c r="D16" s="33">
        <v>169.59</v>
      </c>
      <c r="E16" s="33">
        <v>4.4</v>
      </c>
      <c r="F16" s="33">
        <v>0</v>
      </c>
      <c r="G16" s="33">
        <v>0</v>
      </c>
      <c r="H16" s="33">
        <f>'5-5-16'!H16+D16+F16</f>
        <v>6860.419999999999</v>
      </c>
      <c r="I16" s="33">
        <f>'5-5-16'!I16+E16+G16</f>
        <v>193.84</v>
      </c>
      <c r="J16" s="33">
        <f aca="true" t="shared" si="4" ref="J16:J24">H16+I16</f>
        <v>7054.259999999999</v>
      </c>
      <c r="K16" s="33">
        <f aca="true" t="shared" si="5" ref="K16:K24">C16-J16</f>
        <v>6485.740000000001</v>
      </c>
      <c r="L16" s="33">
        <f>C16-(J16/23.2*26.2)</f>
        <v>5573.551206896553</v>
      </c>
      <c r="M16" s="42"/>
      <c r="N16" s="43"/>
    </row>
    <row r="17" spans="1:14" s="44" customFormat="1" ht="11.25" customHeight="1">
      <c r="A17" s="31" t="s">
        <v>33</v>
      </c>
      <c r="B17" s="32">
        <v>55110100</v>
      </c>
      <c r="C17" s="33">
        <v>7073</v>
      </c>
      <c r="D17" s="33">
        <v>0</v>
      </c>
      <c r="E17" s="33">
        <v>0</v>
      </c>
      <c r="F17" s="33">
        <v>58.76</v>
      </c>
      <c r="G17" s="33">
        <v>3.17</v>
      </c>
      <c r="H17" s="33">
        <f>'5-5-16'!H17+D17+F17</f>
        <v>843.07</v>
      </c>
      <c r="I17" s="33">
        <f>'5-5-16'!I17+E17+G17</f>
        <v>23.43</v>
      </c>
      <c r="J17" s="33">
        <f t="shared" si="4"/>
        <v>866.5</v>
      </c>
      <c r="K17" s="33">
        <f t="shared" si="5"/>
        <v>6206.5</v>
      </c>
      <c r="L17" s="33">
        <f>C17-(J17/23.2*26.2)</f>
        <v>6094.452586206897</v>
      </c>
      <c r="M17" s="42"/>
      <c r="N17" s="43"/>
    </row>
    <row r="18" spans="1:14" s="44" customFormat="1" ht="11.25" customHeight="1">
      <c r="A18" s="31" t="s">
        <v>23</v>
      </c>
      <c r="B18" s="32">
        <v>55160100</v>
      </c>
      <c r="C18" s="33">
        <v>16062</v>
      </c>
      <c r="D18" s="33">
        <f>-1092.44+27.12</f>
        <v>-1065.3200000000002</v>
      </c>
      <c r="E18" s="33">
        <f>-28.4+0.7</f>
        <v>-27.7</v>
      </c>
      <c r="F18" s="33">
        <v>156.38</v>
      </c>
      <c r="G18" s="33">
        <v>8.44</v>
      </c>
      <c r="H18" s="33">
        <f>'5-5-16'!H18+D18+F18</f>
        <v>10301.829999999996</v>
      </c>
      <c r="I18" s="33">
        <f>'5-5-16'!I18+E18+G18</f>
        <v>401.94999999999993</v>
      </c>
      <c r="J18" s="33">
        <f t="shared" si="4"/>
        <v>10703.779999999997</v>
      </c>
      <c r="K18" s="33">
        <f t="shared" si="5"/>
        <v>5358.220000000003</v>
      </c>
      <c r="L18" s="33">
        <f>C18-(J18/23.2*26.2)</f>
        <v>3974.1105172413827</v>
      </c>
      <c r="M18" s="42"/>
      <c r="N18" s="60"/>
    </row>
    <row r="19" spans="1:14" s="44" customFormat="1" ht="11.25" customHeight="1">
      <c r="A19" s="31" t="s">
        <v>61</v>
      </c>
      <c r="B19" s="32">
        <v>55010300</v>
      </c>
      <c r="C19" s="33">
        <v>2500</v>
      </c>
      <c r="D19" s="33">
        <v>0</v>
      </c>
      <c r="E19" s="33">
        <v>0</v>
      </c>
      <c r="F19" s="33">
        <v>269.64</v>
      </c>
      <c r="G19" s="33">
        <v>14.56</v>
      </c>
      <c r="H19" s="33">
        <f>0+D19+F19</f>
        <v>269.64</v>
      </c>
      <c r="I19" s="33">
        <f>0+E19+G19</f>
        <v>14.56</v>
      </c>
      <c r="J19" s="33">
        <f t="shared" si="4"/>
        <v>284.2</v>
      </c>
      <c r="K19" s="33">
        <f t="shared" si="5"/>
        <v>2215.8</v>
      </c>
      <c r="L19" s="33">
        <f>C19-(J19/23.2*26.2)</f>
        <v>2179.05</v>
      </c>
      <c r="M19" s="42"/>
      <c r="N19" s="60"/>
    </row>
    <row r="20" spans="1:14" ht="24.75" customHeight="1">
      <c r="A20" s="75" t="s">
        <v>37</v>
      </c>
      <c r="B20" s="76"/>
      <c r="C20" s="49">
        <f>SUM(C16:C19)</f>
        <v>39175</v>
      </c>
      <c r="D20" s="49">
        <f aca="true" t="shared" si="6" ref="D20:L20">SUM(D16:D18)</f>
        <v>-895.7300000000001</v>
      </c>
      <c r="E20" s="49">
        <f t="shared" si="6"/>
        <v>-23.299999999999997</v>
      </c>
      <c r="F20" s="49">
        <f>SUM(F16:F19)</f>
        <v>484.78</v>
      </c>
      <c r="G20" s="49">
        <f>SUM(G16:G19)</f>
        <v>26.17</v>
      </c>
      <c r="H20" s="49">
        <f t="shared" si="6"/>
        <v>18005.319999999996</v>
      </c>
      <c r="I20" s="49">
        <f t="shared" si="6"/>
        <v>619.2199999999999</v>
      </c>
      <c r="J20" s="49">
        <f t="shared" si="6"/>
        <v>18624.539999999997</v>
      </c>
      <c r="K20" s="49">
        <f t="shared" si="6"/>
        <v>18050.460000000006</v>
      </c>
      <c r="L20" s="49">
        <f t="shared" si="6"/>
        <v>15642.114310344832</v>
      </c>
      <c r="M20" s="38"/>
      <c r="N20" s="41"/>
    </row>
    <row r="21" spans="1:14" ht="11.25" customHeight="1">
      <c r="A21" s="28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38"/>
      <c r="N21" s="41"/>
    </row>
    <row r="22" spans="1:14" ht="11.25" customHeight="1">
      <c r="A22" s="28"/>
      <c r="B22" s="28"/>
      <c r="C22" s="8"/>
      <c r="D22" s="8"/>
      <c r="E22" s="8"/>
      <c r="F22" s="8"/>
      <c r="G22" s="8"/>
      <c r="H22" s="8"/>
      <c r="I22" s="8"/>
      <c r="J22" s="8"/>
      <c r="K22" s="8"/>
      <c r="L22" s="8"/>
      <c r="M22" s="38"/>
      <c r="N22" s="41"/>
    </row>
    <row r="23" spans="1:14" s="44" customFormat="1" ht="11.25" customHeight="1">
      <c r="A23" s="31" t="s">
        <v>21</v>
      </c>
      <c r="B23" s="32">
        <v>55090100</v>
      </c>
      <c r="C23" s="33">
        <v>26923</v>
      </c>
      <c r="D23" s="33">
        <v>0</v>
      </c>
      <c r="E23" s="33">
        <v>0</v>
      </c>
      <c r="F23" s="33">
        <v>0</v>
      </c>
      <c r="G23" s="33">
        <v>0</v>
      </c>
      <c r="H23" s="33">
        <f>'5-5-16'!H22+D23+F23</f>
        <v>24671.879999999994</v>
      </c>
      <c r="I23" s="33">
        <f>'5-5-16'!I22+E23+G23</f>
        <v>1132.23</v>
      </c>
      <c r="J23" s="33">
        <f t="shared" si="4"/>
        <v>25804.109999999993</v>
      </c>
      <c r="K23" s="33">
        <f t="shared" si="5"/>
        <v>1118.8900000000067</v>
      </c>
      <c r="L23" s="33">
        <f>C23-(J23/23.2*26.2)</f>
        <v>-2217.848362068955</v>
      </c>
      <c r="M23" s="42"/>
      <c r="N23" s="60"/>
    </row>
    <row r="24" spans="1:14" s="44" customFormat="1" ht="11.25" customHeight="1">
      <c r="A24" s="31" t="s">
        <v>22</v>
      </c>
      <c r="B24" s="32">
        <v>55100100</v>
      </c>
      <c r="C24" s="33">
        <v>2026</v>
      </c>
      <c r="D24" s="33">
        <v>83</v>
      </c>
      <c r="E24" s="33">
        <v>2.15</v>
      </c>
      <c r="F24" s="33">
        <v>0</v>
      </c>
      <c r="G24" s="33">
        <v>0</v>
      </c>
      <c r="H24" s="33">
        <f>'5-5-16'!H23+D24+F24</f>
        <v>1045.76</v>
      </c>
      <c r="I24" s="33">
        <f>'5-5-16'!I23+E24+G24</f>
        <v>54.089999999999996</v>
      </c>
      <c r="J24" s="33">
        <f t="shared" si="4"/>
        <v>1099.85</v>
      </c>
      <c r="K24" s="33">
        <f t="shared" si="5"/>
        <v>926.1500000000001</v>
      </c>
      <c r="L24" s="33">
        <f>C24-(J24/23.2*26.2)</f>
        <v>783.9280172413794</v>
      </c>
      <c r="M24" s="42"/>
      <c r="N24" s="60"/>
    </row>
    <row r="25" spans="1:14" ht="24.75" customHeight="1">
      <c r="A25" s="75" t="s">
        <v>38</v>
      </c>
      <c r="B25" s="76"/>
      <c r="C25" s="49">
        <f>SUM(C23:C24)</f>
        <v>28949</v>
      </c>
      <c r="D25" s="49">
        <f aca="true" t="shared" si="7" ref="D25:L25">SUM(D23:D24)</f>
        <v>83</v>
      </c>
      <c r="E25" s="49">
        <f t="shared" si="7"/>
        <v>2.15</v>
      </c>
      <c r="F25" s="49">
        <f t="shared" si="7"/>
        <v>0</v>
      </c>
      <c r="G25" s="49">
        <f t="shared" si="7"/>
        <v>0</v>
      </c>
      <c r="H25" s="49">
        <f t="shared" si="7"/>
        <v>25717.639999999992</v>
      </c>
      <c r="I25" s="49">
        <f t="shared" si="7"/>
        <v>1186.32</v>
      </c>
      <c r="J25" s="49">
        <f t="shared" si="7"/>
        <v>26903.959999999992</v>
      </c>
      <c r="K25" s="49">
        <f t="shared" si="7"/>
        <v>2045.0400000000068</v>
      </c>
      <c r="L25" s="49">
        <f t="shared" si="7"/>
        <v>-1433.9203448275755</v>
      </c>
      <c r="M25" s="38"/>
      <c r="N25" s="41"/>
    </row>
    <row r="26" spans="1:14" ht="11.2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8"/>
      <c r="N26" s="39"/>
    </row>
    <row r="27" spans="1:14" ht="11.25" customHeight="1">
      <c r="A27" s="28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8"/>
      <c r="N27" s="39"/>
    </row>
    <row r="28" spans="1:13" s="44" customFormat="1" ht="11.25" customHeight="1">
      <c r="A28" s="31" t="s">
        <v>26</v>
      </c>
      <c r="B28" s="32">
        <v>55130100</v>
      </c>
      <c r="C28" s="33">
        <v>4523</v>
      </c>
      <c r="D28" s="33">
        <v>0</v>
      </c>
      <c r="E28" s="33">
        <v>0</v>
      </c>
      <c r="F28" s="33">
        <v>0</v>
      </c>
      <c r="G28" s="33">
        <v>0</v>
      </c>
      <c r="H28" s="33">
        <f>'5-5-16'!H27+D28+F28</f>
        <v>2257.6400000000003</v>
      </c>
      <c r="I28" s="33">
        <f>'5-5-16'!I27+E28+G28</f>
        <v>58.540000000000006</v>
      </c>
      <c r="J28" s="33">
        <f>H28+I28</f>
        <v>2316.1800000000003</v>
      </c>
      <c r="K28" s="33">
        <f>C28-J28</f>
        <v>2206.8199999999997</v>
      </c>
      <c r="L28" s="33">
        <f>C28-(J28/23.2*26.2)</f>
        <v>1907.3139655172408</v>
      </c>
      <c r="M28" s="45"/>
    </row>
    <row r="29" spans="1:13" s="44" customFormat="1" ht="11.25" customHeight="1">
      <c r="A29" s="31" t="s">
        <v>30</v>
      </c>
      <c r="B29" s="32">
        <v>55140100</v>
      </c>
      <c r="C29" s="33">
        <v>2995</v>
      </c>
      <c r="D29" s="33">
        <v>0</v>
      </c>
      <c r="E29" s="33">
        <v>0</v>
      </c>
      <c r="F29" s="33">
        <v>0</v>
      </c>
      <c r="G29" s="33">
        <v>0</v>
      </c>
      <c r="H29" s="33">
        <f>'5-5-16'!H28+D29+F29</f>
        <v>2542.32</v>
      </c>
      <c r="I29" s="33">
        <f>'5-5-16'!I28+E29+G29</f>
        <v>137.11999999999998</v>
      </c>
      <c r="J29" s="33">
        <f>H29+I29</f>
        <v>2679.44</v>
      </c>
      <c r="K29" s="33">
        <f>C29-J29</f>
        <v>315.55999999999995</v>
      </c>
      <c r="L29" s="33">
        <f>C29-(J29/23.2*26.2)</f>
        <v>-30.919310344827863</v>
      </c>
      <c r="M29" s="45"/>
    </row>
    <row r="30" spans="1:14" s="44" customFormat="1" ht="24.75" customHeight="1">
      <c r="A30" s="75" t="s">
        <v>39</v>
      </c>
      <c r="B30" s="76"/>
      <c r="C30" s="49">
        <f aca="true" t="shared" si="8" ref="C30:L30">SUM(C28:C29)</f>
        <v>7518</v>
      </c>
      <c r="D30" s="49">
        <f t="shared" si="8"/>
        <v>0</v>
      </c>
      <c r="E30" s="49">
        <f t="shared" si="8"/>
        <v>0</v>
      </c>
      <c r="F30" s="49">
        <f t="shared" si="8"/>
        <v>0</v>
      </c>
      <c r="G30" s="49">
        <f t="shared" si="8"/>
        <v>0</v>
      </c>
      <c r="H30" s="49">
        <f t="shared" si="8"/>
        <v>4799.960000000001</v>
      </c>
      <c r="I30" s="49">
        <f t="shared" si="8"/>
        <v>195.65999999999997</v>
      </c>
      <c r="J30" s="62">
        <f t="shared" si="8"/>
        <v>4995.620000000001</v>
      </c>
      <c r="K30" s="49">
        <f t="shared" si="8"/>
        <v>2522.3799999999997</v>
      </c>
      <c r="L30" s="49">
        <f t="shared" si="8"/>
        <v>1876.394655172413</v>
      </c>
      <c r="M30" s="42"/>
      <c r="N30" s="43"/>
    </row>
    <row r="31" spans="1:14" ht="11.2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8"/>
      <c r="N31" s="39"/>
    </row>
    <row r="32" spans="1:14" ht="11.25" customHeight="1">
      <c r="A32" s="28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8"/>
      <c r="N32" s="39"/>
    </row>
    <row r="33" spans="1:14" s="44" customFormat="1" ht="11.25" customHeight="1">
      <c r="A33" s="31" t="s">
        <v>34</v>
      </c>
      <c r="B33" s="32">
        <v>55010000</v>
      </c>
      <c r="C33" s="33">
        <f>24725-15347</f>
        <v>9378</v>
      </c>
      <c r="D33" s="33">
        <v>667.5</v>
      </c>
      <c r="E33" s="33">
        <v>17.35</v>
      </c>
      <c r="F33" s="33">
        <v>0</v>
      </c>
      <c r="G33" s="33">
        <v>0</v>
      </c>
      <c r="H33" s="33">
        <f>'5-5-16'!H32+D33+F33</f>
        <v>3024.2700000000004</v>
      </c>
      <c r="I33" s="33">
        <f>'5-5-16'!I32+E33+G33</f>
        <v>144.60000000000002</v>
      </c>
      <c r="J33" s="33">
        <f aca="true" t="shared" si="9" ref="J33:J39">H33+I33</f>
        <v>3168.8700000000003</v>
      </c>
      <c r="K33" s="33">
        <f aca="true" t="shared" si="10" ref="K33:K39">C33-J33</f>
        <v>6209.129999999999</v>
      </c>
      <c r="L33" s="33">
        <f aca="true" t="shared" si="11" ref="L33:L39">C33-(J33/23.2*26.2)</f>
        <v>5799.362327586206</v>
      </c>
      <c r="M33" s="42"/>
      <c r="N33" s="43"/>
    </row>
    <row r="34" spans="1:14" s="44" customFormat="1" ht="11.25" customHeight="1">
      <c r="A34" s="31" t="s">
        <v>54</v>
      </c>
      <c r="B34" s="32" t="s">
        <v>53</v>
      </c>
      <c r="C34" s="33">
        <v>3000</v>
      </c>
      <c r="D34" s="33">
        <v>0</v>
      </c>
      <c r="E34" s="33">
        <v>0</v>
      </c>
      <c r="F34" s="33">
        <v>0</v>
      </c>
      <c r="G34" s="33">
        <v>0</v>
      </c>
      <c r="H34" s="33">
        <f>'5-5-16'!H33+D34+F34</f>
        <v>2484</v>
      </c>
      <c r="I34" s="33">
        <f>'5-5-16'!I33+E34+G34</f>
        <v>134.11</v>
      </c>
      <c r="J34" s="33">
        <f t="shared" si="9"/>
        <v>2618.11</v>
      </c>
      <c r="K34" s="33">
        <f t="shared" si="10"/>
        <v>381.8899999999999</v>
      </c>
      <c r="L34" s="33">
        <f t="shared" si="11"/>
        <v>43.34129310344815</v>
      </c>
      <c r="M34" s="42"/>
      <c r="N34" s="43"/>
    </row>
    <row r="35" spans="1:13" s="44" customFormat="1" ht="11.25" customHeight="1">
      <c r="A35" s="31" t="s">
        <v>31</v>
      </c>
      <c r="B35" s="32">
        <v>55080500</v>
      </c>
      <c r="C35" s="33">
        <v>10000</v>
      </c>
      <c r="D35" s="33">
        <f>675.19+100</f>
        <v>775.19</v>
      </c>
      <c r="E35" s="33">
        <f>17.55+2.6</f>
        <v>20.150000000000002</v>
      </c>
      <c r="F35" s="33">
        <v>451.8</v>
      </c>
      <c r="G35" s="33">
        <v>24.39</v>
      </c>
      <c r="H35" s="33">
        <f>'5-5-16'!H34+D35+F35</f>
        <v>2683.810000000001</v>
      </c>
      <c r="I35" s="33">
        <f>'5-5-16'!I34+E35+G35</f>
        <v>64.83000000000001</v>
      </c>
      <c r="J35" s="33">
        <f t="shared" si="9"/>
        <v>2748.640000000001</v>
      </c>
      <c r="K35" s="33">
        <f t="shared" si="10"/>
        <v>7251.359999999999</v>
      </c>
      <c r="L35" s="33">
        <f t="shared" si="11"/>
        <v>6895.932413793103</v>
      </c>
      <c r="M35" s="45"/>
    </row>
    <row r="36" spans="1:13" s="44" customFormat="1" ht="11.25" customHeight="1">
      <c r="A36" s="31" t="s">
        <v>32</v>
      </c>
      <c r="B36" s="32">
        <v>55050300</v>
      </c>
      <c r="C36" s="33">
        <f>15347+127.22</f>
        <v>15474.22</v>
      </c>
      <c r="D36" s="33">
        <f>-675.19</f>
        <v>-675.19</v>
      </c>
      <c r="E36" s="33">
        <f>-17.55</f>
        <v>-17.55</v>
      </c>
      <c r="F36" s="33">
        <v>0</v>
      </c>
      <c r="G36" s="33">
        <v>0</v>
      </c>
      <c r="H36" s="33">
        <f>'5-5-16'!H35+D36+F36</f>
        <v>13375.949999999999</v>
      </c>
      <c r="I36" s="33">
        <f>'5-5-16'!I35+E36+G36</f>
        <v>730.3399999999999</v>
      </c>
      <c r="J36" s="33">
        <f t="shared" si="9"/>
        <v>14106.289999999999</v>
      </c>
      <c r="K36" s="33">
        <f t="shared" si="10"/>
        <v>1367.9300000000003</v>
      </c>
      <c r="L36" s="33">
        <f t="shared" si="11"/>
        <v>-456.1592241379294</v>
      </c>
      <c r="M36" s="45"/>
    </row>
    <row r="37" spans="1:13" s="44" customFormat="1" ht="11.25" customHeight="1">
      <c r="A37" s="31" t="s">
        <v>43</v>
      </c>
      <c r="B37" s="32">
        <v>55160300</v>
      </c>
      <c r="C37" s="33">
        <f>43385.81+42388.29</f>
        <v>85774.1</v>
      </c>
      <c r="D37" s="33">
        <v>0</v>
      </c>
      <c r="E37" s="33">
        <v>0</v>
      </c>
      <c r="F37" s="33">
        <v>3154.25</v>
      </c>
      <c r="G37" s="33">
        <v>170.32</v>
      </c>
      <c r="H37" s="33">
        <f>'5-5-16'!H36+D37+F37</f>
        <v>71916.95000000001</v>
      </c>
      <c r="I37" s="33">
        <f>'5-5-16'!I36+E37+G37</f>
        <v>3883.3200000000006</v>
      </c>
      <c r="J37" s="33">
        <f t="shared" si="9"/>
        <v>75800.27000000002</v>
      </c>
      <c r="K37" s="33">
        <f t="shared" si="10"/>
        <v>9973.829999999987</v>
      </c>
      <c r="L37" s="33">
        <f t="shared" si="11"/>
        <v>172.07094827583933</v>
      </c>
      <c r="M37" s="45"/>
    </row>
    <row r="38" spans="1:13" s="44" customFormat="1" ht="15" customHeight="1" hidden="1">
      <c r="A38" s="31" t="s">
        <v>47</v>
      </c>
      <c r="B38" s="32">
        <v>55010100</v>
      </c>
      <c r="C38" s="33"/>
      <c r="D38" s="33"/>
      <c r="E38" s="33"/>
      <c r="F38" s="33"/>
      <c r="G38" s="33"/>
      <c r="H38" s="33">
        <f>'5-5-16'!H37+D38+F38</f>
        <v>-64.2</v>
      </c>
      <c r="I38" s="33">
        <f>'5-5-16'!I37+E38+G38</f>
        <v>-1.67</v>
      </c>
      <c r="J38" s="33">
        <f t="shared" si="9"/>
        <v>-65.87</v>
      </c>
      <c r="K38" s="33">
        <f t="shared" si="10"/>
        <v>65.87</v>
      </c>
      <c r="L38" s="33">
        <f t="shared" si="11"/>
        <v>74.38767241379311</v>
      </c>
      <c r="M38" s="45"/>
    </row>
    <row r="39" spans="1:13" s="44" customFormat="1" ht="11.25" customHeight="1">
      <c r="A39" s="31" t="s">
        <v>48</v>
      </c>
      <c r="B39" s="32" t="s">
        <v>60</v>
      </c>
      <c r="C39" s="33">
        <v>4086</v>
      </c>
      <c r="D39" s="33">
        <f>1550.56+555.03</f>
        <v>2105.59</v>
      </c>
      <c r="E39" s="33">
        <f>40.31+14.43</f>
        <v>54.74</v>
      </c>
      <c r="F39" s="33">
        <v>0</v>
      </c>
      <c r="G39" s="33">
        <v>0</v>
      </c>
      <c r="H39" s="33">
        <f>'5-5-16'!H38+D39+F39</f>
        <v>2105.59</v>
      </c>
      <c r="I39" s="33">
        <f>'5-5-16'!I38+E39+G39</f>
        <v>54.74</v>
      </c>
      <c r="J39" s="33">
        <f t="shared" si="9"/>
        <v>2160.33</v>
      </c>
      <c r="K39" s="33">
        <f t="shared" si="10"/>
        <v>1925.67</v>
      </c>
      <c r="L39" s="33">
        <f t="shared" si="11"/>
        <v>1646.3169827586207</v>
      </c>
      <c r="M39" s="45"/>
    </row>
    <row r="40" spans="1:14" ht="24.75" customHeight="1">
      <c r="A40" s="75" t="s">
        <v>40</v>
      </c>
      <c r="B40" s="76"/>
      <c r="C40" s="49">
        <f aca="true" t="shared" si="12" ref="C40:L40">SUM(C33:C39)</f>
        <v>127712.32</v>
      </c>
      <c r="D40" s="49">
        <f t="shared" si="12"/>
        <v>2873.09</v>
      </c>
      <c r="E40" s="49">
        <f t="shared" si="12"/>
        <v>74.69</v>
      </c>
      <c r="F40" s="49">
        <f t="shared" si="12"/>
        <v>3606.05</v>
      </c>
      <c r="G40" s="49">
        <f t="shared" si="12"/>
        <v>194.70999999999998</v>
      </c>
      <c r="H40" s="49">
        <f t="shared" si="12"/>
        <v>95526.37000000001</v>
      </c>
      <c r="I40" s="49">
        <f t="shared" si="12"/>
        <v>5010.27</v>
      </c>
      <c r="J40" s="62">
        <f t="shared" si="12"/>
        <v>100536.64000000003</v>
      </c>
      <c r="K40" s="49">
        <f t="shared" si="12"/>
        <v>27175.679999999986</v>
      </c>
      <c r="L40" s="49">
        <f t="shared" si="12"/>
        <v>14175.252413793081</v>
      </c>
      <c r="M40" s="38"/>
      <c r="N40" s="39"/>
    </row>
    <row r="41" spans="1:14" ht="11.25" customHeight="1">
      <c r="A41" s="28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8"/>
      <c r="N41" s="39"/>
    </row>
    <row r="42" spans="1:14" ht="11.25" customHeight="1">
      <c r="A42" s="28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8"/>
      <c r="N42" s="39"/>
    </row>
    <row r="43" spans="1:14" ht="24.75" customHeight="1">
      <c r="A43" s="76" t="s">
        <v>42</v>
      </c>
      <c r="B43" s="76"/>
      <c r="C43" s="49">
        <f aca="true" t="shared" si="13" ref="C43:L43">C13+C20+C25+C30+C40</f>
        <v>404575.10000000003</v>
      </c>
      <c r="D43" s="49">
        <f t="shared" si="13"/>
        <v>5087.040000000001</v>
      </c>
      <c r="E43" s="49">
        <f t="shared" si="13"/>
        <v>103.81</v>
      </c>
      <c r="F43" s="49">
        <f t="shared" si="13"/>
        <v>5347.07</v>
      </c>
      <c r="G43" s="49">
        <f t="shared" si="13"/>
        <v>288.71</v>
      </c>
      <c r="H43" s="49">
        <f t="shared" si="13"/>
        <v>283649.88</v>
      </c>
      <c r="I43" s="49">
        <f t="shared" si="13"/>
        <v>11370.21</v>
      </c>
      <c r="J43" s="49">
        <f t="shared" si="13"/>
        <v>295020.09</v>
      </c>
      <c r="K43" s="49">
        <f t="shared" si="13"/>
        <v>107055.01000000001</v>
      </c>
      <c r="L43" s="49">
        <f t="shared" si="13"/>
        <v>68905.86043103447</v>
      </c>
      <c r="M43" s="38"/>
      <c r="N43" s="39"/>
    </row>
    <row r="44" spans="1:14" ht="11.25" customHeight="1">
      <c r="A44" s="54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38"/>
      <c r="N44" s="39"/>
    </row>
    <row r="45" spans="1:14" ht="11.25" customHeight="1">
      <c r="A45" s="54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38"/>
      <c r="N45" s="39"/>
    </row>
    <row r="46" spans="1:14" s="44" customFormat="1" ht="12" customHeight="1">
      <c r="A46" s="31" t="s">
        <v>27</v>
      </c>
      <c r="B46" s="31" t="s">
        <v>28</v>
      </c>
      <c r="C46" s="33">
        <v>61829</v>
      </c>
      <c r="D46" s="33">
        <v>857.78</v>
      </c>
      <c r="E46" s="33">
        <v>22.3</v>
      </c>
      <c r="F46" s="33">
        <v>0</v>
      </c>
      <c r="G46" s="33">
        <v>0</v>
      </c>
      <c r="H46" s="33">
        <f>'5-5-16'!H45+D46+F46</f>
        <v>34995.58999999999</v>
      </c>
      <c r="I46" s="33">
        <f>'5-5-16'!I45+E46+G46</f>
        <v>1085.5200000000002</v>
      </c>
      <c r="J46" s="33">
        <f>H46+I46</f>
        <v>36081.109999999986</v>
      </c>
      <c r="K46" s="33">
        <f>C46-J46</f>
        <v>25747.890000000014</v>
      </c>
      <c r="L46" s="33">
        <f>C46-(J46/23.2*26.2)</f>
        <v>21082.229224137947</v>
      </c>
      <c r="M46" s="42"/>
      <c r="N46" s="43"/>
    </row>
    <row r="47" spans="1:14" ht="12" customHeight="1">
      <c r="A47" s="6"/>
      <c r="B47" s="6"/>
      <c r="C47" s="27"/>
      <c r="D47" s="27"/>
      <c r="E47" s="27"/>
      <c r="F47" s="27"/>
      <c r="G47" s="27"/>
      <c r="H47" s="27"/>
      <c r="I47" s="27"/>
      <c r="J47" s="33"/>
      <c r="K47" s="27"/>
      <c r="L47" s="27"/>
      <c r="M47" s="38"/>
      <c r="N47" s="39"/>
    </row>
    <row r="48" spans="1:14" ht="12" customHeight="1">
      <c r="A48" s="6" t="s">
        <v>29</v>
      </c>
      <c r="B48" s="6" t="s">
        <v>35</v>
      </c>
      <c r="C48" s="27">
        <v>15000</v>
      </c>
      <c r="D48" s="27">
        <v>0</v>
      </c>
      <c r="E48" s="27">
        <v>0</v>
      </c>
      <c r="F48" s="27">
        <v>634.48</v>
      </c>
      <c r="G48" s="27">
        <v>34.26</v>
      </c>
      <c r="H48" s="33">
        <f>'5-5-16'!H47+D48+F48</f>
        <v>13960.41</v>
      </c>
      <c r="I48" s="33">
        <f>'5-5-16'!I47+E48+G48</f>
        <v>753.7200000000003</v>
      </c>
      <c r="J48" s="33">
        <f>H48+I48</f>
        <v>14714.130000000001</v>
      </c>
      <c r="K48" s="27">
        <f>C48-J48</f>
        <v>285.869999999999</v>
      </c>
      <c r="L48" s="33">
        <f>C48-(J48/23.2*26.2)</f>
        <v>-1616.819224137933</v>
      </c>
      <c r="M48" s="38"/>
      <c r="N48" s="39"/>
    </row>
    <row r="49" spans="1:14" ht="12" customHeight="1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38"/>
      <c r="N49" s="39"/>
    </row>
    <row r="50" spans="1:14" ht="12" customHeight="1">
      <c r="A50" s="50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38"/>
      <c r="N50" s="39"/>
    </row>
    <row r="51" spans="1:14" ht="24.75" customHeight="1">
      <c r="A51" s="51" t="s">
        <v>41</v>
      </c>
      <c r="B51" s="52"/>
      <c r="C51" s="53">
        <f>C46+C48</f>
        <v>76829</v>
      </c>
      <c r="D51" s="53">
        <f aca="true" t="shared" si="14" ref="D51:L51">D46+D48</f>
        <v>857.78</v>
      </c>
      <c r="E51" s="53">
        <f t="shared" si="14"/>
        <v>22.3</v>
      </c>
      <c r="F51" s="53">
        <f t="shared" si="14"/>
        <v>634.48</v>
      </c>
      <c r="G51" s="53">
        <f t="shared" si="14"/>
        <v>34.26</v>
      </c>
      <c r="H51" s="53">
        <f t="shared" si="14"/>
        <v>48955.999999999985</v>
      </c>
      <c r="I51" s="53">
        <f t="shared" si="14"/>
        <v>1839.2400000000005</v>
      </c>
      <c r="J51" s="53">
        <f t="shared" si="14"/>
        <v>50795.23999999999</v>
      </c>
      <c r="K51" s="53">
        <f t="shared" si="14"/>
        <v>26033.760000000013</v>
      </c>
      <c r="L51" s="53">
        <f t="shared" si="14"/>
        <v>19465.410000000014</v>
      </c>
      <c r="M51" s="38"/>
      <c r="N51" s="12"/>
    </row>
    <row r="52" spans="1:14" ht="24" customHeight="1">
      <c r="A52" s="9"/>
      <c r="B52" s="10"/>
      <c r="C52" s="11"/>
      <c r="H52" s="11"/>
      <c r="I52" s="11"/>
      <c r="J52" s="11"/>
      <c r="K52" s="11"/>
      <c r="L52" s="11"/>
      <c r="M52" s="38"/>
      <c r="N52" s="12"/>
    </row>
    <row r="53" spans="1:14" ht="33.75">
      <c r="A53" s="57" t="s">
        <v>44</v>
      </c>
      <c r="B53" s="58">
        <v>43385.81</v>
      </c>
      <c r="C53" s="13"/>
      <c r="D53" s="13"/>
      <c r="E53" s="13"/>
      <c r="F53" s="13"/>
      <c r="G53" s="13"/>
      <c r="H53" s="46"/>
      <c r="I53" s="46"/>
      <c r="J53" s="46"/>
      <c r="K53" s="46"/>
      <c r="L53" s="46"/>
      <c r="M53" s="38"/>
      <c r="N53" s="12"/>
    </row>
    <row r="54" spans="1:14" ht="33.75">
      <c r="A54" s="9" t="s">
        <v>45</v>
      </c>
      <c r="B54" s="58">
        <v>10000</v>
      </c>
      <c r="C54" s="16"/>
      <c r="D54" s="11"/>
      <c r="E54" s="11"/>
      <c r="F54" s="11"/>
      <c r="G54" s="11"/>
      <c r="H54" s="11"/>
      <c r="I54" s="2"/>
      <c r="J54" s="11"/>
      <c r="K54" s="11"/>
      <c r="L54" s="11"/>
      <c r="M54" s="38"/>
      <c r="N54" s="12"/>
    </row>
    <row r="55" spans="1:14" ht="22.5">
      <c r="A55" s="14" t="s">
        <v>46</v>
      </c>
      <c r="B55" s="58">
        <v>15347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  <c r="N55" s="12"/>
    </row>
    <row r="56" spans="1:14" ht="33.75">
      <c r="A56" s="14" t="s">
        <v>50</v>
      </c>
      <c r="B56" s="58">
        <v>5000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8"/>
      <c r="N56" s="17"/>
    </row>
    <row r="57" spans="1:14" ht="22.5">
      <c r="A57" s="14" t="s">
        <v>55</v>
      </c>
      <c r="B57" s="58">
        <v>42388.29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8"/>
      <c r="N57" s="12"/>
    </row>
    <row r="58" spans="1:14" ht="22.5" customHeight="1">
      <c r="A58" s="57" t="s">
        <v>56</v>
      </c>
      <c r="B58" s="58">
        <v>127.22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8"/>
      <c r="N58" s="12"/>
    </row>
    <row r="59" spans="1:14" ht="22.5">
      <c r="A59" s="57" t="s">
        <v>57</v>
      </c>
      <c r="B59" s="58">
        <v>7500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N59" s="12"/>
    </row>
    <row r="60" spans="1:14" ht="23.25">
      <c r="A60" s="18" t="s">
        <v>58</v>
      </c>
      <c r="B60" s="58">
        <v>3000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23.25">
      <c r="A61" s="18" t="s">
        <v>59</v>
      </c>
      <c r="B61" s="58">
        <v>4032.57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>
      <c r="A62" s="19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15">
      <c r="A64" s="18"/>
      <c r="B64" s="10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12"/>
    </row>
    <row r="65" spans="1:14" ht="25.5" customHeight="1">
      <c r="A65" s="18"/>
      <c r="B65" s="10"/>
      <c r="C65" s="21"/>
      <c r="D65" s="21"/>
      <c r="E65" s="21"/>
      <c r="F65" s="21"/>
      <c r="G65" s="21"/>
      <c r="H65" s="21"/>
      <c r="I65" s="21"/>
      <c r="J65" s="21"/>
      <c r="K65" s="21"/>
      <c r="L65" s="21"/>
      <c r="N65" s="12"/>
    </row>
    <row r="66" spans="1:14" ht="15" customHeight="1">
      <c r="A66" s="18"/>
      <c r="B66" s="10"/>
      <c r="C66" s="21"/>
      <c r="D66" s="21"/>
      <c r="E66" s="21"/>
      <c r="F66" s="21"/>
      <c r="G66" s="21"/>
      <c r="H66" s="21"/>
      <c r="I66" s="21"/>
      <c r="J66" s="21"/>
      <c r="K66" s="21"/>
      <c r="L66" s="21"/>
      <c r="N66" s="12"/>
    </row>
    <row r="67" spans="1:14" ht="15" customHeight="1">
      <c r="A67" s="20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12"/>
    </row>
    <row r="68" spans="1:14" ht="15" customHeight="1">
      <c r="A68" s="22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3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5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7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47"/>
      <c r="N72" s="24"/>
    </row>
    <row r="73" spans="1:14" ht="11.25" customHeight="1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47"/>
      <c r="N73" s="24"/>
    </row>
    <row r="74" spans="1:14" ht="11.25" customHeight="1">
      <c r="A74" s="22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47"/>
      <c r="N74" s="24"/>
    </row>
    <row r="75" spans="1:14" ht="11.25" customHeight="1">
      <c r="A75" s="22"/>
      <c r="B75" s="22"/>
      <c r="C75" s="21"/>
      <c r="D75" s="21"/>
      <c r="E75" s="21"/>
      <c r="F75" s="21"/>
      <c r="G75" s="21"/>
      <c r="H75" s="21"/>
      <c r="I75" s="21"/>
      <c r="J75" s="21"/>
      <c r="K75" s="21"/>
      <c r="L75" s="21"/>
      <c r="N75" s="24"/>
    </row>
    <row r="76" spans="1:13" ht="15">
      <c r="A76" s="22"/>
      <c r="B76" s="22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36"/>
    </row>
    <row r="77" spans="1:13" ht="15">
      <c r="A77" s="22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36"/>
    </row>
    <row r="78" spans="1:12" ht="15">
      <c r="A78" s="22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15">
      <c r="A83" s="24"/>
      <c r="B83" s="24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4" s="35" customFormat="1" ht="15">
      <c r="A84" s="24"/>
      <c r="B84" s="24"/>
      <c r="C84" s="48"/>
      <c r="D84" s="48"/>
      <c r="E84" s="48"/>
      <c r="F84" s="48"/>
      <c r="G84" s="48"/>
      <c r="H84" s="48"/>
      <c r="I84" s="48"/>
      <c r="J84" s="48"/>
      <c r="K84" s="48"/>
      <c r="L84" s="48"/>
      <c r="N84" s="36"/>
    </row>
    <row r="85" spans="1:12" ht="15">
      <c r="A85" s="24"/>
      <c r="B85" s="24"/>
      <c r="C85" s="48"/>
      <c r="D85" s="48"/>
      <c r="E85" s="48"/>
      <c r="F85" s="48"/>
      <c r="G85" s="48"/>
      <c r="H85" s="48"/>
      <c r="I85" s="48"/>
      <c r="J85" s="48"/>
      <c r="K85" s="48"/>
      <c r="L85" s="48"/>
    </row>
  </sheetData>
  <sheetProtection/>
  <mergeCells count="6">
    <mergeCell ref="A13:B13"/>
    <mergeCell ref="A20:B20"/>
    <mergeCell ref="A25:B25"/>
    <mergeCell ref="A30:B30"/>
    <mergeCell ref="A40:B40"/>
    <mergeCell ref="A43:B4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7.5742187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69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72"/>
    </row>
    <row r="3" spans="1:14" s="44" customFormat="1" ht="11.25" customHeight="1">
      <c r="A3" s="31" t="s">
        <v>11</v>
      </c>
      <c r="B3" s="32">
        <v>55010500</v>
      </c>
      <c r="C3" s="33">
        <f>9670-5000-4032.57</f>
        <v>637.4299999999998</v>
      </c>
      <c r="D3" s="33">
        <v>0</v>
      </c>
      <c r="E3" s="33">
        <v>0</v>
      </c>
      <c r="F3" s="33">
        <v>0</v>
      </c>
      <c r="G3" s="33">
        <v>0</v>
      </c>
      <c r="H3" s="33">
        <f>'5-19-16'!H3+D3+F3</f>
        <v>604.8</v>
      </c>
      <c r="I3" s="33">
        <f>'5-19-16'!I3+E3+G3</f>
        <v>32.629999999999995</v>
      </c>
      <c r="J3" s="33">
        <f>H3+I3</f>
        <v>637.43</v>
      </c>
      <c r="K3" s="33">
        <f>C3-J3</f>
        <v>0</v>
      </c>
      <c r="L3" s="33">
        <f>C3-(J3/24.2*26.2)</f>
        <v>-52.68016528925625</v>
      </c>
      <c r="M3" s="70"/>
      <c r="N3" s="43"/>
    </row>
    <row r="4" spans="1:14" s="44" customFormat="1" ht="11.25" customHeight="1">
      <c r="A4" s="31" t="s">
        <v>12</v>
      </c>
      <c r="B4" s="32">
        <v>55020200</v>
      </c>
      <c r="C4" s="33">
        <f>32649-7500</f>
        <v>25149</v>
      </c>
      <c r="D4" s="33">
        <v>1190.78</v>
      </c>
      <c r="E4" s="33">
        <v>30.95</v>
      </c>
      <c r="F4" s="33">
        <v>0</v>
      </c>
      <c r="G4" s="33">
        <v>0</v>
      </c>
      <c r="H4" s="33">
        <f>'5-19-16'!H4+D4+F4</f>
        <v>10931.139999999998</v>
      </c>
      <c r="I4" s="33">
        <f>'5-19-16'!I4+E4+G4</f>
        <v>353.09000000000003</v>
      </c>
      <c r="J4" s="33">
        <f>H4+I4</f>
        <v>11284.229999999998</v>
      </c>
      <c r="K4" s="33">
        <f>C4-J4</f>
        <v>13864.770000000002</v>
      </c>
      <c r="L4" s="33">
        <f aca="true" t="shared" si="0" ref="L4:L12">C4-(J4/24.2*26.2)</f>
        <v>12932.189008264464</v>
      </c>
      <c r="M4" s="73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772.45</v>
      </c>
      <c r="E5" s="33">
        <v>20.07</v>
      </c>
      <c r="F5" s="33">
        <v>0</v>
      </c>
      <c r="G5" s="33">
        <v>0</v>
      </c>
      <c r="H5" s="33">
        <f>'5-19-16'!H5+D5+F5</f>
        <v>11618.99</v>
      </c>
      <c r="I5" s="33">
        <f>'5-19-16'!I5+E5+G5</f>
        <v>301.84</v>
      </c>
      <c r="J5" s="33">
        <f aca="true" t="shared" si="1" ref="J5:J11">H5+I5</f>
        <v>11920.83</v>
      </c>
      <c r="K5" s="33">
        <f aca="true" t="shared" si="2" ref="K5:K11">C5-J5</f>
        <v>6053.17</v>
      </c>
      <c r="L5" s="33">
        <f t="shared" si="0"/>
        <v>5067.977438016529</v>
      </c>
      <c r="M5" s="73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f>26.78+169.11</f>
        <v>195.89000000000001</v>
      </c>
      <c r="E6" s="33">
        <f>0.69+4.38</f>
        <v>5.07</v>
      </c>
      <c r="F6" s="33">
        <v>0</v>
      </c>
      <c r="G6" s="33">
        <v>0</v>
      </c>
      <c r="H6" s="33">
        <f>'5-19-16'!H6+D6+F6</f>
        <v>9641.630000000001</v>
      </c>
      <c r="I6" s="33">
        <f>'5-19-16'!I6+E6+G6</f>
        <v>250.32000000000002</v>
      </c>
      <c r="J6" s="33">
        <f>H6+I6</f>
        <v>9891.95</v>
      </c>
      <c r="K6" s="33">
        <f t="shared" si="2"/>
        <v>8082.049999999999</v>
      </c>
      <c r="L6" s="33">
        <f t="shared" si="0"/>
        <v>7264.533471074379</v>
      </c>
      <c r="M6" s="73"/>
      <c r="N6" s="61"/>
    </row>
    <row r="7" spans="1:13" s="44" customFormat="1" ht="11.25" customHeight="1">
      <c r="A7" s="31" t="s">
        <v>15</v>
      </c>
      <c r="B7" s="32">
        <v>55030200</v>
      </c>
      <c r="C7" s="33">
        <f>24330+7500-5000</f>
        <v>26830</v>
      </c>
      <c r="D7" s="33">
        <f>31.63+897.59</f>
        <v>929.22</v>
      </c>
      <c r="E7" s="33">
        <f>0.82+23.33</f>
        <v>24.15</v>
      </c>
      <c r="F7" s="33">
        <v>0</v>
      </c>
      <c r="G7" s="33">
        <v>0</v>
      </c>
      <c r="H7" s="33">
        <f>'5-19-16'!H7+D7+F7</f>
        <v>16150.049999999997</v>
      </c>
      <c r="I7" s="33">
        <f>'5-19-16'!I7+E7+G7</f>
        <v>419.72</v>
      </c>
      <c r="J7" s="33">
        <f t="shared" si="1"/>
        <v>16569.769999999997</v>
      </c>
      <c r="K7" s="33">
        <f t="shared" si="2"/>
        <v>10260.230000000003</v>
      </c>
      <c r="L7" s="33">
        <f t="shared" si="0"/>
        <v>8890.827520661162</v>
      </c>
      <c r="M7" s="73"/>
    </row>
    <row r="8" spans="1:13" s="44" customFormat="1" ht="11.25" customHeight="1">
      <c r="A8" s="31" t="s">
        <v>16</v>
      </c>
      <c r="B8" s="32">
        <v>55050200</v>
      </c>
      <c r="C8" s="33">
        <f>29837-127.22+5000</f>
        <v>34709.78</v>
      </c>
      <c r="D8" s="33">
        <f>13.27+1359.23</f>
        <v>1372.5</v>
      </c>
      <c r="E8" s="33">
        <f>0.34+35.33</f>
        <v>35.67</v>
      </c>
      <c r="F8" s="33">
        <v>0</v>
      </c>
      <c r="G8" s="33">
        <v>0</v>
      </c>
      <c r="H8" s="33">
        <f>'5-19-16'!H8+D8+F8</f>
        <v>27407.83</v>
      </c>
      <c r="I8" s="33">
        <f>'5-19-16'!I8+E8+G8</f>
        <v>859.0399999999998</v>
      </c>
      <c r="J8" s="33">
        <f t="shared" si="1"/>
        <v>28266.870000000003</v>
      </c>
      <c r="K8" s="33">
        <f t="shared" si="2"/>
        <v>6442.909999999996</v>
      </c>
      <c r="L8" s="33">
        <f t="shared" si="0"/>
        <v>4106.80504132231</v>
      </c>
      <c r="M8" s="73"/>
    </row>
    <row r="9" spans="1:13" s="44" customFormat="1" ht="11.25" customHeight="1">
      <c r="A9" s="31" t="s">
        <v>51</v>
      </c>
      <c r="B9" s="32">
        <v>55050400</v>
      </c>
      <c r="C9" s="33">
        <v>5000</v>
      </c>
      <c r="D9" s="33">
        <v>0</v>
      </c>
      <c r="E9" s="33">
        <v>0</v>
      </c>
      <c r="F9" s="33">
        <v>45.2</v>
      </c>
      <c r="G9" s="33">
        <v>2.44</v>
      </c>
      <c r="H9" s="33">
        <f>'5-19-16'!H9+D9+F9</f>
        <v>2204.3599999999997</v>
      </c>
      <c r="I9" s="33">
        <f>'5-19-16'!I9+E9+G9</f>
        <v>31.62</v>
      </c>
      <c r="J9" s="33">
        <f t="shared" si="1"/>
        <v>2235.9799999999996</v>
      </c>
      <c r="K9" s="33">
        <f t="shared" si="2"/>
        <v>2764.0200000000004</v>
      </c>
      <c r="L9" s="33">
        <f t="shared" si="0"/>
        <v>2579.2282644628103</v>
      </c>
      <c r="M9" s="70"/>
    </row>
    <row r="10" spans="1:13" s="44" customFormat="1" ht="11.25" customHeight="1">
      <c r="A10" s="31" t="s">
        <v>17</v>
      </c>
      <c r="B10" s="32">
        <v>55070100</v>
      </c>
      <c r="C10" s="33">
        <f>26873+10510+5358+3000+4032.57</f>
        <v>49773.57</v>
      </c>
      <c r="D10" s="33">
        <f>-76.84+877.84</f>
        <v>801</v>
      </c>
      <c r="E10" s="33">
        <f>-1.99+22.82</f>
        <v>20.830000000000002</v>
      </c>
      <c r="F10" s="33">
        <v>995.75</v>
      </c>
      <c r="G10" s="33">
        <v>53.76</v>
      </c>
      <c r="H10" s="33">
        <f>'5-19-16'!H10+D10+F10</f>
        <v>47894.229999999996</v>
      </c>
      <c r="I10" s="33">
        <f>'5-19-16'!I10+E10+G10</f>
        <v>1715.46</v>
      </c>
      <c r="J10" s="33">
        <f t="shared" si="1"/>
        <v>49609.689999999995</v>
      </c>
      <c r="K10" s="33">
        <f t="shared" si="2"/>
        <v>163.88000000000466</v>
      </c>
      <c r="L10" s="33">
        <f t="shared" si="0"/>
        <v>-3936.09438016529</v>
      </c>
      <c r="M10" s="73"/>
    </row>
    <row r="11" spans="1:13" s="44" customFormat="1" ht="11.25" customHeight="1">
      <c r="A11" s="31" t="s">
        <v>18</v>
      </c>
      <c r="B11" s="32">
        <v>55070400</v>
      </c>
      <c r="C11" s="33">
        <f>3000-3000</f>
        <v>0</v>
      </c>
      <c r="D11" s="33">
        <v>0</v>
      </c>
      <c r="E11" s="33">
        <v>0</v>
      </c>
      <c r="F11" s="33">
        <v>0</v>
      </c>
      <c r="G11" s="33">
        <v>0</v>
      </c>
      <c r="H11" s="33">
        <f>'5-19-16'!H11+D11+F11</f>
        <v>0</v>
      </c>
      <c r="I11" s="33">
        <f>'5-19-16'!I11+E11+G11</f>
        <v>0</v>
      </c>
      <c r="J11" s="33">
        <f t="shared" si="1"/>
        <v>0</v>
      </c>
      <c r="K11" s="33">
        <f t="shared" si="2"/>
        <v>0</v>
      </c>
      <c r="L11" s="33">
        <f t="shared" si="0"/>
        <v>0</v>
      </c>
      <c r="M11" s="73"/>
    </row>
    <row r="12" spans="1:13" s="44" customFormat="1" ht="11.25" customHeight="1">
      <c r="A12" s="31" t="s">
        <v>20</v>
      </c>
      <c r="B12" s="32">
        <v>55080100</v>
      </c>
      <c r="C12" s="33">
        <v>23173</v>
      </c>
      <c r="D12" s="33">
        <v>520.74</v>
      </c>
      <c r="E12" s="33">
        <v>13.53</v>
      </c>
      <c r="F12" s="33">
        <v>0</v>
      </c>
      <c r="G12" s="33">
        <v>0</v>
      </c>
      <c r="H12" s="33">
        <f>'5-19-16'!H12+D12+F12</f>
        <v>19971.090000000004</v>
      </c>
      <c r="I12" s="33">
        <f>'5-19-16'!I12+E12+G12</f>
        <v>601.49</v>
      </c>
      <c r="J12" s="33">
        <f>H12+I12</f>
        <v>20572.580000000005</v>
      </c>
      <c r="K12" s="33">
        <f>C12-J12</f>
        <v>2600.4199999999946</v>
      </c>
      <c r="L12" s="33">
        <f t="shared" si="0"/>
        <v>900.206776859497</v>
      </c>
      <c r="M12" s="73"/>
    </row>
    <row r="13" spans="1:14" ht="24.75" customHeight="1">
      <c r="A13" s="75" t="s">
        <v>36</v>
      </c>
      <c r="B13" s="76"/>
      <c r="C13" s="49">
        <f>SUM(C3:C12)</f>
        <v>201220.78</v>
      </c>
      <c r="D13" s="49">
        <f aca="true" t="shared" si="3" ref="D13:L13">SUM(D3:D12)</f>
        <v>5782.58</v>
      </c>
      <c r="E13" s="49">
        <f t="shared" si="3"/>
        <v>150.27</v>
      </c>
      <c r="F13" s="49">
        <f t="shared" si="3"/>
        <v>1040.95</v>
      </c>
      <c r="G13" s="49">
        <f t="shared" si="3"/>
        <v>56.199999999999996</v>
      </c>
      <c r="H13" s="49">
        <f t="shared" si="3"/>
        <v>146424.12</v>
      </c>
      <c r="I13" s="49">
        <f t="shared" si="3"/>
        <v>4565.21</v>
      </c>
      <c r="J13" s="49">
        <f t="shared" si="3"/>
        <v>150989.33000000002</v>
      </c>
      <c r="K13" s="49">
        <f t="shared" si="3"/>
        <v>50231.45</v>
      </c>
      <c r="L13" s="49">
        <f t="shared" si="3"/>
        <v>37752.99297520661</v>
      </c>
      <c r="M13" s="71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71"/>
      <c r="N14" s="39"/>
    </row>
    <row r="15" spans="1:14" ht="11.25" customHeight="1">
      <c r="A15" s="28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71"/>
      <c r="N15" s="39"/>
    </row>
    <row r="16" spans="1:14" s="44" customFormat="1" ht="11.25" customHeight="1">
      <c r="A16" s="31" t="s">
        <v>19</v>
      </c>
      <c r="B16" s="32">
        <v>55030100</v>
      </c>
      <c r="C16" s="33">
        <v>13540</v>
      </c>
      <c r="D16" s="33">
        <v>140.96</v>
      </c>
      <c r="E16" s="33">
        <v>3.65</v>
      </c>
      <c r="F16" s="33">
        <v>0</v>
      </c>
      <c r="G16" s="33">
        <v>0</v>
      </c>
      <c r="H16" s="33">
        <f>'5-19-16'!H16+D16+F16</f>
        <v>7001.379999999999</v>
      </c>
      <c r="I16" s="33">
        <f>'5-19-16'!I16+E16+G16</f>
        <v>197.49</v>
      </c>
      <c r="J16" s="33">
        <f aca="true" t="shared" si="4" ref="J16:J24">H16+I16</f>
        <v>7198.869999999999</v>
      </c>
      <c r="K16" s="33">
        <f aca="true" t="shared" si="5" ref="K16:K24">C16-J16</f>
        <v>6341.130000000001</v>
      </c>
      <c r="L16" s="33">
        <f>C16-(J16/24.2*26.2)</f>
        <v>5746.182066115704</v>
      </c>
      <c r="M16" s="70"/>
      <c r="N16" s="43"/>
    </row>
    <row r="17" spans="1:14" s="44" customFormat="1" ht="11.25" customHeight="1">
      <c r="A17" s="31" t="s">
        <v>33</v>
      </c>
      <c r="B17" s="32">
        <v>55110100</v>
      </c>
      <c r="C17" s="33">
        <v>7073</v>
      </c>
      <c r="D17" s="33">
        <v>83</v>
      </c>
      <c r="E17" s="33">
        <v>2.15</v>
      </c>
      <c r="F17" s="33">
        <v>0</v>
      </c>
      <c r="G17" s="33">
        <v>0</v>
      </c>
      <c r="H17" s="33">
        <f>'5-19-16'!H17+D17+F17</f>
        <v>926.07</v>
      </c>
      <c r="I17" s="33">
        <f>'5-19-16'!I17+E17+G17</f>
        <v>25.58</v>
      </c>
      <c r="J17" s="33">
        <f t="shared" si="4"/>
        <v>951.6500000000001</v>
      </c>
      <c r="K17" s="33">
        <f t="shared" si="5"/>
        <v>6121.35</v>
      </c>
      <c r="L17" s="33">
        <f>C17-(J17/24.2*26.2)</f>
        <v>6042.701239669421</v>
      </c>
      <c r="M17" s="70"/>
      <c r="N17" s="43"/>
    </row>
    <row r="18" spans="1:14" s="44" customFormat="1" ht="11.25" customHeight="1">
      <c r="A18" s="31" t="s">
        <v>23</v>
      </c>
      <c r="B18" s="32">
        <v>55160100</v>
      </c>
      <c r="C18" s="33">
        <v>16062</v>
      </c>
      <c r="D18" s="33">
        <v>0</v>
      </c>
      <c r="E18" s="33">
        <v>0</v>
      </c>
      <c r="F18" s="33">
        <v>90.3</v>
      </c>
      <c r="G18" s="33">
        <v>4.87</v>
      </c>
      <c r="H18" s="33">
        <f>'5-19-16'!H18+D18+F18</f>
        <v>10392.129999999996</v>
      </c>
      <c r="I18" s="33">
        <f>'5-19-16'!I18+E18+G18</f>
        <v>406.81999999999994</v>
      </c>
      <c r="J18" s="33">
        <f t="shared" si="4"/>
        <v>10798.949999999995</v>
      </c>
      <c r="K18" s="33">
        <f t="shared" si="5"/>
        <v>5263.050000000005</v>
      </c>
      <c r="L18" s="33">
        <f>C18-(J18/24.2*26.2)</f>
        <v>4370.574793388434</v>
      </c>
      <c r="M18" s="70"/>
      <c r="N18" s="60"/>
    </row>
    <row r="19" spans="1:14" s="44" customFormat="1" ht="11.25" customHeight="1">
      <c r="A19" s="31" t="s">
        <v>61</v>
      </c>
      <c r="B19" s="32" t="s">
        <v>62</v>
      </c>
      <c r="C19" s="33">
        <v>2500</v>
      </c>
      <c r="D19" s="33">
        <v>0</v>
      </c>
      <c r="E19" s="33">
        <v>0</v>
      </c>
      <c r="F19" s="33">
        <v>616.32</v>
      </c>
      <c r="G19" s="33">
        <v>33.27</v>
      </c>
      <c r="H19" s="33">
        <f>'5-19-16'!H19+D19+F19</f>
        <v>885.96</v>
      </c>
      <c r="I19" s="33">
        <f>'5-19-16'!I19+E19+G19</f>
        <v>47.830000000000005</v>
      </c>
      <c r="J19" s="33">
        <f t="shared" si="4"/>
        <v>933.7900000000001</v>
      </c>
      <c r="K19" s="33">
        <f t="shared" si="5"/>
        <v>1566.21</v>
      </c>
      <c r="L19" s="33">
        <f>C19-(J19/24.2*26.2)</f>
        <v>1489.0372727272725</v>
      </c>
      <c r="M19" s="70"/>
      <c r="N19" s="60"/>
    </row>
    <row r="20" spans="1:14" ht="24.75" customHeight="1">
      <c r="A20" s="75" t="s">
        <v>37</v>
      </c>
      <c r="B20" s="76"/>
      <c r="C20" s="49">
        <f>SUM(C16:C19)</f>
        <v>39175</v>
      </c>
      <c r="D20" s="49">
        <f aca="true" t="shared" si="6" ref="D20:L20">SUM(D16:D18)</f>
        <v>223.96</v>
      </c>
      <c r="E20" s="49">
        <f t="shared" si="6"/>
        <v>5.8</v>
      </c>
      <c r="F20" s="49">
        <f>SUM(F16:F19)</f>
        <v>706.62</v>
      </c>
      <c r="G20" s="49">
        <f>SUM(G16:G19)</f>
        <v>38.14</v>
      </c>
      <c r="H20" s="49">
        <f t="shared" si="6"/>
        <v>18319.579999999994</v>
      </c>
      <c r="I20" s="49">
        <f t="shared" si="6"/>
        <v>629.8899999999999</v>
      </c>
      <c r="J20" s="49">
        <f t="shared" si="6"/>
        <v>18949.469999999994</v>
      </c>
      <c r="K20" s="49">
        <f t="shared" si="6"/>
        <v>17725.530000000006</v>
      </c>
      <c r="L20" s="49">
        <f t="shared" si="6"/>
        <v>16159.45809917356</v>
      </c>
      <c r="M20" s="71"/>
      <c r="N20" s="41"/>
    </row>
    <row r="21" spans="1:14" ht="11.25" customHeight="1">
      <c r="A21" s="28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71"/>
      <c r="N21" s="41"/>
    </row>
    <row r="22" spans="1:14" ht="11.25" customHeight="1">
      <c r="A22" s="28"/>
      <c r="B22" s="28"/>
      <c r="C22" s="8"/>
      <c r="D22" s="8"/>
      <c r="E22" s="8"/>
      <c r="F22" s="8"/>
      <c r="G22" s="8"/>
      <c r="H22" s="8"/>
      <c r="I22" s="8"/>
      <c r="J22" s="8"/>
      <c r="K22" s="8"/>
      <c r="L22" s="8"/>
      <c r="M22" s="71"/>
      <c r="N22" s="41"/>
    </row>
    <row r="23" spans="1:14" s="44" customFormat="1" ht="11.25" customHeight="1">
      <c r="A23" s="31" t="s">
        <v>21</v>
      </c>
      <c r="B23" s="32">
        <v>55090100</v>
      </c>
      <c r="C23" s="33">
        <v>26923</v>
      </c>
      <c r="D23" s="33">
        <v>0</v>
      </c>
      <c r="E23" s="33">
        <v>0</v>
      </c>
      <c r="F23" s="33">
        <v>0</v>
      </c>
      <c r="G23" s="33">
        <v>0</v>
      </c>
      <c r="H23" s="33">
        <f>'5-19-16'!H23+D23+F23</f>
        <v>24671.879999999994</v>
      </c>
      <c r="I23" s="33">
        <f>'5-19-16'!I23+E23+G23</f>
        <v>1132.23</v>
      </c>
      <c r="J23" s="33">
        <f t="shared" si="4"/>
        <v>25804.109999999993</v>
      </c>
      <c r="K23" s="33">
        <f t="shared" si="5"/>
        <v>1118.8900000000067</v>
      </c>
      <c r="L23" s="33">
        <f>C23-(J23/24.2*26.2)</f>
        <v>-1013.6810743801543</v>
      </c>
      <c r="M23" s="70"/>
      <c r="N23" s="60"/>
    </row>
    <row r="24" spans="1:14" s="44" customFormat="1" ht="11.25" customHeight="1">
      <c r="A24" s="31" t="s">
        <v>22</v>
      </c>
      <c r="B24" s="32">
        <v>55100100</v>
      </c>
      <c r="C24" s="33">
        <v>2026</v>
      </c>
      <c r="D24" s="33">
        <v>0</v>
      </c>
      <c r="E24" s="33">
        <v>0</v>
      </c>
      <c r="F24" s="33">
        <v>58.76</v>
      </c>
      <c r="G24" s="33">
        <v>3.17</v>
      </c>
      <c r="H24" s="33">
        <f>'5-19-16'!H24+D24+F24</f>
        <v>1104.52</v>
      </c>
      <c r="I24" s="33">
        <f>'5-19-16'!I24+E24+G24</f>
        <v>57.26</v>
      </c>
      <c r="J24" s="33">
        <f t="shared" si="4"/>
        <v>1161.78</v>
      </c>
      <c r="K24" s="33">
        <f t="shared" si="5"/>
        <v>864.22</v>
      </c>
      <c r="L24" s="33">
        <f>C24-(J24/24.2*26.2)</f>
        <v>768.2051239669422</v>
      </c>
      <c r="M24" s="70"/>
      <c r="N24" s="60"/>
    </row>
    <row r="25" spans="1:14" ht="24.75" customHeight="1">
      <c r="A25" s="75" t="s">
        <v>38</v>
      </c>
      <c r="B25" s="76"/>
      <c r="C25" s="49">
        <f>SUM(C23:C24)</f>
        <v>28949</v>
      </c>
      <c r="D25" s="49">
        <f aca="true" t="shared" si="7" ref="D25:L25">SUM(D23:D24)</f>
        <v>0</v>
      </c>
      <c r="E25" s="49">
        <f t="shared" si="7"/>
        <v>0</v>
      </c>
      <c r="F25" s="49">
        <f t="shared" si="7"/>
        <v>58.76</v>
      </c>
      <c r="G25" s="49">
        <f t="shared" si="7"/>
        <v>3.17</v>
      </c>
      <c r="H25" s="49">
        <f t="shared" si="7"/>
        <v>25776.399999999994</v>
      </c>
      <c r="I25" s="49">
        <f t="shared" si="7"/>
        <v>1189.49</v>
      </c>
      <c r="J25" s="49">
        <f t="shared" si="7"/>
        <v>26965.889999999992</v>
      </c>
      <c r="K25" s="49">
        <f t="shared" si="7"/>
        <v>1983.1100000000067</v>
      </c>
      <c r="L25" s="49">
        <f t="shared" si="7"/>
        <v>-245.4759504132121</v>
      </c>
      <c r="M25" s="71"/>
      <c r="N25" s="41"/>
    </row>
    <row r="26" spans="1:14" ht="11.2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71"/>
      <c r="N26" s="39"/>
    </row>
    <row r="27" spans="1:14" ht="11.25" customHeight="1">
      <c r="A27" s="28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71"/>
      <c r="N27" s="39"/>
    </row>
    <row r="28" spans="1:13" s="44" customFormat="1" ht="11.25" customHeight="1">
      <c r="A28" s="31" t="s">
        <v>26</v>
      </c>
      <c r="B28" s="32">
        <v>55130100</v>
      </c>
      <c r="C28" s="33">
        <v>4523</v>
      </c>
      <c r="D28" s="33">
        <f>243.96+256.8</f>
        <v>500.76</v>
      </c>
      <c r="E28" s="33">
        <f>6.34+6.67</f>
        <v>13.01</v>
      </c>
      <c r="F28" s="33">
        <v>0</v>
      </c>
      <c r="G28" s="33">
        <v>0</v>
      </c>
      <c r="H28" s="33">
        <f>'5-19-16'!H28+D28+F28</f>
        <v>2758.4000000000005</v>
      </c>
      <c r="I28" s="33">
        <f>'5-19-16'!I28+E28+G28</f>
        <v>71.55000000000001</v>
      </c>
      <c r="J28" s="33">
        <f>H28+I28</f>
        <v>2829.9500000000007</v>
      </c>
      <c r="K28" s="33">
        <f>C28-J28</f>
        <v>1693.0499999999993</v>
      </c>
      <c r="L28" s="33">
        <f>C28-(J28/24.2*26.2)</f>
        <v>1459.169834710743</v>
      </c>
      <c r="M28" s="73"/>
    </row>
    <row r="29" spans="1:13" s="44" customFormat="1" ht="11.25" customHeight="1">
      <c r="A29" s="31" t="s">
        <v>30</v>
      </c>
      <c r="B29" s="32">
        <v>55140100</v>
      </c>
      <c r="C29" s="33">
        <v>2995</v>
      </c>
      <c r="D29" s="33">
        <v>0</v>
      </c>
      <c r="E29" s="33">
        <v>0</v>
      </c>
      <c r="F29" s="33">
        <v>0</v>
      </c>
      <c r="G29" s="33">
        <v>0</v>
      </c>
      <c r="H29" s="33">
        <f>'5-19-16'!H29+D29+F29</f>
        <v>2542.32</v>
      </c>
      <c r="I29" s="33">
        <f>'5-19-16'!I29+E29+G29</f>
        <v>137.11999999999998</v>
      </c>
      <c r="J29" s="33">
        <f>H29+I29</f>
        <v>2679.44</v>
      </c>
      <c r="K29" s="33">
        <f>C29-J29</f>
        <v>315.55999999999995</v>
      </c>
      <c r="L29" s="33">
        <f>C29-(J29/24.2*26.2)</f>
        <v>94.11867768595039</v>
      </c>
      <c r="M29" s="73"/>
    </row>
    <row r="30" spans="1:14" s="44" customFormat="1" ht="24.75" customHeight="1">
      <c r="A30" s="75" t="s">
        <v>39</v>
      </c>
      <c r="B30" s="76"/>
      <c r="C30" s="49">
        <f aca="true" t="shared" si="8" ref="C30:L30">SUM(C28:C29)</f>
        <v>7518</v>
      </c>
      <c r="D30" s="49">
        <f t="shared" si="8"/>
        <v>500.76</v>
      </c>
      <c r="E30" s="49">
        <f t="shared" si="8"/>
        <v>13.01</v>
      </c>
      <c r="F30" s="49">
        <f t="shared" si="8"/>
        <v>0</v>
      </c>
      <c r="G30" s="49">
        <f t="shared" si="8"/>
        <v>0</v>
      </c>
      <c r="H30" s="49">
        <f t="shared" si="8"/>
        <v>5300.720000000001</v>
      </c>
      <c r="I30" s="49">
        <f t="shared" si="8"/>
        <v>208.67</v>
      </c>
      <c r="J30" s="62">
        <f t="shared" si="8"/>
        <v>5509.390000000001</v>
      </c>
      <c r="K30" s="49">
        <f t="shared" si="8"/>
        <v>2008.6099999999992</v>
      </c>
      <c r="L30" s="49">
        <f t="shared" si="8"/>
        <v>1553.2885123966935</v>
      </c>
      <c r="M30" s="70"/>
      <c r="N30" s="43"/>
    </row>
    <row r="31" spans="1:14" ht="11.2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71"/>
      <c r="N31" s="39"/>
    </row>
    <row r="32" spans="1:14" ht="11.25" customHeight="1">
      <c r="A32" s="28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71"/>
      <c r="N32" s="39"/>
    </row>
    <row r="33" spans="1:14" s="44" customFormat="1" ht="11.25" customHeight="1">
      <c r="A33" s="31" t="s">
        <v>34</v>
      </c>
      <c r="B33" s="32">
        <v>55010000</v>
      </c>
      <c r="C33" s="33">
        <f>24725-15347</f>
        <v>9378</v>
      </c>
      <c r="D33" s="33">
        <v>300</v>
      </c>
      <c r="E33" s="33">
        <v>7.8</v>
      </c>
      <c r="F33" s="33">
        <v>2227.17</v>
      </c>
      <c r="G33" s="33">
        <v>120.26</v>
      </c>
      <c r="H33" s="33">
        <f>'5-19-16'!H33+D33+F33</f>
        <v>5551.4400000000005</v>
      </c>
      <c r="I33" s="33">
        <f>'5-19-16'!I33+E33+G33</f>
        <v>272.66</v>
      </c>
      <c r="J33" s="33">
        <f aca="true" t="shared" si="9" ref="J33:J39">H33+I33</f>
        <v>5824.1</v>
      </c>
      <c r="K33" s="33">
        <f aca="true" t="shared" si="10" ref="K33:K39">C33-J33</f>
        <v>3553.8999999999996</v>
      </c>
      <c r="L33" s="33">
        <f aca="true" t="shared" si="11" ref="L33:L39">C33-(J33/24.2*26.2)</f>
        <v>3072.569421487603</v>
      </c>
      <c r="M33" s="70"/>
      <c r="N33" s="43"/>
    </row>
    <row r="34" spans="1:14" s="44" customFormat="1" ht="11.25" customHeight="1">
      <c r="A34" s="31" t="s">
        <v>54</v>
      </c>
      <c r="B34" s="32" t="s">
        <v>53</v>
      </c>
      <c r="C34" s="33">
        <v>3000</v>
      </c>
      <c r="D34" s="33">
        <v>0</v>
      </c>
      <c r="E34" s="33">
        <v>0</v>
      </c>
      <c r="F34" s="33">
        <v>0</v>
      </c>
      <c r="G34" s="33">
        <v>0</v>
      </c>
      <c r="H34" s="33">
        <f>'5-19-16'!H34+D34+F34</f>
        <v>2484</v>
      </c>
      <c r="I34" s="33">
        <f>'5-19-16'!I34+E34+G34</f>
        <v>134.11</v>
      </c>
      <c r="J34" s="33">
        <f t="shared" si="9"/>
        <v>2618.11</v>
      </c>
      <c r="K34" s="33">
        <f t="shared" si="10"/>
        <v>381.8899999999999</v>
      </c>
      <c r="L34" s="33">
        <f t="shared" si="11"/>
        <v>165.51727272727248</v>
      </c>
      <c r="M34" s="70"/>
      <c r="N34" s="43"/>
    </row>
    <row r="35" spans="1:13" s="44" customFormat="1" ht="11.25" customHeight="1">
      <c r="A35" s="31" t="s">
        <v>31</v>
      </c>
      <c r="B35" s="32">
        <v>55080500</v>
      </c>
      <c r="C35" s="33">
        <v>10000</v>
      </c>
      <c r="D35" s="33">
        <v>150</v>
      </c>
      <c r="E35" s="33">
        <v>3.89</v>
      </c>
      <c r="F35" s="33">
        <v>732.32</v>
      </c>
      <c r="G35" s="33">
        <v>39.53</v>
      </c>
      <c r="H35" s="33">
        <f>'5-19-16'!H35+D35+F35</f>
        <v>3566.130000000001</v>
      </c>
      <c r="I35" s="33">
        <f>'5-19-16'!I35+E35+G35</f>
        <v>108.25000000000001</v>
      </c>
      <c r="J35" s="33">
        <f t="shared" si="9"/>
        <v>3674.380000000001</v>
      </c>
      <c r="K35" s="33">
        <f t="shared" si="10"/>
        <v>6325.619999999999</v>
      </c>
      <c r="L35" s="33">
        <f t="shared" si="11"/>
        <v>6021.952231404957</v>
      </c>
      <c r="M35" s="73"/>
    </row>
    <row r="36" spans="1:13" s="44" customFormat="1" ht="11.25" customHeight="1">
      <c r="A36" s="31" t="s">
        <v>32</v>
      </c>
      <c r="B36" s="32">
        <v>55050300</v>
      </c>
      <c r="C36" s="33">
        <f>15347+127.22</f>
        <v>15474.22</v>
      </c>
      <c r="D36" s="33">
        <v>0</v>
      </c>
      <c r="E36" s="33">
        <v>0</v>
      </c>
      <c r="F36" s="33">
        <v>0</v>
      </c>
      <c r="G36" s="33">
        <v>0</v>
      </c>
      <c r="H36" s="33">
        <f>'5-19-16'!H36+D36+F36</f>
        <v>13375.949999999999</v>
      </c>
      <c r="I36" s="33">
        <f>'5-19-16'!I36+E36+G36</f>
        <v>730.3399999999999</v>
      </c>
      <c r="J36" s="33">
        <f t="shared" si="9"/>
        <v>14106.289999999999</v>
      </c>
      <c r="K36" s="33">
        <f t="shared" si="10"/>
        <v>1367.9300000000003</v>
      </c>
      <c r="L36" s="33">
        <f t="shared" si="11"/>
        <v>202.12090909090875</v>
      </c>
      <c r="M36" s="73"/>
    </row>
    <row r="37" spans="1:13" s="44" customFormat="1" ht="11.25" customHeight="1">
      <c r="A37" s="31" t="s">
        <v>43</v>
      </c>
      <c r="B37" s="32">
        <v>55160300</v>
      </c>
      <c r="C37" s="33">
        <f>43385.81+42388.29</f>
        <v>85774.1</v>
      </c>
      <c r="D37" s="33">
        <v>0</v>
      </c>
      <c r="E37" s="33">
        <v>0</v>
      </c>
      <c r="F37" s="33">
        <v>3154.26</v>
      </c>
      <c r="G37" s="33">
        <v>170.32</v>
      </c>
      <c r="H37" s="33">
        <f>'5-19-16'!H37+D37+F37</f>
        <v>75071.21</v>
      </c>
      <c r="I37" s="33">
        <f>'5-19-16'!I37+E37+G37</f>
        <v>4053.640000000001</v>
      </c>
      <c r="J37" s="33">
        <f t="shared" si="9"/>
        <v>79124.85</v>
      </c>
      <c r="K37" s="33">
        <f t="shared" si="10"/>
        <v>6649.25</v>
      </c>
      <c r="L37" s="33">
        <f t="shared" si="11"/>
        <v>110.0061983471096</v>
      </c>
      <c r="M37" s="73"/>
    </row>
    <row r="38" spans="1:13" s="44" customFormat="1" ht="15" customHeight="1" hidden="1">
      <c r="A38" s="31" t="s">
        <v>47</v>
      </c>
      <c r="B38" s="32">
        <v>55010100</v>
      </c>
      <c r="C38" s="33"/>
      <c r="D38" s="33"/>
      <c r="E38" s="33"/>
      <c r="F38" s="33"/>
      <c r="G38" s="33"/>
      <c r="H38" s="33">
        <f>'5-19-16'!H38+D38+F38</f>
        <v>-64.2</v>
      </c>
      <c r="I38" s="33">
        <f>'5-19-16'!I38+E38+G38</f>
        <v>-1.67</v>
      </c>
      <c r="J38" s="33">
        <f t="shared" si="9"/>
        <v>-65.87</v>
      </c>
      <c r="K38" s="33">
        <f t="shared" si="10"/>
        <v>65.87</v>
      </c>
      <c r="L38" s="33">
        <f t="shared" si="11"/>
        <v>71.31380165289256</v>
      </c>
      <c r="M38" s="73"/>
    </row>
    <row r="39" spans="1:13" s="44" customFormat="1" ht="11.25" customHeight="1">
      <c r="A39" s="31" t="s">
        <v>48</v>
      </c>
      <c r="B39" s="32" t="s">
        <v>60</v>
      </c>
      <c r="C39" s="33">
        <v>4086</v>
      </c>
      <c r="D39" s="33">
        <v>590.27</v>
      </c>
      <c r="E39" s="33">
        <v>15.34</v>
      </c>
      <c r="F39" s="33">
        <v>0</v>
      </c>
      <c r="G39" s="33">
        <v>0</v>
      </c>
      <c r="H39" s="33">
        <f>'5-19-16'!H39+D39+F39</f>
        <v>2695.86</v>
      </c>
      <c r="I39" s="33">
        <f>'5-19-16'!I39+E39+G39</f>
        <v>70.08</v>
      </c>
      <c r="J39" s="33">
        <f t="shared" si="9"/>
        <v>2765.94</v>
      </c>
      <c r="K39" s="33">
        <f t="shared" si="10"/>
        <v>1320.06</v>
      </c>
      <c r="L39" s="33">
        <f t="shared" si="11"/>
        <v>1091.4699173553722</v>
      </c>
      <c r="M39" s="73"/>
    </row>
    <row r="40" spans="1:14" ht="24.75" customHeight="1">
      <c r="A40" s="77" t="s">
        <v>40</v>
      </c>
      <c r="B40" s="78"/>
      <c r="C40" s="49">
        <f aca="true" t="shared" si="12" ref="C40:L40">SUM(C33:C39)</f>
        <v>127712.32</v>
      </c>
      <c r="D40" s="49">
        <f t="shared" si="12"/>
        <v>1040.27</v>
      </c>
      <c r="E40" s="49">
        <f t="shared" si="12"/>
        <v>27.03</v>
      </c>
      <c r="F40" s="49">
        <f t="shared" si="12"/>
        <v>6113.75</v>
      </c>
      <c r="G40" s="49">
        <f t="shared" si="12"/>
        <v>330.11</v>
      </c>
      <c r="H40" s="49">
        <f t="shared" si="12"/>
        <v>102680.39000000001</v>
      </c>
      <c r="I40" s="49">
        <f t="shared" si="12"/>
        <v>5367.410000000001</v>
      </c>
      <c r="J40" s="62">
        <f t="shared" si="12"/>
        <v>108047.80000000002</v>
      </c>
      <c r="K40" s="49">
        <f t="shared" si="12"/>
        <v>19664.519999999997</v>
      </c>
      <c r="L40" s="49">
        <f t="shared" si="12"/>
        <v>10734.949752066115</v>
      </c>
      <c r="M40" s="71"/>
      <c r="N40" s="39"/>
    </row>
    <row r="41" spans="1:14" ht="11.25" customHeight="1">
      <c r="A41" s="28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71"/>
      <c r="N41" s="39"/>
    </row>
    <row r="42" spans="1:14" ht="11.25" customHeight="1">
      <c r="A42" s="28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71"/>
      <c r="N42" s="39"/>
    </row>
    <row r="43" spans="1:14" ht="24.75" customHeight="1">
      <c r="A43" s="76" t="s">
        <v>42</v>
      </c>
      <c r="B43" s="76"/>
      <c r="C43" s="49">
        <f aca="true" t="shared" si="13" ref="C43:L43">C13+C20+C25+C30+C40</f>
        <v>404575.10000000003</v>
      </c>
      <c r="D43" s="49">
        <f t="shared" si="13"/>
        <v>7547.57</v>
      </c>
      <c r="E43" s="49">
        <f t="shared" si="13"/>
        <v>196.11</v>
      </c>
      <c r="F43" s="49">
        <f t="shared" si="13"/>
        <v>7920.08</v>
      </c>
      <c r="G43" s="49">
        <f t="shared" si="13"/>
        <v>427.62</v>
      </c>
      <c r="H43" s="49">
        <f t="shared" si="13"/>
        <v>298501.20999999996</v>
      </c>
      <c r="I43" s="49">
        <f t="shared" si="13"/>
        <v>11960.670000000002</v>
      </c>
      <c r="J43" s="49">
        <f t="shared" si="13"/>
        <v>310461.88</v>
      </c>
      <c r="K43" s="49">
        <f t="shared" si="13"/>
        <v>91613.22</v>
      </c>
      <c r="L43" s="49">
        <f t="shared" si="13"/>
        <v>65955.21338842977</v>
      </c>
      <c r="M43" s="71"/>
      <c r="N43" s="39"/>
    </row>
    <row r="44" spans="1:14" ht="11.25" customHeight="1">
      <c r="A44" s="54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71"/>
      <c r="N44" s="39"/>
    </row>
    <row r="45" spans="1:14" ht="11.25" customHeight="1">
      <c r="A45" s="54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71"/>
      <c r="N45" s="39"/>
    </row>
    <row r="46" spans="1:14" s="44" customFormat="1" ht="12" customHeight="1">
      <c r="A46" s="31" t="s">
        <v>27</v>
      </c>
      <c r="B46" s="31" t="s">
        <v>28</v>
      </c>
      <c r="C46" s="33">
        <v>61829</v>
      </c>
      <c r="D46" s="33">
        <f>82.6+2002.34</f>
        <v>2084.94</v>
      </c>
      <c r="E46" s="33">
        <f>2.14+52.04</f>
        <v>54.18</v>
      </c>
      <c r="F46" s="33">
        <v>0</v>
      </c>
      <c r="G46" s="33">
        <v>0</v>
      </c>
      <c r="H46" s="33">
        <f>'5-19-16'!H46+D46+F46</f>
        <v>37080.52999999999</v>
      </c>
      <c r="I46" s="33">
        <f>'5-19-16'!I46+E46+G46</f>
        <v>1139.7000000000003</v>
      </c>
      <c r="J46" s="33">
        <f>H46+I46</f>
        <v>38220.22999999999</v>
      </c>
      <c r="K46" s="33">
        <f>C46-J46</f>
        <v>23608.77000000001</v>
      </c>
      <c r="L46" s="33">
        <f>C46-(J46/24.2*26.2)</f>
        <v>20450.07330578514</v>
      </c>
      <c r="M46" s="70"/>
      <c r="N46" s="43"/>
    </row>
    <row r="47" spans="1:14" ht="12" customHeight="1">
      <c r="A47" s="6"/>
      <c r="B47" s="31"/>
      <c r="C47" s="27"/>
      <c r="D47" s="27"/>
      <c r="E47" s="27"/>
      <c r="F47" s="27"/>
      <c r="G47" s="27"/>
      <c r="H47" s="27"/>
      <c r="I47" s="27"/>
      <c r="J47" s="33"/>
      <c r="K47" s="27"/>
      <c r="L47" s="27"/>
      <c r="M47" s="71"/>
      <c r="N47" s="39"/>
    </row>
    <row r="48" spans="1:14" ht="12" customHeight="1">
      <c r="A48" s="6" t="s">
        <v>29</v>
      </c>
      <c r="B48" s="31" t="s">
        <v>35</v>
      </c>
      <c r="C48" s="27">
        <v>15000</v>
      </c>
      <c r="D48" s="27">
        <v>0</v>
      </c>
      <c r="E48" s="27">
        <v>0</v>
      </c>
      <c r="F48" s="27">
        <v>618.24</v>
      </c>
      <c r="G48" s="27">
        <v>33.38</v>
      </c>
      <c r="H48" s="33">
        <f>'5-19-16'!H48+D48+F48</f>
        <v>14578.65</v>
      </c>
      <c r="I48" s="33">
        <f>'5-19-16'!I48+E48+G48</f>
        <v>787.1000000000003</v>
      </c>
      <c r="J48" s="33">
        <f>H48+I48</f>
        <v>15365.75</v>
      </c>
      <c r="K48" s="27">
        <f>C48-J48</f>
        <v>-365.75</v>
      </c>
      <c r="L48" s="33">
        <f>C48-(J48/24.2*26.2)</f>
        <v>-1635.6466942148763</v>
      </c>
      <c r="M48" s="71"/>
      <c r="N48" s="39"/>
    </row>
    <row r="49" spans="1:14" ht="12" customHeight="1">
      <c r="A49" s="6"/>
      <c r="B49" s="31"/>
      <c r="C49" s="7"/>
      <c r="D49" s="7"/>
      <c r="E49" s="7"/>
      <c r="F49" s="7"/>
      <c r="G49" s="7"/>
      <c r="H49" s="7"/>
      <c r="I49" s="7"/>
      <c r="J49" s="7"/>
      <c r="K49" s="7"/>
      <c r="L49" s="7"/>
      <c r="M49" s="71"/>
      <c r="N49" s="39"/>
    </row>
    <row r="50" spans="1:14" ht="12" customHeight="1">
      <c r="A50" s="50"/>
      <c r="B50" s="31"/>
      <c r="C50" s="7"/>
      <c r="D50" s="7"/>
      <c r="E50" s="7"/>
      <c r="F50" s="7"/>
      <c r="G50" s="7"/>
      <c r="H50" s="7"/>
      <c r="I50" s="7"/>
      <c r="J50" s="7"/>
      <c r="K50" s="7"/>
      <c r="L50" s="7"/>
      <c r="M50" s="71"/>
      <c r="N50" s="39"/>
    </row>
    <row r="51" spans="1:14" ht="24.75" customHeight="1">
      <c r="A51" s="51" t="s">
        <v>41</v>
      </c>
      <c r="B51" s="74"/>
      <c r="C51" s="53">
        <f>C46+C48</f>
        <v>76829</v>
      </c>
      <c r="D51" s="53">
        <f aca="true" t="shared" si="14" ref="D51:L51">D46+D48</f>
        <v>2084.94</v>
      </c>
      <c r="E51" s="53">
        <f t="shared" si="14"/>
        <v>54.18</v>
      </c>
      <c r="F51" s="53">
        <f t="shared" si="14"/>
        <v>618.24</v>
      </c>
      <c r="G51" s="53">
        <f t="shared" si="14"/>
        <v>33.38</v>
      </c>
      <c r="H51" s="53">
        <f t="shared" si="14"/>
        <v>51659.17999999999</v>
      </c>
      <c r="I51" s="53">
        <f t="shared" si="14"/>
        <v>1926.8000000000006</v>
      </c>
      <c r="J51" s="53">
        <f t="shared" si="14"/>
        <v>53585.97999999999</v>
      </c>
      <c r="K51" s="53">
        <f t="shared" si="14"/>
        <v>23243.02000000001</v>
      </c>
      <c r="L51" s="53">
        <f t="shared" si="14"/>
        <v>18814.426611570263</v>
      </c>
      <c r="M51" s="71"/>
      <c r="N51" s="12"/>
    </row>
    <row r="52" spans="1:14" ht="24" customHeight="1">
      <c r="A52" s="9"/>
      <c r="B52" s="10"/>
      <c r="C52" s="11"/>
      <c r="H52" s="11"/>
      <c r="I52" s="11"/>
      <c r="J52" s="11"/>
      <c r="K52" s="11"/>
      <c r="L52" s="11"/>
      <c r="M52" s="71"/>
      <c r="N52" s="12"/>
    </row>
    <row r="53" spans="1:14" ht="33.75">
      <c r="A53" s="57" t="s">
        <v>44</v>
      </c>
      <c r="B53" s="58">
        <v>43385.81</v>
      </c>
      <c r="C53" s="13"/>
      <c r="D53" s="13"/>
      <c r="E53" s="13"/>
      <c r="F53" s="13"/>
      <c r="G53" s="13"/>
      <c r="H53" s="46"/>
      <c r="I53" s="46"/>
      <c r="J53" s="46"/>
      <c r="K53" s="46"/>
      <c r="L53" s="46"/>
      <c r="M53" s="71"/>
      <c r="N53" s="12"/>
    </row>
    <row r="54" spans="1:14" ht="33.75">
      <c r="A54" s="9" t="s">
        <v>45</v>
      </c>
      <c r="B54" s="58">
        <v>10000</v>
      </c>
      <c r="C54" s="16"/>
      <c r="D54" s="11"/>
      <c r="E54" s="11"/>
      <c r="F54" s="11"/>
      <c r="G54" s="11"/>
      <c r="H54" s="11"/>
      <c r="I54" s="2"/>
      <c r="J54" s="11"/>
      <c r="K54" s="11"/>
      <c r="L54" s="11"/>
      <c r="M54" s="71"/>
      <c r="N54" s="12"/>
    </row>
    <row r="55" spans="1:14" ht="22.5">
      <c r="A55" s="14" t="s">
        <v>46</v>
      </c>
      <c r="B55" s="58">
        <v>15347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71"/>
      <c r="N55" s="12"/>
    </row>
    <row r="56" spans="1:14" ht="33.75">
      <c r="A56" s="14" t="s">
        <v>50</v>
      </c>
      <c r="B56" s="58">
        <v>5000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71"/>
      <c r="N56" s="17"/>
    </row>
    <row r="57" spans="1:14" ht="22.5">
      <c r="A57" s="14" t="s">
        <v>55</v>
      </c>
      <c r="B57" s="58">
        <v>42388.29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71"/>
      <c r="N57" s="12"/>
    </row>
    <row r="58" spans="1:14" ht="22.5" customHeight="1">
      <c r="A58" s="57" t="s">
        <v>56</v>
      </c>
      <c r="B58" s="58">
        <v>127.22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71"/>
      <c r="N58" s="12"/>
    </row>
    <row r="59" spans="1:14" ht="22.5">
      <c r="A59" s="57" t="s">
        <v>57</v>
      </c>
      <c r="B59" s="58">
        <v>7500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N59" s="12"/>
    </row>
    <row r="60" spans="1:14" ht="23.25">
      <c r="A60" s="18" t="s">
        <v>58</v>
      </c>
      <c r="B60" s="58">
        <v>3000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23.25">
      <c r="A61" s="18" t="s">
        <v>59</v>
      </c>
      <c r="B61" s="58">
        <v>4032.57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23.25">
      <c r="A62" s="18" t="s">
        <v>63</v>
      </c>
      <c r="B62" s="58">
        <v>5000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15">
      <c r="A64" s="18"/>
      <c r="B64" s="10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12"/>
    </row>
    <row r="65" spans="1:14" ht="25.5" customHeight="1">
      <c r="A65" s="18"/>
      <c r="B65" s="10"/>
      <c r="C65" s="21"/>
      <c r="D65" s="21"/>
      <c r="E65" s="21"/>
      <c r="F65" s="21"/>
      <c r="G65" s="21"/>
      <c r="H65" s="21"/>
      <c r="I65" s="21"/>
      <c r="J65" s="21"/>
      <c r="K65" s="21"/>
      <c r="L65" s="21"/>
      <c r="N65" s="12"/>
    </row>
    <row r="66" spans="1:14" ht="15" customHeight="1">
      <c r="A66" s="18"/>
      <c r="B66" s="10"/>
      <c r="C66" s="21"/>
      <c r="D66" s="21"/>
      <c r="E66" s="21"/>
      <c r="F66" s="21"/>
      <c r="G66" s="21"/>
      <c r="H66" s="21"/>
      <c r="I66" s="21"/>
      <c r="J66" s="21"/>
      <c r="K66" s="21"/>
      <c r="L66" s="21"/>
      <c r="N66" s="12"/>
    </row>
    <row r="67" spans="1:14" ht="15" customHeight="1">
      <c r="A67" s="20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N67" s="12"/>
    </row>
    <row r="68" spans="1:14" ht="15" customHeight="1">
      <c r="A68" s="22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N68" s="24"/>
    </row>
    <row r="69" spans="1:14" ht="11.25" customHeight="1">
      <c r="A69" s="23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N69" s="24"/>
    </row>
    <row r="70" spans="1:14" ht="11.25" customHeight="1">
      <c r="A70" s="25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N72" s="24"/>
    </row>
    <row r="73" spans="1:14" ht="11.25" customHeight="1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N73" s="24"/>
    </row>
    <row r="74" spans="1:14" ht="11.25" customHeight="1">
      <c r="A74" s="22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N74" s="24"/>
    </row>
    <row r="75" spans="1:14" ht="11.25" customHeight="1">
      <c r="A75" s="22"/>
      <c r="B75" s="22"/>
      <c r="C75" s="21"/>
      <c r="D75" s="21"/>
      <c r="E75" s="21"/>
      <c r="F75" s="21"/>
      <c r="G75" s="21"/>
      <c r="H75" s="21"/>
      <c r="I75" s="21"/>
      <c r="J75" s="21"/>
      <c r="K75" s="21"/>
      <c r="L75" s="21"/>
      <c r="N75" s="24"/>
    </row>
    <row r="76" spans="1:13" ht="15">
      <c r="A76" s="22"/>
      <c r="B76" s="22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72"/>
    </row>
    <row r="77" spans="1:13" ht="15">
      <c r="A77" s="22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72"/>
    </row>
    <row r="78" spans="1:12" ht="15">
      <c r="A78" s="22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15">
      <c r="A83" s="24"/>
      <c r="B83" s="24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4" s="35" customFormat="1" ht="15">
      <c r="A84" s="24"/>
      <c r="B84" s="24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69"/>
      <c r="N84" s="36"/>
    </row>
    <row r="85" spans="1:12" ht="15">
      <c r="A85" s="24"/>
      <c r="B85" s="24"/>
      <c r="C85" s="48"/>
      <c r="D85" s="48"/>
      <c r="E85" s="48"/>
      <c r="F85" s="48"/>
      <c r="G85" s="48"/>
      <c r="H85" s="48"/>
      <c r="I85" s="48"/>
      <c r="J85" s="48"/>
      <c r="K85" s="48"/>
      <c r="L85" s="48"/>
    </row>
  </sheetData>
  <sheetProtection/>
  <mergeCells count="6">
    <mergeCell ref="A13:B13"/>
    <mergeCell ref="A20:B20"/>
    <mergeCell ref="A25:B25"/>
    <mergeCell ref="A30:B30"/>
    <mergeCell ref="A40:B40"/>
    <mergeCell ref="A43:B43"/>
  </mergeCells>
  <printOptions/>
  <pageMargins left="0.7" right="0.7" top="0.75" bottom="0.75" header="0.3" footer="0.3"/>
  <pageSetup horizontalDpi="300" verticalDpi="3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F32" sqref="F32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7.57421875" style="40" bestFit="1" customWidth="1"/>
    <col min="5" max="5" width="6.28125" style="40" bestFit="1" customWidth="1"/>
    <col min="6" max="6" width="12.00390625" style="40" bestFit="1" customWidth="1"/>
    <col min="7" max="7" width="6.85156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69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72"/>
    </row>
    <row r="3" spans="1:14" s="44" customFormat="1" ht="11.25" customHeight="1">
      <c r="A3" s="31" t="s">
        <v>11</v>
      </c>
      <c r="B3" s="32">
        <v>55010500</v>
      </c>
      <c r="C3" s="33">
        <f>9670-5000-4032.57</f>
        <v>637.4299999999998</v>
      </c>
      <c r="D3" s="33">
        <v>0</v>
      </c>
      <c r="E3" s="33">
        <v>0</v>
      </c>
      <c r="F3" s="33">
        <v>0</v>
      </c>
      <c r="G3" s="33">
        <v>0</v>
      </c>
      <c r="H3" s="33">
        <f>'6-02-16'!H3+D3+F3</f>
        <v>604.8</v>
      </c>
      <c r="I3" s="33">
        <f>'6-02-16'!I3+E3+G3</f>
        <v>32.629999999999995</v>
      </c>
      <c r="J3" s="33">
        <f>H3+I3</f>
        <v>637.43</v>
      </c>
      <c r="K3" s="33">
        <f>C3-J3</f>
        <v>0</v>
      </c>
      <c r="L3" s="33">
        <f>C3-(J3/25.2*26.2)</f>
        <v>-25.2948412698413</v>
      </c>
      <c r="M3" s="70"/>
      <c r="N3" s="43"/>
    </row>
    <row r="4" spans="1:14" s="44" customFormat="1" ht="11.25" customHeight="1">
      <c r="A4" s="31" t="s">
        <v>12</v>
      </c>
      <c r="B4" s="32">
        <v>55020200</v>
      </c>
      <c r="C4" s="33">
        <f>32649-7500</f>
        <v>25149</v>
      </c>
      <c r="D4" s="33">
        <v>1289.57</v>
      </c>
      <c r="E4" s="33">
        <v>33.52</v>
      </c>
      <c r="F4" s="33">
        <v>0</v>
      </c>
      <c r="G4" s="33">
        <v>0</v>
      </c>
      <c r="H4" s="33">
        <f>'6-02-16'!H4+D4+F4</f>
        <v>12220.709999999997</v>
      </c>
      <c r="I4" s="33">
        <f>'6-02-16'!I4+E4+G4</f>
        <v>386.61</v>
      </c>
      <c r="J4" s="33">
        <f>H4+I4</f>
        <v>12607.319999999998</v>
      </c>
      <c r="K4" s="33">
        <f>C4-J4</f>
        <v>12541.680000000002</v>
      </c>
      <c r="L4" s="33">
        <f aca="true" t="shared" si="0" ref="L4:L12">C4-(J4/25.2*26.2)</f>
        <v>12041.389523809527</v>
      </c>
      <c r="M4" s="73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846.76</v>
      </c>
      <c r="E5" s="33">
        <v>22.01</v>
      </c>
      <c r="F5" s="33">
        <v>0</v>
      </c>
      <c r="G5" s="33">
        <v>0</v>
      </c>
      <c r="H5" s="33">
        <f>'6-02-16'!H5+D5+F5</f>
        <v>12465.75</v>
      </c>
      <c r="I5" s="33">
        <f>'6-02-16'!I5+E5+G5</f>
        <v>323.84999999999997</v>
      </c>
      <c r="J5" s="33">
        <f aca="true" t="shared" si="1" ref="J5:J11">H5+I5</f>
        <v>12789.6</v>
      </c>
      <c r="K5" s="33">
        <f aca="true" t="shared" si="2" ref="K5:K11">C5-J5</f>
        <v>5184.4</v>
      </c>
      <c r="L5" s="33">
        <f t="shared" si="0"/>
        <v>4676.876190476189</v>
      </c>
      <c r="M5" s="73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258.33</v>
      </c>
      <c r="E6" s="33">
        <v>6.71</v>
      </c>
      <c r="F6" s="33">
        <v>0</v>
      </c>
      <c r="G6" s="33">
        <v>0</v>
      </c>
      <c r="H6" s="33">
        <f>'6-02-16'!H6+D6+F6</f>
        <v>9899.960000000001</v>
      </c>
      <c r="I6" s="33">
        <f>'6-02-16'!I6+E6+G6</f>
        <v>257.03000000000003</v>
      </c>
      <c r="J6" s="33">
        <f>H6+I6</f>
        <v>10156.990000000002</v>
      </c>
      <c r="K6" s="33">
        <f t="shared" si="2"/>
        <v>7817.009999999998</v>
      </c>
      <c r="L6" s="33">
        <f t="shared" si="0"/>
        <v>7413.9548412698405</v>
      </c>
      <c r="M6" s="73"/>
      <c r="N6" s="61"/>
    </row>
    <row r="7" spans="1:13" s="44" customFormat="1" ht="11.25" customHeight="1">
      <c r="A7" s="31" t="s">
        <v>15</v>
      </c>
      <c r="B7" s="32">
        <v>55030200</v>
      </c>
      <c r="C7" s="33">
        <f>24330+7500-5000</f>
        <v>26830</v>
      </c>
      <c r="D7" s="33">
        <v>712.44</v>
      </c>
      <c r="E7" s="33">
        <v>18.52</v>
      </c>
      <c r="F7" s="33">
        <v>0</v>
      </c>
      <c r="G7" s="33">
        <v>0</v>
      </c>
      <c r="H7" s="33">
        <f>'6-02-16'!H7+D7+F7</f>
        <v>16862.489999999998</v>
      </c>
      <c r="I7" s="33">
        <f>'6-02-16'!I7+E7+G7</f>
        <v>438.24</v>
      </c>
      <c r="J7" s="33">
        <f t="shared" si="1"/>
        <v>17300.73</v>
      </c>
      <c r="K7" s="33">
        <f t="shared" si="2"/>
        <v>9529.27</v>
      </c>
      <c r="L7" s="33">
        <f t="shared" si="0"/>
        <v>8842.733095238094</v>
      </c>
      <c r="M7" s="73"/>
    </row>
    <row r="8" spans="1:13" s="44" customFormat="1" ht="11.25" customHeight="1">
      <c r="A8" s="31" t="s">
        <v>16</v>
      </c>
      <c r="B8" s="32">
        <v>55050200</v>
      </c>
      <c r="C8" s="33">
        <f>29837-127.22+5000</f>
        <v>34709.78</v>
      </c>
      <c r="D8" s="33">
        <v>1766.56</v>
      </c>
      <c r="E8" s="33">
        <v>45.93</v>
      </c>
      <c r="F8" s="33">
        <v>0</v>
      </c>
      <c r="G8" s="33">
        <v>0</v>
      </c>
      <c r="H8" s="33">
        <f>'6-02-16'!H8+D8+F8</f>
        <v>29174.390000000003</v>
      </c>
      <c r="I8" s="33">
        <f>'6-02-16'!I8+E8+G8</f>
        <v>904.9699999999998</v>
      </c>
      <c r="J8" s="33">
        <f t="shared" si="1"/>
        <v>30079.360000000004</v>
      </c>
      <c r="K8" s="33">
        <f t="shared" si="2"/>
        <v>4630.419999999995</v>
      </c>
      <c r="L8" s="33">
        <f t="shared" si="0"/>
        <v>3436.794603174596</v>
      </c>
      <c r="M8" s="73"/>
    </row>
    <row r="9" spans="1:13" s="44" customFormat="1" ht="11.25" customHeight="1">
      <c r="A9" s="31" t="s">
        <v>51</v>
      </c>
      <c r="B9" s="32">
        <v>55050400</v>
      </c>
      <c r="C9" s="33">
        <v>5000</v>
      </c>
      <c r="D9" s="33">
        <v>0</v>
      </c>
      <c r="E9" s="33">
        <v>0</v>
      </c>
      <c r="F9" s="33">
        <v>0</v>
      </c>
      <c r="G9" s="33">
        <v>0</v>
      </c>
      <c r="H9" s="33">
        <f>'6-02-16'!H9+D9+F9</f>
        <v>2204.3599999999997</v>
      </c>
      <c r="I9" s="33">
        <f>'6-02-16'!I9+E9+G9</f>
        <v>31.62</v>
      </c>
      <c r="J9" s="33">
        <f t="shared" si="1"/>
        <v>2235.9799999999996</v>
      </c>
      <c r="K9" s="33">
        <f t="shared" si="2"/>
        <v>2764.0200000000004</v>
      </c>
      <c r="L9" s="33">
        <f t="shared" si="0"/>
        <v>2675.2906349206355</v>
      </c>
      <c r="M9" s="70"/>
    </row>
    <row r="10" spans="1:13" s="44" customFormat="1" ht="11.25" customHeight="1">
      <c r="A10" s="31" t="s">
        <v>17</v>
      </c>
      <c r="B10" s="32">
        <v>55070100</v>
      </c>
      <c r="C10" s="33">
        <f>26873+10510+5358+3000+4032.57</f>
        <v>49773.57</v>
      </c>
      <c r="D10" s="33">
        <v>826.33</v>
      </c>
      <c r="E10" s="33">
        <v>21.48</v>
      </c>
      <c r="F10" s="33">
        <v>938.92</v>
      </c>
      <c r="G10" s="33">
        <v>50.7</v>
      </c>
      <c r="H10" s="33">
        <f>'6-02-16'!H10+D10+F10</f>
        <v>49659.479999999996</v>
      </c>
      <c r="I10" s="33">
        <f>'6-02-16'!I10+E10+G10</f>
        <v>1787.64</v>
      </c>
      <c r="J10" s="33">
        <f t="shared" si="1"/>
        <v>51447.119999999995</v>
      </c>
      <c r="K10" s="33">
        <f t="shared" si="2"/>
        <v>-1673.5499999999956</v>
      </c>
      <c r="L10" s="33">
        <f t="shared" si="0"/>
        <v>-3715.102380952376</v>
      </c>
      <c r="M10" s="73"/>
    </row>
    <row r="11" spans="1:13" s="44" customFormat="1" ht="11.25" customHeight="1">
      <c r="A11" s="31" t="s">
        <v>18</v>
      </c>
      <c r="B11" s="32">
        <v>55070400</v>
      </c>
      <c r="C11" s="33">
        <f>3000-3000</f>
        <v>0</v>
      </c>
      <c r="D11" s="33">
        <v>0</v>
      </c>
      <c r="E11" s="33">
        <v>0</v>
      </c>
      <c r="F11" s="33">
        <v>0</v>
      </c>
      <c r="G11" s="33">
        <v>0</v>
      </c>
      <c r="H11" s="33">
        <f>'6-02-16'!H11+D11+F11</f>
        <v>0</v>
      </c>
      <c r="I11" s="33">
        <f>'6-02-16'!I11+E11+G11</f>
        <v>0</v>
      </c>
      <c r="J11" s="33">
        <f t="shared" si="1"/>
        <v>0</v>
      </c>
      <c r="K11" s="33">
        <f t="shared" si="2"/>
        <v>0</v>
      </c>
      <c r="L11" s="33">
        <f t="shared" si="0"/>
        <v>0</v>
      </c>
      <c r="M11" s="73"/>
    </row>
    <row r="12" spans="1:13" s="44" customFormat="1" ht="11.25" customHeight="1">
      <c r="A12" s="31" t="s">
        <v>20</v>
      </c>
      <c r="B12" s="32">
        <v>55080100</v>
      </c>
      <c r="C12" s="33">
        <v>23173</v>
      </c>
      <c r="D12" s="33">
        <v>573.93</v>
      </c>
      <c r="E12" s="33">
        <v>14.92</v>
      </c>
      <c r="F12" s="33">
        <v>0</v>
      </c>
      <c r="G12" s="33">
        <v>0</v>
      </c>
      <c r="H12" s="33">
        <f>'6-02-16'!H12+D12+F12</f>
        <v>20545.020000000004</v>
      </c>
      <c r="I12" s="33">
        <f>'6-02-16'!I12+E12+G12</f>
        <v>616.41</v>
      </c>
      <c r="J12" s="33">
        <f>H12+I12</f>
        <v>21161.430000000004</v>
      </c>
      <c r="K12" s="33">
        <f>C12-J12</f>
        <v>2011.569999999996</v>
      </c>
      <c r="L12" s="33">
        <f t="shared" si="0"/>
        <v>1171.830714285712</v>
      </c>
      <c r="M12" s="73"/>
    </row>
    <row r="13" spans="1:14" ht="24.75" customHeight="1">
      <c r="A13" s="75" t="s">
        <v>36</v>
      </c>
      <c r="B13" s="76"/>
      <c r="C13" s="49">
        <f>SUM(C3:C12)</f>
        <v>201220.78</v>
      </c>
      <c r="D13" s="49">
        <f aca="true" t="shared" si="3" ref="D13:L13">SUM(D3:D12)</f>
        <v>6273.92</v>
      </c>
      <c r="E13" s="49">
        <f t="shared" si="3"/>
        <v>163.08999999999997</v>
      </c>
      <c r="F13" s="49">
        <f t="shared" si="3"/>
        <v>938.92</v>
      </c>
      <c r="G13" s="49">
        <f t="shared" si="3"/>
        <v>50.7</v>
      </c>
      <c r="H13" s="49">
        <f t="shared" si="3"/>
        <v>153636.96000000002</v>
      </c>
      <c r="I13" s="49">
        <f t="shared" si="3"/>
        <v>4779</v>
      </c>
      <c r="J13" s="49">
        <f t="shared" si="3"/>
        <v>158415.95999999996</v>
      </c>
      <c r="K13" s="49">
        <f t="shared" si="3"/>
        <v>42804.82000000001</v>
      </c>
      <c r="L13" s="49">
        <f t="shared" si="3"/>
        <v>36518.472380952386</v>
      </c>
      <c r="M13" s="71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71"/>
      <c r="N14" s="39"/>
    </row>
    <row r="15" spans="1:14" ht="11.25" customHeight="1">
      <c r="A15" s="28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71"/>
      <c r="N15" s="39"/>
    </row>
    <row r="16" spans="1:14" s="44" customFormat="1" ht="11.25" customHeight="1">
      <c r="A16" s="31" t="s">
        <v>19</v>
      </c>
      <c r="B16" s="32">
        <v>55030100</v>
      </c>
      <c r="C16" s="33">
        <v>13540</v>
      </c>
      <c r="D16" s="33">
        <v>176.2</v>
      </c>
      <c r="E16" s="33">
        <v>4.58</v>
      </c>
      <c r="F16" s="33">
        <v>0</v>
      </c>
      <c r="G16" s="33">
        <v>0</v>
      </c>
      <c r="H16" s="33">
        <f>'6-02-16'!H16+D16+F16</f>
        <v>7177.579999999999</v>
      </c>
      <c r="I16" s="33">
        <f>'6-02-16'!I16+E16+G16</f>
        <v>202.07000000000002</v>
      </c>
      <c r="J16" s="33">
        <f aca="true" t="shared" si="4" ref="J16:J24">H16+I16</f>
        <v>7379.649999999999</v>
      </c>
      <c r="K16" s="33">
        <f aca="true" t="shared" si="5" ref="K16:K24">C16-J16</f>
        <v>6160.350000000001</v>
      </c>
      <c r="L16" s="33">
        <f>C16-(J16/25.2*26.2)</f>
        <v>5867.506746031748</v>
      </c>
      <c r="M16" s="70"/>
      <c r="N16" s="43"/>
    </row>
    <row r="17" spans="1:14" s="44" customFormat="1" ht="11.25" customHeight="1">
      <c r="A17" s="31" t="s">
        <v>33</v>
      </c>
      <c r="B17" s="32">
        <v>55110100</v>
      </c>
      <c r="C17" s="33">
        <v>7073</v>
      </c>
      <c r="D17" s="33">
        <v>0</v>
      </c>
      <c r="E17" s="33">
        <v>0</v>
      </c>
      <c r="F17" s="33">
        <v>0</v>
      </c>
      <c r="G17" s="33">
        <v>0</v>
      </c>
      <c r="H17" s="33">
        <f>'6-02-16'!H17+D17+F17</f>
        <v>926.07</v>
      </c>
      <c r="I17" s="33">
        <f>'6-02-16'!I17+E17+G17</f>
        <v>25.58</v>
      </c>
      <c r="J17" s="33">
        <f t="shared" si="4"/>
        <v>951.6500000000001</v>
      </c>
      <c r="K17" s="33">
        <f t="shared" si="5"/>
        <v>6121.35</v>
      </c>
      <c r="L17" s="33">
        <f>C17-(J17/25.2*26.2)</f>
        <v>6083.586111111111</v>
      </c>
      <c r="M17" s="70"/>
      <c r="N17" s="43"/>
    </row>
    <row r="18" spans="1:14" s="44" customFormat="1" ht="11.25" customHeight="1">
      <c r="A18" s="31" t="s">
        <v>23</v>
      </c>
      <c r="B18" s="32">
        <v>55160100</v>
      </c>
      <c r="C18" s="33">
        <v>16062</v>
      </c>
      <c r="D18" s="33">
        <v>0</v>
      </c>
      <c r="E18" s="33">
        <v>0</v>
      </c>
      <c r="F18" s="33">
        <v>46.25</v>
      </c>
      <c r="G18" s="33">
        <v>2.49</v>
      </c>
      <c r="H18" s="33">
        <f>'6-02-16'!H18+D18+F18</f>
        <v>10438.379999999996</v>
      </c>
      <c r="I18" s="33">
        <f>'6-02-16'!I18+E18+G18</f>
        <v>409.30999999999995</v>
      </c>
      <c r="J18" s="33">
        <f t="shared" si="4"/>
        <v>10847.689999999995</v>
      </c>
      <c r="K18" s="33">
        <f t="shared" si="5"/>
        <v>5214.310000000005</v>
      </c>
      <c r="L18" s="33">
        <f>C18-(J18/25.2*26.2)</f>
        <v>4783.8461111111155</v>
      </c>
      <c r="M18" s="70"/>
      <c r="N18" s="60"/>
    </row>
    <row r="19" spans="1:14" s="44" customFormat="1" ht="11.25" customHeight="1">
      <c r="A19" s="31" t="s">
        <v>61</v>
      </c>
      <c r="B19" s="32" t="s">
        <v>62</v>
      </c>
      <c r="C19" s="33">
        <v>2500</v>
      </c>
      <c r="D19" s="33">
        <v>0</v>
      </c>
      <c r="E19" s="33">
        <v>0</v>
      </c>
      <c r="F19" s="33">
        <v>616.32</v>
      </c>
      <c r="G19" s="33">
        <v>33.28</v>
      </c>
      <c r="H19" s="33">
        <f>'6-02-16'!H19+D19+F19</f>
        <v>1502.2800000000002</v>
      </c>
      <c r="I19" s="33">
        <f>'6-02-16'!I19+E19+G19</f>
        <v>81.11000000000001</v>
      </c>
      <c r="J19" s="33">
        <f t="shared" si="4"/>
        <v>1583.3900000000003</v>
      </c>
      <c r="K19" s="33">
        <f t="shared" si="5"/>
        <v>916.6099999999997</v>
      </c>
      <c r="L19" s="33">
        <f>C19-(J19/25.2*26.2)</f>
        <v>853.7770634920632</v>
      </c>
      <c r="M19" s="70"/>
      <c r="N19" s="60"/>
    </row>
    <row r="20" spans="1:14" ht="24.75" customHeight="1">
      <c r="A20" s="75" t="s">
        <v>37</v>
      </c>
      <c r="B20" s="76"/>
      <c r="C20" s="49">
        <f>SUM(C16:C19)</f>
        <v>39175</v>
      </c>
      <c r="D20" s="49">
        <f aca="true" t="shared" si="6" ref="D20:L20">SUM(D16:D18)</f>
        <v>176.2</v>
      </c>
      <c r="E20" s="49">
        <f t="shared" si="6"/>
        <v>4.58</v>
      </c>
      <c r="F20" s="49">
        <f>SUM(F16:F19)</f>
        <v>662.57</v>
      </c>
      <c r="G20" s="49">
        <f>SUM(G16:G19)</f>
        <v>35.77</v>
      </c>
      <c r="H20" s="49">
        <f t="shared" si="6"/>
        <v>18542.029999999995</v>
      </c>
      <c r="I20" s="49">
        <f t="shared" si="6"/>
        <v>636.96</v>
      </c>
      <c r="J20" s="49">
        <f t="shared" si="6"/>
        <v>19178.989999999994</v>
      </c>
      <c r="K20" s="49">
        <f t="shared" si="6"/>
        <v>17496.010000000006</v>
      </c>
      <c r="L20" s="49">
        <f t="shared" si="6"/>
        <v>16734.938968253977</v>
      </c>
      <c r="M20" s="71"/>
      <c r="N20" s="41"/>
    </row>
    <row r="21" spans="1:14" ht="11.25" customHeight="1">
      <c r="A21" s="28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71"/>
      <c r="N21" s="41"/>
    </row>
    <row r="22" spans="1:14" ht="11.25" customHeight="1">
      <c r="A22" s="28"/>
      <c r="B22" s="28"/>
      <c r="C22" s="8"/>
      <c r="D22" s="8"/>
      <c r="E22" s="8"/>
      <c r="F22" s="8"/>
      <c r="G22" s="8"/>
      <c r="H22" s="8"/>
      <c r="I22" s="8"/>
      <c r="J22" s="8"/>
      <c r="K22" s="8"/>
      <c r="L22" s="8"/>
      <c r="M22" s="71"/>
      <c r="N22" s="41"/>
    </row>
    <row r="23" spans="1:14" s="44" customFormat="1" ht="11.25" customHeight="1">
      <c r="A23" s="31" t="s">
        <v>21</v>
      </c>
      <c r="B23" s="32">
        <v>55090100</v>
      </c>
      <c r="C23" s="33">
        <v>26923</v>
      </c>
      <c r="D23" s="33">
        <v>0</v>
      </c>
      <c r="E23" s="33">
        <v>0</v>
      </c>
      <c r="F23" s="33">
        <v>0</v>
      </c>
      <c r="G23" s="33">
        <v>0</v>
      </c>
      <c r="H23" s="33">
        <f>'6-02-16'!H23+D23+F23</f>
        <v>24671.879999999994</v>
      </c>
      <c r="I23" s="33">
        <f>'6-02-16'!I23+E23+G23</f>
        <v>1132.23</v>
      </c>
      <c r="J23" s="33">
        <f t="shared" si="4"/>
        <v>25804.109999999993</v>
      </c>
      <c r="K23" s="33">
        <f t="shared" si="5"/>
        <v>1118.8900000000067</v>
      </c>
      <c r="L23" s="33">
        <f>C23-(J23/25.2*26.2)</f>
        <v>94.91738095238907</v>
      </c>
      <c r="M23" s="70"/>
      <c r="N23" s="60"/>
    </row>
    <row r="24" spans="1:14" s="44" customFormat="1" ht="11.25" customHeight="1">
      <c r="A24" s="31" t="s">
        <v>22</v>
      </c>
      <c r="B24" s="32">
        <v>55100100</v>
      </c>
      <c r="C24" s="33">
        <v>2026</v>
      </c>
      <c r="D24" s="33">
        <v>0</v>
      </c>
      <c r="E24" s="33">
        <v>0</v>
      </c>
      <c r="F24" s="33">
        <v>108.48</v>
      </c>
      <c r="G24" s="33">
        <v>5.85</v>
      </c>
      <c r="H24" s="33">
        <f>'6-02-16'!H24+D24+F24</f>
        <v>1213</v>
      </c>
      <c r="I24" s="33">
        <f>'6-02-16'!I24+E24+G24</f>
        <v>63.11</v>
      </c>
      <c r="J24" s="33">
        <f t="shared" si="4"/>
        <v>1276.11</v>
      </c>
      <c r="K24" s="33">
        <f t="shared" si="5"/>
        <v>749.8900000000001</v>
      </c>
      <c r="L24" s="33">
        <f>C24-(J24/25.2*26.2)</f>
        <v>699.2507142857144</v>
      </c>
      <c r="M24" s="70"/>
      <c r="N24" s="60"/>
    </row>
    <row r="25" spans="1:14" ht="24.75" customHeight="1">
      <c r="A25" s="75" t="s">
        <v>38</v>
      </c>
      <c r="B25" s="76"/>
      <c r="C25" s="49">
        <f>SUM(C23:C24)</f>
        <v>28949</v>
      </c>
      <c r="D25" s="49">
        <f aca="true" t="shared" si="7" ref="D25:L25">SUM(D23:D24)</f>
        <v>0</v>
      </c>
      <c r="E25" s="49">
        <f t="shared" si="7"/>
        <v>0</v>
      </c>
      <c r="F25" s="49">
        <f t="shared" si="7"/>
        <v>108.48</v>
      </c>
      <c r="G25" s="49">
        <f t="shared" si="7"/>
        <v>5.85</v>
      </c>
      <c r="H25" s="49">
        <f t="shared" si="7"/>
        <v>25884.879999999994</v>
      </c>
      <c r="I25" s="49">
        <f t="shared" si="7"/>
        <v>1195.34</v>
      </c>
      <c r="J25" s="49">
        <f t="shared" si="7"/>
        <v>27080.219999999994</v>
      </c>
      <c r="K25" s="49">
        <f t="shared" si="7"/>
        <v>1868.7800000000068</v>
      </c>
      <c r="L25" s="49">
        <f t="shared" si="7"/>
        <v>794.1680952381034</v>
      </c>
      <c r="M25" s="71"/>
      <c r="N25" s="41"/>
    </row>
    <row r="26" spans="1:14" ht="11.2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71"/>
      <c r="N26" s="39"/>
    </row>
    <row r="27" spans="1:14" ht="11.25" customHeight="1">
      <c r="A27" s="28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71"/>
      <c r="N27" s="39"/>
    </row>
    <row r="28" spans="1:13" s="44" customFormat="1" ht="11.25" customHeight="1">
      <c r="A28" s="31" t="s">
        <v>26</v>
      </c>
      <c r="B28" s="32">
        <v>55130100</v>
      </c>
      <c r="C28" s="33">
        <v>4523</v>
      </c>
      <c r="D28" s="33">
        <v>261.08</v>
      </c>
      <c r="E28" s="33">
        <v>6.78</v>
      </c>
      <c r="F28" s="33">
        <v>0</v>
      </c>
      <c r="G28" s="33">
        <v>0</v>
      </c>
      <c r="H28" s="33">
        <f>'6-02-16'!H28+D28+F28</f>
        <v>3019.4800000000005</v>
      </c>
      <c r="I28" s="33">
        <f>'6-02-16'!I28+E28+G28</f>
        <v>78.33000000000001</v>
      </c>
      <c r="J28" s="33">
        <f>H28+I28</f>
        <v>3097.8100000000004</v>
      </c>
      <c r="K28" s="33">
        <f>C28-J28</f>
        <v>1425.1899999999996</v>
      </c>
      <c r="L28" s="33">
        <f>C28-(J28/25.2*26.2)</f>
        <v>1302.2610317460312</v>
      </c>
      <c r="M28" s="73"/>
    </row>
    <row r="29" spans="1:13" s="44" customFormat="1" ht="11.25" customHeight="1">
      <c r="A29" s="31" t="s">
        <v>30</v>
      </c>
      <c r="B29" s="32">
        <v>55140100</v>
      </c>
      <c r="C29" s="33">
        <v>2995</v>
      </c>
      <c r="D29" s="33">
        <v>0</v>
      </c>
      <c r="E29" s="33">
        <v>0</v>
      </c>
      <c r="F29" s="33">
        <v>0</v>
      </c>
      <c r="G29" s="33">
        <v>0</v>
      </c>
      <c r="H29" s="33">
        <f>'6-02-16'!H29+D29+F29</f>
        <v>2542.32</v>
      </c>
      <c r="I29" s="33">
        <f>'6-02-16'!I29+E29+G29</f>
        <v>137.11999999999998</v>
      </c>
      <c r="J29" s="33">
        <f>H29+I29</f>
        <v>2679.44</v>
      </c>
      <c r="K29" s="33">
        <f>C29-J29</f>
        <v>315.55999999999995</v>
      </c>
      <c r="L29" s="33">
        <f>C29-(J29/25.2*26.2)</f>
        <v>209.23301587301603</v>
      </c>
      <c r="M29" s="73"/>
    </row>
    <row r="30" spans="1:14" s="44" customFormat="1" ht="24.75" customHeight="1">
      <c r="A30" s="75" t="s">
        <v>39</v>
      </c>
      <c r="B30" s="76"/>
      <c r="C30" s="49">
        <f aca="true" t="shared" si="8" ref="C30:L30">SUM(C28:C29)</f>
        <v>7518</v>
      </c>
      <c r="D30" s="49">
        <f t="shared" si="8"/>
        <v>261.08</v>
      </c>
      <c r="E30" s="49">
        <f t="shared" si="8"/>
        <v>6.78</v>
      </c>
      <c r="F30" s="49">
        <f t="shared" si="8"/>
        <v>0</v>
      </c>
      <c r="G30" s="49">
        <f t="shared" si="8"/>
        <v>0</v>
      </c>
      <c r="H30" s="49">
        <f t="shared" si="8"/>
        <v>5561.800000000001</v>
      </c>
      <c r="I30" s="49">
        <f t="shared" si="8"/>
        <v>215.45</v>
      </c>
      <c r="J30" s="62">
        <f t="shared" si="8"/>
        <v>5777.25</v>
      </c>
      <c r="K30" s="49">
        <f t="shared" si="8"/>
        <v>1740.7499999999995</v>
      </c>
      <c r="L30" s="49">
        <f t="shared" si="8"/>
        <v>1511.4940476190473</v>
      </c>
      <c r="M30" s="70"/>
      <c r="N30" s="43"/>
    </row>
    <row r="31" spans="1:14" ht="11.2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71"/>
      <c r="N31" s="39"/>
    </row>
    <row r="32" spans="1:14" ht="11.25" customHeight="1">
      <c r="A32" s="28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71"/>
      <c r="N32" s="39"/>
    </row>
    <row r="33" spans="1:14" s="44" customFormat="1" ht="11.25" customHeight="1">
      <c r="A33" s="31" t="s">
        <v>34</v>
      </c>
      <c r="B33" s="32">
        <v>55010000</v>
      </c>
      <c r="C33" s="33">
        <f>24725-15347</f>
        <v>9378</v>
      </c>
      <c r="D33" s="33">
        <v>150</v>
      </c>
      <c r="E33" s="33">
        <v>3.9</v>
      </c>
      <c r="F33" s="33">
        <v>0</v>
      </c>
      <c r="G33" s="33">
        <v>0</v>
      </c>
      <c r="H33" s="33">
        <f>'6-02-16'!H33+D33+F33</f>
        <v>5701.4400000000005</v>
      </c>
      <c r="I33" s="33">
        <f>'6-02-16'!I33+E33+G33</f>
        <v>276.56</v>
      </c>
      <c r="J33" s="33">
        <f aca="true" t="shared" si="9" ref="J33:J40">H33+I33</f>
        <v>5978.000000000001</v>
      </c>
      <c r="K33" s="33">
        <f aca="true" t="shared" si="10" ref="K33:K40">C33-J33</f>
        <v>3399.999999999999</v>
      </c>
      <c r="L33" s="33">
        <f aca="true" t="shared" si="11" ref="L33:L40">C33-(J33/25.2*26.2)</f>
        <v>3162.7777777777774</v>
      </c>
      <c r="M33" s="70"/>
      <c r="N33" s="43"/>
    </row>
    <row r="34" spans="1:14" s="44" customFormat="1" ht="11.25" customHeight="1">
      <c r="A34" s="31" t="s">
        <v>54</v>
      </c>
      <c r="B34" s="32" t="s">
        <v>53</v>
      </c>
      <c r="C34" s="33">
        <v>3000</v>
      </c>
      <c r="D34" s="33">
        <v>0</v>
      </c>
      <c r="E34" s="33">
        <v>0</v>
      </c>
      <c r="F34" s="33">
        <v>0</v>
      </c>
      <c r="G34" s="33">
        <v>0</v>
      </c>
      <c r="H34" s="33">
        <f>'6-02-16'!H34+D34+F34</f>
        <v>2484</v>
      </c>
      <c r="I34" s="33">
        <f>'6-02-16'!I34+E34+G34</f>
        <v>134.11</v>
      </c>
      <c r="J34" s="33">
        <f t="shared" si="9"/>
        <v>2618.11</v>
      </c>
      <c r="K34" s="33">
        <f t="shared" si="10"/>
        <v>381.8899999999999</v>
      </c>
      <c r="L34" s="33">
        <f t="shared" si="11"/>
        <v>277.99674603174617</v>
      </c>
      <c r="M34" s="70"/>
      <c r="N34" s="43"/>
    </row>
    <row r="35" spans="1:13" s="44" customFormat="1" ht="11.25" customHeight="1">
      <c r="A35" s="31" t="s">
        <v>31</v>
      </c>
      <c r="B35" s="32">
        <v>55080500</v>
      </c>
      <c r="C35" s="33">
        <v>10000</v>
      </c>
      <c r="D35" s="33">
        <v>198.75</v>
      </c>
      <c r="E35" s="33">
        <v>5.16</v>
      </c>
      <c r="F35" s="33">
        <v>621.88</v>
      </c>
      <c r="G35" s="33">
        <v>33.58</v>
      </c>
      <c r="H35" s="33">
        <f>'6-02-16'!H35+D35+F35</f>
        <v>4386.760000000001</v>
      </c>
      <c r="I35" s="33">
        <f>'6-02-16'!I35+E35+G35</f>
        <v>146.99</v>
      </c>
      <c r="J35" s="33">
        <f t="shared" si="9"/>
        <v>4533.750000000001</v>
      </c>
      <c r="K35" s="33">
        <f t="shared" si="10"/>
        <v>5466.249999999999</v>
      </c>
      <c r="L35" s="33">
        <f t="shared" si="11"/>
        <v>5286.339285714284</v>
      </c>
      <c r="M35" s="73"/>
    </row>
    <row r="36" spans="1:13" s="44" customFormat="1" ht="11.25" customHeight="1">
      <c r="A36" s="31" t="s">
        <v>32</v>
      </c>
      <c r="B36" s="32">
        <v>55050300</v>
      </c>
      <c r="C36" s="33">
        <f>15347+127.22</f>
        <v>15474.22</v>
      </c>
      <c r="D36" s="33">
        <v>0</v>
      </c>
      <c r="E36" s="33">
        <v>0</v>
      </c>
      <c r="F36" s="33">
        <v>0</v>
      </c>
      <c r="G36" s="33">
        <v>0</v>
      </c>
      <c r="H36" s="33">
        <f>'6-02-16'!H36+D36+F36</f>
        <v>13375.949999999999</v>
      </c>
      <c r="I36" s="33">
        <f>'6-02-16'!I36+E36+G36</f>
        <v>730.3399999999999</v>
      </c>
      <c r="J36" s="33">
        <f t="shared" si="9"/>
        <v>14106.289999999999</v>
      </c>
      <c r="K36" s="33">
        <f t="shared" si="10"/>
        <v>1367.9300000000003</v>
      </c>
      <c r="L36" s="33">
        <f t="shared" si="11"/>
        <v>808.1565873015879</v>
      </c>
      <c r="M36" s="73"/>
    </row>
    <row r="37" spans="1:13" s="44" customFormat="1" ht="11.25" customHeight="1">
      <c r="A37" s="31" t="s">
        <v>64</v>
      </c>
      <c r="B37" s="32">
        <v>55070300</v>
      </c>
      <c r="C37" s="33">
        <v>1000</v>
      </c>
      <c r="D37" s="33">
        <v>0</v>
      </c>
      <c r="E37" s="33">
        <v>0</v>
      </c>
      <c r="F37" s="33">
        <v>0</v>
      </c>
      <c r="G37" s="33">
        <v>0</v>
      </c>
      <c r="H37" s="33">
        <f>D37+F37</f>
        <v>0</v>
      </c>
      <c r="I37" s="33">
        <f>E37+G37</f>
        <v>0</v>
      </c>
      <c r="J37" s="33">
        <f t="shared" si="9"/>
        <v>0</v>
      </c>
      <c r="K37" s="33">
        <f t="shared" si="10"/>
        <v>1000</v>
      </c>
      <c r="L37" s="33">
        <f t="shared" si="11"/>
        <v>1000</v>
      </c>
      <c r="M37" s="73"/>
    </row>
    <row r="38" spans="1:13" s="44" customFormat="1" ht="11.25" customHeight="1">
      <c r="A38" s="31" t="s">
        <v>43</v>
      </c>
      <c r="B38" s="32">
        <v>55160300</v>
      </c>
      <c r="C38" s="33">
        <f>43385.81+42388.29</f>
        <v>85774.1</v>
      </c>
      <c r="D38" s="33">
        <v>0</v>
      </c>
      <c r="E38" s="33">
        <v>0</v>
      </c>
      <c r="F38" s="33">
        <v>3154.25</v>
      </c>
      <c r="G38" s="33">
        <v>170.32</v>
      </c>
      <c r="H38" s="33">
        <f>'6-02-16'!H37+D38+F38</f>
        <v>78225.46</v>
      </c>
      <c r="I38" s="33">
        <f>'6-02-16'!I37+E38+G38</f>
        <v>4223.960000000001</v>
      </c>
      <c r="J38" s="33">
        <f t="shared" si="9"/>
        <v>82449.42000000001</v>
      </c>
      <c r="K38" s="33">
        <f t="shared" si="10"/>
        <v>3324.679999999993</v>
      </c>
      <c r="L38" s="33">
        <f t="shared" si="11"/>
        <v>52.87761904760555</v>
      </c>
      <c r="M38" s="73"/>
    </row>
    <row r="39" spans="1:13" s="44" customFormat="1" ht="15" customHeight="1" hidden="1">
      <c r="A39" s="31" t="s">
        <v>47</v>
      </c>
      <c r="B39" s="32">
        <v>55010100</v>
      </c>
      <c r="C39" s="33"/>
      <c r="D39" s="33"/>
      <c r="E39" s="33"/>
      <c r="F39" s="33"/>
      <c r="G39" s="33"/>
      <c r="H39" s="33">
        <f>'6-02-16'!H38+D39+F39</f>
        <v>-64.2</v>
      </c>
      <c r="I39" s="33">
        <f>'6-02-16'!I38+E39+G39</f>
        <v>-1.67</v>
      </c>
      <c r="J39" s="33">
        <f t="shared" si="9"/>
        <v>-65.87</v>
      </c>
      <c r="K39" s="33">
        <f t="shared" si="10"/>
        <v>65.87</v>
      </c>
      <c r="L39" s="33">
        <f t="shared" si="11"/>
        <v>68.48388888888888</v>
      </c>
      <c r="M39" s="73"/>
    </row>
    <row r="40" spans="1:13" s="44" customFormat="1" ht="11.25" customHeight="1">
      <c r="A40" s="31" t="s">
        <v>48</v>
      </c>
      <c r="B40" s="32" t="s">
        <v>60</v>
      </c>
      <c r="C40" s="33">
        <v>4086</v>
      </c>
      <c r="D40" s="33">
        <v>343.59</v>
      </c>
      <c r="E40" s="33">
        <v>8.93</v>
      </c>
      <c r="F40" s="33">
        <v>0</v>
      </c>
      <c r="G40" s="33">
        <v>0</v>
      </c>
      <c r="H40" s="33">
        <f>'6-02-16'!H39+D40+F40</f>
        <v>3039.4500000000003</v>
      </c>
      <c r="I40" s="33">
        <f>'6-02-16'!I39+E40+G40</f>
        <v>79.00999999999999</v>
      </c>
      <c r="J40" s="33">
        <f t="shared" si="9"/>
        <v>3118.46</v>
      </c>
      <c r="K40" s="33">
        <f t="shared" si="10"/>
        <v>967.54</v>
      </c>
      <c r="L40" s="33">
        <f t="shared" si="11"/>
        <v>843.7915873015872</v>
      </c>
      <c r="M40" s="73"/>
    </row>
    <row r="41" spans="1:14" ht="24.75" customHeight="1">
      <c r="A41" s="77" t="s">
        <v>40</v>
      </c>
      <c r="B41" s="78"/>
      <c r="C41" s="49">
        <f aca="true" t="shared" si="12" ref="C41:L41">SUM(C33:C40)</f>
        <v>128712.32</v>
      </c>
      <c r="D41" s="49">
        <f t="shared" si="12"/>
        <v>692.3399999999999</v>
      </c>
      <c r="E41" s="49">
        <f t="shared" si="12"/>
        <v>17.990000000000002</v>
      </c>
      <c r="F41" s="49">
        <f t="shared" si="12"/>
        <v>3776.13</v>
      </c>
      <c r="G41" s="49">
        <f t="shared" si="12"/>
        <v>203.89999999999998</v>
      </c>
      <c r="H41" s="49">
        <f t="shared" si="12"/>
        <v>107148.86000000002</v>
      </c>
      <c r="I41" s="49">
        <f t="shared" si="12"/>
        <v>5589.300000000001</v>
      </c>
      <c r="J41" s="62">
        <f t="shared" si="12"/>
        <v>112738.16000000002</v>
      </c>
      <c r="K41" s="49">
        <f t="shared" si="12"/>
        <v>15974.159999999993</v>
      </c>
      <c r="L41" s="49">
        <f t="shared" si="12"/>
        <v>11500.423492063477</v>
      </c>
      <c r="M41" s="71"/>
      <c r="N41" s="39"/>
    </row>
    <row r="42" spans="1:14" ht="11.25" customHeight="1">
      <c r="A42" s="28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71"/>
      <c r="N42" s="39"/>
    </row>
    <row r="43" spans="1:14" ht="11.25" customHeight="1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71"/>
      <c r="N43" s="39"/>
    </row>
    <row r="44" spans="1:14" ht="24.75" customHeight="1">
      <c r="A44" s="76" t="s">
        <v>42</v>
      </c>
      <c r="B44" s="76"/>
      <c r="C44" s="49">
        <f aca="true" t="shared" si="13" ref="C44:L44">C13+C20+C25+C30+C41</f>
        <v>405575.10000000003</v>
      </c>
      <c r="D44" s="49">
        <f t="shared" si="13"/>
        <v>7403.54</v>
      </c>
      <c r="E44" s="49">
        <f t="shared" si="13"/>
        <v>192.44</v>
      </c>
      <c r="F44" s="49">
        <f t="shared" si="13"/>
        <v>5486.1</v>
      </c>
      <c r="G44" s="49">
        <f t="shared" si="13"/>
        <v>296.21999999999997</v>
      </c>
      <c r="H44" s="49">
        <f t="shared" si="13"/>
        <v>310774.53</v>
      </c>
      <c r="I44" s="49">
        <f t="shared" si="13"/>
        <v>12416.050000000001</v>
      </c>
      <c r="J44" s="49">
        <f t="shared" si="13"/>
        <v>323190.57999999996</v>
      </c>
      <c r="K44" s="49">
        <f t="shared" si="13"/>
        <v>79884.52000000002</v>
      </c>
      <c r="L44" s="49">
        <f t="shared" si="13"/>
        <v>67059.49698412699</v>
      </c>
      <c r="M44" s="71"/>
      <c r="N44" s="39"/>
    </row>
    <row r="45" spans="1:14" ht="11.25" customHeight="1">
      <c r="A45" s="54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71"/>
      <c r="N45" s="39"/>
    </row>
    <row r="46" spans="1:14" ht="11.25" customHeight="1">
      <c r="A46" s="54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71"/>
      <c r="N46" s="39"/>
    </row>
    <row r="47" spans="1:14" s="44" customFormat="1" ht="12" customHeight="1">
      <c r="A47" s="31" t="s">
        <v>27</v>
      </c>
      <c r="B47" s="31" t="s">
        <v>28</v>
      </c>
      <c r="C47" s="33">
        <v>61829</v>
      </c>
      <c r="D47" s="33">
        <v>1907.54</v>
      </c>
      <c r="E47" s="33">
        <v>49.59</v>
      </c>
      <c r="F47" s="33">
        <v>0</v>
      </c>
      <c r="G47" s="33">
        <v>0</v>
      </c>
      <c r="H47" s="33">
        <f>'6-02-16'!H46+D47+F47</f>
        <v>38988.06999999999</v>
      </c>
      <c r="I47" s="33">
        <f>'6-02-16'!I46+E47+G47</f>
        <v>1189.2900000000002</v>
      </c>
      <c r="J47" s="33">
        <f>H47+I47</f>
        <v>40177.35999999999</v>
      </c>
      <c r="K47" s="33">
        <f>C47-J47</f>
        <v>21651.640000000007</v>
      </c>
      <c r="L47" s="33">
        <f>C47-(J47/25.2*26.2)</f>
        <v>20057.300317460322</v>
      </c>
      <c r="M47" s="70"/>
      <c r="N47" s="43"/>
    </row>
    <row r="48" spans="1:14" ht="12" customHeight="1">
      <c r="A48" s="6"/>
      <c r="B48" s="31"/>
      <c r="C48" s="27"/>
      <c r="D48" s="27"/>
      <c r="E48" s="27"/>
      <c r="F48" s="27"/>
      <c r="G48" s="27"/>
      <c r="H48" s="27"/>
      <c r="I48" s="27"/>
      <c r="J48" s="33"/>
      <c r="K48" s="27"/>
      <c r="L48" s="27"/>
      <c r="M48" s="71"/>
      <c r="N48" s="39"/>
    </row>
    <row r="49" spans="1:14" ht="12" customHeight="1">
      <c r="A49" s="6" t="s">
        <v>29</v>
      </c>
      <c r="B49" s="31" t="s">
        <v>35</v>
      </c>
      <c r="C49" s="27">
        <v>15000</v>
      </c>
      <c r="D49" s="27">
        <v>0</v>
      </c>
      <c r="E49" s="27">
        <v>0</v>
      </c>
      <c r="F49" s="27">
        <f>-3182.08</f>
        <v>-3182.08</v>
      </c>
      <c r="G49" s="27">
        <f>-171.83</f>
        <v>-171.83</v>
      </c>
      <c r="H49" s="33">
        <f>'6-02-16'!H48+D49+F49</f>
        <v>11396.57</v>
      </c>
      <c r="I49" s="33">
        <f>'6-02-16'!I48+E49+G49</f>
        <v>615.2700000000002</v>
      </c>
      <c r="J49" s="33">
        <f>H49+I49</f>
        <v>12011.84</v>
      </c>
      <c r="K49" s="27">
        <f>C49-J49</f>
        <v>2988.16</v>
      </c>
      <c r="L49" s="33">
        <f>C49-(J49/25.2*26.2)</f>
        <v>2511.499682539683</v>
      </c>
      <c r="M49" s="71"/>
      <c r="N49" s="39"/>
    </row>
    <row r="50" spans="1:14" ht="12" customHeight="1">
      <c r="A50" s="6"/>
      <c r="B50" s="31"/>
      <c r="C50" s="7"/>
      <c r="D50" s="7"/>
      <c r="E50" s="7"/>
      <c r="F50" s="7"/>
      <c r="G50" s="7"/>
      <c r="H50" s="7"/>
      <c r="I50" s="7"/>
      <c r="J50" s="7"/>
      <c r="K50" s="7"/>
      <c r="L50" s="7"/>
      <c r="M50" s="71"/>
      <c r="N50" s="39"/>
    </row>
    <row r="51" spans="1:14" ht="12" customHeight="1">
      <c r="A51" s="50"/>
      <c r="B51" s="31"/>
      <c r="C51" s="7"/>
      <c r="D51" s="7"/>
      <c r="E51" s="7"/>
      <c r="F51" s="7"/>
      <c r="G51" s="7"/>
      <c r="H51" s="7"/>
      <c r="I51" s="7"/>
      <c r="J51" s="7"/>
      <c r="K51" s="7"/>
      <c r="L51" s="7"/>
      <c r="M51" s="71"/>
      <c r="N51" s="39"/>
    </row>
    <row r="52" spans="1:14" ht="24.75" customHeight="1">
      <c r="A52" s="51" t="s">
        <v>41</v>
      </c>
      <c r="B52" s="74"/>
      <c r="C52" s="53">
        <f>C47+C49</f>
        <v>76829</v>
      </c>
      <c r="D52" s="53">
        <f aca="true" t="shared" si="14" ref="D52:L52">D47+D49</f>
        <v>1907.54</v>
      </c>
      <c r="E52" s="53">
        <f t="shared" si="14"/>
        <v>49.59</v>
      </c>
      <c r="F52" s="53">
        <f t="shared" si="14"/>
        <v>-3182.08</v>
      </c>
      <c r="G52" s="53">
        <f t="shared" si="14"/>
        <v>-171.83</v>
      </c>
      <c r="H52" s="53">
        <f t="shared" si="14"/>
        <v>50384.63999999999</v>
      </c>
      <c r="I52" s="53">
        <f t="shared" si="14"/>
        <v>1804.5600000000004</v>
      </c>
      <c r="J52" s="53">
        <f t="shared" si="14"/>
        <v>52189.2</v>
      </c>
      <c r="K52" s="53">
        <f t="shared" si="14"/>
        <v>24639.800000000007</v>
      </c>
      <c r="L52" s="53">
        <f t="shared" si="14"/>
        <v>22568.800000000003</v>
      </c>
      <c r="M52" s="71"/>
      <c r="N52" s="12"/>
    </row>
    <row r="53" spans="1:14" ht="24" customHeight="1">
      <c r="A53" s="9"/>
      <c r="B53" s="10"/>
      <c r="C53" s="11"/>
      <c r="H53" s="11"/>
      <c r="I53" s="11"/>
      <c r="J53" s="11"/>
      <c r="K53" s="11"/>
      <c r="L53" s="11"/>
      <c r="M53" s="71"/>
      <c r="N53" s="12"/>
    </row>
    <row r="54" spans="1:14" ht="33.75">
      <c r="A54" s="57" t="s">
        <v>44</v>
      </c>
      <c r="B54" s="58">
        <v>43385.81</v>
      </c>
      <c r="C54" s="13"/>
      <c r="D54" s="13"/>
      <c r="E54" s="13"/>
      <c r="F54" s="13"/>
      <c r="G54" s="13"/>
      <c r="H54" s="46"/>
      <c r="I54" s="46"/>
      <c r="J54" s="46"/>
      <c r="K54" s="46"/>
      <c r="L54" s="46"/>
      <c r="M54" s="71"/>
      <c r="N54" s="12"/>
    </row>
    <row r="55" spans="1:14" ht="33.75">
      <c r="A55" s="9" t="s">
        <v>45</v>
      </c>
      <c r="B55" s="58">
        <v>10000</v>
      </c>
      <c r="C55" s="16"/>
      <c r="D55" s="11"/>
      <c r="E55" s="11"/>
      <c r="F55" s="11"/>
      <c r="G55" s="11"/>
      <c r="H55" s="11"/>
      <c r="I55" s="2"/>
      <c r="J55" s="11"/>
      <c r="K55" s="11"/>
      <c r="L55" s="11"/>
      <c r="M55" s="71"/>
      <c r="N55" s="12"/>
    </row>
    <row r="56" spans="1:14" ht="22.5">
      <c r="A56" s="14" t="s">
        <v>46</v>
      </c>
      <c r="B56" s="58">
        <v>15347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71"/>
      <c r="N56" s="12"/>
    </row>
    <row r="57" spans="1:14" ht="33.75">
      <c r="A57" s="14" t="s">
        <v>50</v>
      </c>
      <c r="B57" s="58">
        <v>5000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71"/>
      <c r="N57" s="17"/>
    </row>
    <row r="58" spans="1:14" ht="22.5">
      <c r="A58" s="14" t="s">
        <v>55</v>
      </c>
      <c r="B58" s="58">
        <v>42388.29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71"/>
      <c r="N58" s="12"/>
    </row>
    <row r="59" spans="1:14" ht="22.5" customHeight="1">
      <c r="A59" s="57" t="s">
        <v>56</v>
      </c>
      <c r="B59" s="58">
        <v>127.22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71"/>
      <c r="N59" s="12"/>
    </row>
    <row r="60" spans="1:14" ht="22.5">
      <c r="A60" s="57" t="s">
        <v>57</v>
      </c>
      <c r="B60" s="58">
        <v>7500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N60" s="12"/>
    </row>
    <row r="61" spans="1:14" ht="23.25">
      <c r="A61" s="18" t="s">
        <v>58</v>
      </c>
      <c r="B61" s="58">
        <v>3000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23.25">
      <c r="A62" s="18" t="s">
        <v>59</v>
      </c>
      <c r="B62" s="58">
        <v>4032.57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23.25">
      <c r="A63" s="18" t="s">
        <v>63</v>
      </c>
      <c r="B63" s="58">
        <v>5000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15">
      <c r="A64" s="18"/>
      <c r="B64" s="10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12"/>
    </row>
    <row r="65" spans="1:14" ht="15">
      <c r="A65" s="18"/>
      <c r="B65" s="10"/>
      <c r="C65" s="21"/>
      <c r="D65" s="21"/>
      <c r="E65" s="21"/>
      <c r="F65" s="21"/>
      <c r="G65" s="21"/>
      <c r="H65" s="21"/>
      <c r="I65" s="21"/>
      <c r="J65" s="21"/>
      <c r="K65" s="21"/>
      <c r="L65" s="21"/>
      <c r="N65" s="12"/>
    </row>
    <row r="66" spans="1:14" ht="25.5" customHeight="1">
      <c r="A66" s="18"/>
      <c r="B66" s="10"/>
      <c r="C66" s="21"/>
      <c r="D66" s="21"/>
      <c r="E66" s="21"/>
      <c r="F66" s="21"/>
      <c r="G66" s="21"/>
      <c r="H66" s="21"/>
      <c r="I66" s="21"/>
      <c r="J66" s="21"/>
      <c r="K66" s="21"/>
      <c r="L66" s="21"/>
      <c r="N66" s="12"/>
    </row>
    <row r="67" spans="1:14" ht="15" customHeight="1">
      <c r="A67" s="18"/>
      <c r="B67" s="10"/>
      <c r="C67" s="21"/>
      <c r="D67" s="21"/>
      <c r="E67" s="21"/>
      <c r="F67" s="21"/>
      <c r="G67" s="21"/>
      <c r="H67" s="21"/>
      <c r="I67" s="21"/>
      <c r="J67" s="21"/>
      <c r="K67" s="21"/>
      <c r="L67" s="21"/>
      <c r="N67" s="12"/>
    </row>
    <row r="68" spans="1:14" ht="15" customHeight="1">
      <c r="A68" s="20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N68" s="12"/>
    </row>
    <row r="69" spans="1:14" ht="1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N69" s="24"/>
    </row>
    <row r="70" spans="1:14" ht="11.25" customHeight="1">
      <c r="A70" s="23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N70" s="24"/>
    </row>
    <row r="71" spans="1:14" ht="11.25" customHeight="1">
      <c r="A71" s="25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N72" s="24"/>
    </row>
    <row r="73" spans="1:14" ht="11.25" customHeight="1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N73" s="24"/>
    </row>
    <row r="74" spans="1:14" ht="11.25" customHeight="1">
      <c r="A74" s="22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N74" s="24"/>
    </row>
    <row r="75" spans="1:14" ht="11.25" customHeight="1">
      <c r="A75" s="22"/>
      <c r="B75" s="22"/>
      <c r="C75" s="21"/>
      <c r="D75" s="21"/>
      <c r="E75" s="21"/>
      <c r="F75" s="21"/>
      <c r="G75" s="21"/>
      <c r="H75" s="21"/>
      <c r="I75" s="21"/>
      <c r="J75" s="21"/>
      <c r="K75" s="21"/>
      <c r="L75" s="21"/>
      <c r="N75" s="24"/>
    </row>
    <row r="76" spans="1:14" ht="11.25" customHeight="1">
      <c r="A76" s="22"/>
      <c r="B76" s="22"/>
      <c r="C76" s="21"/>
      <c r="D76" s="21"/>
      <c r="E76" s="21"/>
      <c r="F76" s="21"/>
      <c r="G76" s="21"/>
      <c r="H76" s="21"/>
      <c r="I76" s="21"/>
      <c r="J76" s="21"/>
      <c r="K76" s="21"/>
      <c r="L76" s="21"/>
      <c r="N76" s="24"/>
    </row>
    <row r="77" spans="1:13" ht="15">
      <c r="A77" s="22"/>
      <c r="B77" s="22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72"/>
    </row>
    <row r="78" spans="1:13" ht="15">
      <c r="A78" s="22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72"/>
    </row>
    <row r="79" spans="1:12" ht="15">
      <c r="A79" s="22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15">
      <c r="A83" s="24"/>
      <c r="B83" s="24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 ht="15">
      <c r="A84" s="24"/>
      <c r="B84" s="24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4" s="35" customFormat="1" ht="15">
      <c r="A85" s="24"/>
      <c r="B85" s="24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69"/>
      <c r="N85" s="36"/>
    </row>
    <row r="86" spans="1:12" ht="15">
      <c r="A86" s="24"/>
      <c r="B86" s="24"/>
      <c r="C86" s="48"/>
      <c r="D86" s="48"/>
      <c r="E86" s="48"/>
      <c r="F86" s="48"/>
      <c r="G86" s="48"/>
      <c r="H86" s="48"/>
      <c r="I86" s="48"/>
      <c r="J86" s="48"/>
      <c r="K86" s="48"/>
      <c r="L86" s="48"/>
    </row>
  </sheetData>
  <sheetProtection/>
  <mergeCells count="6">
    <mergeCell ref="A13:B13"/>
    <mergeCell ref="A20:B20"/>
    <mergeCell ref="A25:B25"/>
    <mergeCell ref="A30:B30"/>
    <mergeCell ref="A41:B41"/>
    <mergeCell ref="A44:B4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49" sqref="H49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7.57421875" style="40" bestFit="1" customWidth="1"/>
    <col min="5" max="5" width="6.28125" style="40" bestFit="1" customWidth="1"/>
    <col min="6" max="6" width="12.00390625" style="40" bestFit="1" customWidth="1"/>
    <col min="7" max="7" width="6.85156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69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72"/>
    </row>
    <row r="3" spans="1:14" s="44" customFormat="1" ht="11.25" customHeight="1">
      <c r="A3" s="31" t="s">
        <v>11</v>
      </c>
      <c r="B3" s="32">
        <v>55010500</v>
      </c>
      <c r="C3" s="33">
        <f>9670-5000-4032.57</f>
        <v>637.4299999999998</v>
      </c>
      <c r="D3" s="33">
        <v>0</v>
      </c>
      <c r="E3" s="33">
        <v>0</v>
      </c>
      <c r="F3" s="33">
        <v>0</v>
      </c>
      <c r="G3" s="33">
        <v>0</v>
      </c>
      <c r="H3" s="33">
        <f>'6-16-16'!H3+D3+F3</f>
        <v>604.8</v>
      </c>
      <c r="I3" s="33">
        <f>'6-16-16'!I3+E3+G3</f>
        <v>32.629999999999995</v>
      </c>
      <c r="J3" s="33">
        <f>H3+I3</f>
        <v>637.43</v>
      </c>
      <c r="K3" s="33">
        <f>C3-J3</f>
        <v>0</v>
      </c>
      <c r="L3" s="33">
        <f>C3-(J3/26.2*26.2)</f>
        <v>0</v>
      </c>
      <c r="M3" s="70"/>
      <c r="N3" s="43"/>
    </row>
    <row r="4" spans="1:14" s="44" customFormat="1" ht="11.25" customHeight="1">
      <c r="A4" s="31" t="s">
        <v>12</v>
      </c>
      <c r="B4" s="32">
        <v>55020200</v>
      </c>
      <c r="C4" s="33">
        <f>32649-7500</f>
        <v>25149</v>
      </c>
      <c r="D4" s="33">
        <v>495.35</v>
      </c>
      <c r="E4" s="33">
        <v>12.87</v>
      </c>
      <c r="F4" s="33">
        <v>0</v>
      </c>
      <c r="G4" s="33">
        <v>0</v>
      </c>
      <c r="H4" s="33">
        <f>'6-16-16'!H4+D4+F4</f>
        <v>12716.059999999998</v>
      </c>
      <c r="I4" s="33">
        <f>'6-16-16'!I4+E4+G4</f>
        <v>399.48</v>
      </c>
      <c r="J4" s="33">
        <f>H4+I4</f>
        <v>13115.539999999997</v>
      </c>
      <c r="K4" s="33">
        <f>C4-J4</f>
        <v>12033.460000000003</v>
      </c>
      <c r="L4" s="33">
        <f>C4-(J4/26.2*26.2)</f>
        <v>12033.460000000003</v>
      </c>
      <c r="M4" s="73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730.98</v>
      </c>
      <c r="E5" s="33">
        <v>19</v>
      </c>
      <c r="F5" s="33">
        <v>0</v>
      </c>
      <c r="G5" s="33">
        <v>0</v>
      </c>
      <c r="H5" s="33">
        <f>'6-16-16'!H5+D5+F5</f>
        <v>13196.73</v>
      </c>
      <c r="I5" s="33">
        <f>'6-16-16'!I5+E5+G5</f>
        <v>342.84999999999997</v>
      </c>
      <c r="J5" s="33">
        <f aca="true" t="shared" si="0" ref="J5:J11">H5+I5</f>
        <v>13539.58</v>
      </c>
      <c r="K5" s="33">
        <f aca="true" t="shared" si="1" ref="K5:K11">C5-J5</f>
        <v>4434.42</v>
      </c>
      <c r="L5" s="33">
        <f aca="true" t="shared" si="2" ref="L5:L12">C5-(J5/26.2*26.2)</f>
        <v>4434.42</v>
      </c>
      <c r="M5" s="73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816.06</v>
      </c>
      <c r="E6" s="33">
        <v>21.21</v>
      </c>
      <c r="F6" s="33">
        <v>0</v>
      </c>
      <c r="G6" s="33">
        <v>0</v>
      </c>
      <c r="H6" s="33">
        <f>'6-16-16'!H6+D6+F6</f>
        <v>10716.02</v>
      </c>
      <c r="I6" s="33">
        <f>'6-16-16'!I6+E6+G6</f>
        <v>278.24</v>
      </c>
      <c r="J6" s="33">
        <f>H6+I6</f>
        <v>10994.26</v>
      </c>
      <c r="K6" s="33">
        <f t="shared" si="1"/>
        <v>6979.74</v>
      </c>
      <c r="L6" s="33">
        <f t="shared" si="2"/>
        <v>6979.74</v>
      </c>
      <c r="M6" s="73"/>
      <c r="N6" s="61"/>
    </row>
    <row r="7" spans="1:13" s="44" customFormat="1" ht="11.25" customHeight="1">
      <c r="A7" s="31" t="s">
        <v>15</v>
      </c>
      <c r="B7" s="32">
        <v>55030200</v>
      </c>
      <c r="C7" s="33">
        <f>24330+7500-5000</f>
        <v>26830</v>
      </c>
      <c r="D7" s="33">
        <v>587.67</v>
      </c>
      <c r="E7" s="33">
        <v>15.27</v>
      </c>
      <c r="F7" s="33">
        <v>0</v>
      </c>
      <c r="G7" s="33">
        <v>0</v>
      </c>
      <c r="H7" s="33">
        <f>'6-16-16'!H7+D7+F7</f>
        <v>17450.159999999996</v>
      </c>
      <c r="I7" s="33">
        <f>'6-16-16'!I7+E7+G7</f>
        <v>453.51</v>
      </c>
      <c r="J7" s="33">
        <f t="shared" si="0"/>
        <v>17903.669999999995</v>
      </c>
      <c r="K7" s="33">
        <f t="shared" si="1"/>
        <v>8926.330000000005</v>
      </c>
      <c r="L7" s="33">
        <f t="shared" si="2"/>
        <v>8926.330000000005</v>
      </c>
      <c r="M7" s="73"/>
    </row>
    <row r="8" spans="1:13" s="44" customFormat="1" ht="11.25" customHeight="1">
      <c r="A8" s="31" t="s">
        <v>16</v>
      </c>
      <c r="B8" s="32">
        <v>55050200</v>
      </c>
      <c r="C8" s="33">
        <f>29837-127.22+5000</f>
        <v>34709.78</v>
      </c>
      <c r="D8" s="33">
        <v>995.25</v>
      </c>
      <c r="E8" s="33">
        <v>25.87</v>
      </c>
      <c r="F8" s="33">
        <v>0</v>
      </c>
      <c r="G8" s="33">
        <v>0</v>
      </c>
      <c r="H8" s="33">
        <f>'6-16-16'!H8+D8+F8</f>
        <v>30169.640000000003</v>
      </c>
      <c r="I8" s="33">
        <f>'6-16-16'!I8+E8+G8</f>
        <v>930.8399999999998</v>
      </c>
      <c r="J8" s="33">
        <f t="shared" si="0"/>
        <v>31100.480000000003</v>
      </c>
      <c r="K8" s="33">
        <f t="shared" si="1"/>
        <v>3609.2999999999956</v>
      </c>
      <c r="L8" s="33">
        <f t="shared" si="2"/>
        <v>3609.2999999999956</v>
      </c>
      <c r="M8" s="73"/>
    </row>
    <row r="9" spans="1:13" s="44" customFormat="1" ht="11.25" customHeight="1">
      <c r="A9" s="31" t="s">
        <v>51</v>
      </c>
      <c r="B9" s="32">
        <v>55050400</v>
      </c>
      <c r="C9" s="33">
        <v>5000</v>
      </c>
      <c r="D9" s="33">
        <v>0</v>
      </c>
      <c r="E9" s="33">
        <v>0</v>
      </c>
      <c r="F9" s="33">
        <v>0</v>
      </c>
      <c r="G9" s="33">
        <v>0</v>
      </c>
      <c r="H9" s="33">
        <f>'6-16-16'!H9+D9+F9</f>
        <v>2204.3599999999997</v>
      </c>
      <c r="I9" s="33">
        <f>'6-16-16'!I9+E9+G9</f>
        <v>31.62</v>
      </c>
      <c r="J9" s="33">
        <f t="shared" si="0"/>
        <v>2235.9799999999996</v>
      </c>
      <c r="K9" s="33">
        <f t="shared" si="1"/>
        <v>2764.0200000000004</v>
      </c>
      <c r="L9" s="33">
        <f t="shared" si="2"/>
        <v>2764.0200000000004</v>
      </c>
      <c r="M9" s="70"/>
    </row>
    <row r="10" spans="1:13" s="44" customFormat="1" ht="11.25" customHeight="1">
      <c r="A10" s="31" t="s">
        <v>17</v>
      </c>
      <c r="B10" s="32">
        <v>55070100</v>
      </c>
      <c r="C10" s="33">
        <f>26873+10510+5358+3000+4032.57+2500</f>
        <v>52273.57</v>
      </c>
      <c r="D10" s="33">
        <v>650.68</v>
      </c>
      <c r="E10" s="33">
        <v>16.91</v>
      </c>
      <c r="F10" s="33">
        <v>1363</v>
      </c>
      <c r="G10" s="33">
        <v>73.6</v>
      </c>
      <c r="H10" s="33">
        <f>'6-16-16'!H10+D10+F10</f>
        <v>51673.159999999996</v>
      </c>
      <c r="I10" s="33">
        <f>'6-16-16'!I10+E10+G10</f>
        <v>1878.15</v>
      </c>
      <c r="J10" s="33">
        <f t="shared" si="0"/>
        <v>53551.31</v>
      </c>
      <c r="K10" s="33">
        <f t="shared" si="1"/>
        <v>-1277.739999999998</v>
      </c>
      <c r="L10" s="33">
        <f t="shared" si="2"/>
        <v>-1277.739999999998</v>
      </c>
      <c r="M10" s="73"/>
    </row>
    <row r="11" spans="1:13" s="44" customFormat="1" ht="11.25" customHeight="1">
      <c r="A11" s="31" t="s">
        <v>18</v>
      </c>
      <c r="B11" s="32">
        <v>55070400</v>
      </c>
      <c r="C11" s="33">
        <f>3000-3000</f>
        <v>0</v>
      </c>
      <c r="D11" s="33">
        <v>0</v>
      </c>
      <c r="E11" s="33">
        <v>0</v>
      </c>
      <c r="F11" s="33">
        <v>0</v>
      </c>
      <c r="G11" s="33">
        <v>0</v>
      </c>
      <c r="H11" s="33">
        <f>'6-16-16'!H11+D11+F11</f>
        <v>0</v>
      </c>
      <c r="I11" s="33">
        <f>'6-16-16'!I11+E11+G11</f>
        <v>0</v>
      </c>
      <c r="J11" s="33">
        <f t="shared" si="0"/>
        <v>0</v>
      </c>
      <c r="K11" s="33">
        <f t="shared" si="1"/>
        <v>0</v>
      </c>
      <c r="L11" s="33">
        <f t="shared" si="2"/>
        <v>0</v>
      </c>
      <c r="M11" s="73"/>
    </row>
    <row r="12" spans="1:13" s="44" customFormat="1" ht="11.25" customHeight="1">
      <c r="A12" s="31" t="s">
        <v>20</v>
      </c>
      <c r="B12" s="32">
        <v>55080100</v>
      </c>
      <c r="C12" s="33">
        <v>23173</v>
      </c>
      <c r="D12" s="33">
        <v>401.69</v>
      </c>
      <c r="E12" s="33">
        <v>10.44</v>
      </c>
      <c r="F12" s="33">
        <v>0</v>
      </c>
      <c r="G12" s="33">
        <v>0</v>
      </c>
      <c r="H12" s="33">
        <f>'6-16-16'!H12+D12+F12</f>
        <v>20946.710000000003</v>
      </c>
      <c r="I12" s="33">
        <f>'6-16-16'!I12+E12+G12</f>
        <v>626.85</v>
      </c>
      <c r="J12" s="33">
        <f>H12+I12</f>
        <v>21573.56</v>
      </c>
      <c r="K12" s="33">
        <f>C12-J12</f>
        <v>1599.4399999999987</v>
      </c>
      <c r="L12" s="33">
        <f t="shared" si="2"/>
        <v>1599.4399999999987</v>
      </c>
      <c r="M12" s="73"/>
    </row>
    <row r="13" spans="1:14" ht="24.75" customHeight="1">
      <c r="A13" s="75" t="s">
        <v>36</v>
      </c>
      <c r="B13" s="76"/>
      <c r="C13" s="49">
        <f>SUM(C3:C12)</f>
        <v>203720.78</v>
      </c>
      <c r="D13" s="49">
        <f aca="true" t="shared" si="3" ref="D13:L13">SUM(D3:D12)</f>
        <v>4677.679999999999</v>
      </c>
      <c r="E13" s="49">
        <f t="shared" si="3"/>
        <v>121.57</v>
      </c>
      <c r="F13" s="49">
        <f t="shared" si="3"/>
        <v>1363</v>
      </c>
      <c r="G13" s="49">
        <f t="shared" si="3"/>
        <v>73.6</v>
      </c>
      <c r="H13" s="49">
        <f t="shared" si="3"/>
        <v>159677.63999999998</v>
      </c>
      <c r="I13" s="49">
        <f t="shared" si="3"/>
        <v>4974.17</v>
      </c>
      <c r="J13" s="49">
        <f t="shared" si="3"/>
        <v>164651.81</v>
      </c>
      <c r="K13" s="49">
        <f t="shared" si="3"/>
        <v>39068.97</v>
      </c>
      <c r="L13" s="49">
        <f t="shared" si="3"/>
        <v>39068.97</v>
      </c>
      <c r="M13" s="71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71"/>
      <c r="N14" s="39"/>
    </row>
    <row r="15" spans="1:14" ht="11.25" customHeight="1">
      <c r="A15" s="28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71"/>
      <c r="N15" s="39"/>
    </row>
    <row r="16" spans="1:14" s="44" customFormat="1" ht="11.25" customHeight="1">
      <c r="A16" s="31" t="s">
        <v>19</v>
      </c>
      <c r="B16" s="32">
        <v>55030100</v>
      </c>
      <c r="C16" s="33">
        <v>13540</v>
      </c>
      <c r="D16" s="33">
        <v>140.96</v>
      </c>
      <c r="E16" s="33">
        <v>3.66</v>
      </c>
      <c r="F16" s="33">
        <v>0</v>
      </c>
      <c r="G16" s="33">
        <v>0</v>
      </c>
      <c r="H16" s="33">
        <f>'6-16-16'!H16+D16+F16</f>
        <v>7318.539999999999</v>
      </c>
      <c r="I16" s="33">
        <f>'6-16-16'!I16+E16+G16</f>
        <v>205.73000000000002</v>
      </c>
      <c r="J16" s="33">
        <f aca="true" t="shared" si="4" ref="J16:J24">H16+I16</f>
        <v>7524.269999999999</v>
      </c>
      <c r="K16" s="33">
        <f aca="true" t="shared" si="5" ref="K16:K24">C16-J16</f>
        <v>6015.730000000001</v>
      </c>
      <c r="L16" s="33">
        <f>C16-(J16/26.2*26.2)</f>
        <v>6015.730000000001</v>
      </c>
      <c r="M16" s="70"/>
      <c r="N16" s="43"/>
    </row>
    <row r="17" spans="1:14" s="44" customFormat="1" ht="11.25" customHeight="1">
      <c r="A17" s="31" t="s">
        <v>33</v>
      </c>
      <c r="B17" s="32">
        <v>55110100</v>
      </c>
      <c r="C17" s="33">
        <v>7073</v>
      </c>
      <c r="D17" s="33">
        <v>37.87</v>
      </c>
      <c r="E17" s="33">
        <v>0.98</v>
      </c>
      <c r="F17" s="33">
        <v>0</v>
      </c>
      <c r="G17" s="33">
        <v>0</v>
      </c>
      <c r="H17" s="33">
        <f>'6-16-16'!H17+D17+F17</f>
        <v>963.94</v>
      </c>
      <c r="I17" s="33">
        <f>'6-16-16'!I17+E17+G17</f>
        <v>26.56</v>
      </c>
      <c r="J17" s="33">
        <f t="shared" si="4"/>
        <v>990.5</v>
      </c>
      <c r="K17" s="33">
        <f t="shared" si="5"/>
        <v>6082.5</v>
      </c>
      <c r="L17" s="33">
        <f>C17-(J17/26.2*26.2)</f>
        <v>6082.5</v>
      </c>
      <c r="M17" s="70"/>
      <c r="N17" s="43"/>
    </row>
    <row r="18" spans="1:14" s="44" customFormat="1" ht="11.25" customHeight="1">
      <c r="A18" s="31" t="s">
        <v>23</v>
      </c>
      <c r="B18" s="32">
        <v>55160100</v>
      </c>
      <c r="C18" s="33">
        <v>16062</v>
      </c>
      <c r="D18" s="33">
        <v>0</v>
      </c>
      <c r="E18" s="33">
        <v>0</v>
      </c>
      <c r="F18" s="33">
        <v>88.1</v>
      </c>
      <c r="G18" s="33">
        <v>4.75</v>
      </c>
      <c r="H18" s="33">
        <f>'6-16-16'!H18+D18+F18</f>
        <v>10526.479999999996</v>
      </c>
      <c r="I18" s="33">
        <f>'6-16-16'!I18+E18+G18</f>
        <v>414.05999999999995</v>
      </c>
      <c r="J18" s="33">
        <f t="shared" si="4"/>
        <v>10940.539999999995</v>
      </c>
      <c r="K18" s="33">
        <f t="shared" si="5"/>
        <v>5121.460000000005</v>
      </c>
      <c r="L18" s="33">
        <f>C18-(J18/26.2*26.2)</f>
        <v>5121.460000000005</v>
      </c>
      <c r="M18" s="70"/>
      <c r="N18" s="60"/>
    </row>
    <row r="19" spans="1:14" s="44" customFormat="1" ht="11.25" customHeight="1">
      <c r="A19" s="31" t="s">
        <v>61</v>
      </c>
      <c r="B19" s="32" t="s">
        <v>62</v>
      </c>
      <c r="C19" s="33">
        <v>2500</v>
      </c>
      <c r="D19" s="33">
        <v>0</v>
      </c>
      <c r="E19" s="33">
        <v>0</v>
      </c>
      <c r="F19" s="33">
        <v>273.92</v>
      </c>
      <c r="G19" s="33">
        <v>14.79</v>
      </c>
      <c r="H19" s="33">
        <f>'6-16-16'!H19+D19+F19</f>
        <v>1776.2000000000003</v>
      </c>
      <c r="I19" s="33">
        <f>'6-16-16'!I19+E19+G19</f>
        <v>95.9</v>
      </c>
      <c r="J19" s="33">
        <f t="shared" si="4"/>
        <v>1872.1000000000004</v>
      </c>
      <c r="K19" s="33">
        <f t="shared" si="5"/>
        <v>627.8999999999996</v>
      </c>
      <c r="L19" s="33">
        <f>C19-(J19/26.2*26.2)</f>
        <v>627.8999999999996</v>
      </c>
      <c r="M19" s="70"/>
      <c r="N19" s="60"/>
    </row>
    <row r="20" spans="1:14" ht="24.75" customHeight="1">
      <c r="A20" s="75" t="s">
        <v>37</v>
      </c>
      <c r="B20" s="76"/>
      <c r="C20" s="49">
        <f>SUM(C16:C19)</f>
        <v>39175</v>
      </c>
      <c r="D20" s="49">
        <f aca="true" t="shared" si="6" ref="D20:L20">SUM(D16:D18)</f>
        <v>178.83</v>
      </c>
      <c r="E20" s="49">
        <f t="shared" si="6"/>
        <v>4.640000000000001</v>
      </c>
      <c r="F20" s="49">
        <f>SUM(F16:F19)</f>
        <v>362.02</v>
      </c>
      <c r="G20" s="49">
        <f>SUM(G16:G19)</f>
        <v>19.54</v>
      </c>
      <c r="H20" s="49">
        <f t="shared" si="6"/>
        <v>18808.959999999995</v>
      </c>
      <c r="I20" s="49">
        <f t="shared" si="6"/>
        <v>646.3499999999999</v>
      </c>
      <c r="J20" s="49">
        <f t="shared" si="6"/>
        <v>19455.309999999994</v>
      </c>
      <c r="K20" s="49">
        <f t="shared" si="6"/>
        <v>17219.690000000006</v>
      </c>
      <c r="L20" s="49">
        <f t="shared" si="6"/>
        <v>17219.690000000006</v>
      </c>
      <c r="M20" s="71"/>
      <c r="N20" s="41"/>
    </row>
    <row r="21" spans="1:14" ht="11.25" customHeight="1">
      <c r="A21" s="28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71"/>
      <c r="N21" s="41"/>
    </row>
    <row r="22" spans="1:14" ht="11.25" customHeight="1">
      <c r="A22" s="28"/>
      <c r="B22" s="28"/>
      <c r="C22" s="8"/>
      <c r="D22" s="8"/>
      <c r="E22" s="8"/>
      <c r="F22" s="8"/>
      <c r="G22" s="8"/>
      <c r="H22" s="8"/>
      <c r="I22" s="8"/>
      <c r="J22" s="8"/>
      <c r="K22" s="8"/>
      <c r="L22" s="8"/>
      <c r="M22" s="71"/>
      <c r="N22" s="41"/>
    </row>
    <row r="23" spans="1:14" s="44" customFormat="1" ht="11.25" customHeight="1">
      <c r="A23" s="31" t="s">
        <v>21</v>
      </c>
      <c r="B23" s="32">
        <v>55090100</v>
      </c>
      <c r="C23" s="33">
        <v>26923</v>
      </c>
      <c r="D23" s="33">
        <v>0</v>
      </c>
      <c r="E23" s="33">
        <v>0</v>
      </c>
      <c r="F23" s="33">
        <v>0</v>
      </c>
      <c r="G23" s="33">
        <v>0</v>
      </c>
      <c r="H23" s="33">
        <f>'6-16-16'!H23+D23+F23</f>
        <v>24671.879999999994</v>
      </c>
      <c r="I23" s="33">
        <f>'6-16-16'!I23+E23+G23</f>
        <v>1132.23</v>
      </c>
      <c r="J23" s="33">
        <f t="shared" si="4"/>
        <v>25804.109999999993</v>
      </c>
      <c r="K23" s="33">
        <f t="shared" si="5"/>
        <v>1118.8900000000067</v>
      </c>
      <c r="L23" s="33">
        <f>C23-(J23/26.2*26.2)</f>
        <v>1118.8900000000067</v>
      </c>
      <c r="M23" s="70"/>
      <c r="N23" s="60"/>
    </row>
    <row r="24" spans="1:14" s="44" customFormat="1" ht="11.25" customHeight="1">
      <c r="A24" s="31" t="s">
        <v>22</v>
      </c>
      <c r="B24" s="32">
        <v>55100100</v>
      </c>
      <c r="C24" s="33">
        <v>2026</v>
      </c>
      <c r="D24" s="33">
        <v>0</v>
      </c>
      <c r="E24" s="33">
        <v>0</v>
      </c>
      <c r="F24" s="33">
        <v>99.44</v>
      </c>
      <c r="G24" s="33">
        <v>5.36</v>
      </c>
      <c r="H24" s="33">
        <f>'6-16-16'!H24+D24+F24</f>
        <v>1312.44</v>
      </c>
      <c r="I24" s="33">
        <f>'6-16-16'!I24+E24+G24</f>
        <v>68.47</v>
      </c>
      <c r="J24" s="33">
        <f t="shared" si="4"/>
        <v>1380.91</v>
      </c>
      <c r="K24" s="33">
        <f t="shared" si="5"/>
        <v>645.0899999999999</v>
      </c>
      <c r="L24" s="33">
        <f>C24-(J24/26.2*26.2)</f>
        <v>645.0899999999999</v>
      </c>
      <c r="M24" s="70"/>
      <c r="N24" s="60"/>
    </row>
    <row r="25" spans="1:14" ht="24.75" customHeight="1">
      <c r="A25" s="75" t="s">
        <v>38</v>
      </c>
      <c r="B25" s="76"/>
      <c r="C25" s="49">
        <f>SUM(C23:C24)</f>
        <v>28949</v>
      </c>
      <c r="D25" s="49">
        <f aca="true" t="shared" si="7" ref="D25:L25">SUM(D23:D24)</f>
        <v>0</v>
      </c>
      <c r="E25" s="49">
        <f t="shared" si="7"/>
        <v>0</v>
      </c>
      <c r="F25" s="49">
        <f t="shared" si="7"/>
        <v>99.44</v>
      </c>
      <c r="G25" s="49">
        <f t="shared" si="7"/>
        <v>5.36</v>
      </c>
      <c r="H25" s="49">
        <f t="shared" si="7"/>
        <v>25984.319999999992</v>
      </c>
      <c r="I25" s="49">
        <f t="shared" si="7"/>
        <v>1200.7</v>
      </c>
      <c r="J25" s="49">
        <f t="shared" si="7"/>
        <v>27185.019999999993</v>
      </c>
      <c r="K25" s="49">
        <f t="shared" si="7"/>
        <v>1763.9800000000066</v>
      </c>
      <c r="L25" s="49">
        <f t="shared" si="7"/>
        <v>1763.9800000000066</v>
      </c>
      <c r="M25" s="71"/>
      <c r="N25" s="41"/>
    </row>
    <row r="26" spans="1:14" ht="11.2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71"/>
      <c r="N26" s="39"/>
    </row>
    <row r="27" spans="1:14" ht="11.25" customHeight="1">
      <c r="A27" s="28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71"/>
      <c r="N27" s="39"/>
    </row>
    <row r="28" spans="1:13" s="44" customFormat="1" ht="11.25" customHeight="1">
      <c r="A28" s="31" t="s">
        <v>26</v>
      </c>
      <c r="B28" s="32">
        <v>55130100</v>
      </c>
      <c r="C28" s="33">
        <v>4523</v>
      </c>
      <c r="D28" s="33">
        <v>256.8</v>
      </c>
      <c r="E28" s="33">
        <v>6.67</v>
      </c>
      <c r="F28" s="33">
        <v>0</v>
      </c>
      <c r="G28" s="33">
        <v>0</v>
      </c>
      <c r="H28" s="33">
        <f>'6-16-16'!H28+D28+F28</f>
        <v>3276.2800000000007</v>
      </c>
      <c r="I28" s="33">
        <f>'6-16-16'!I28+E28+G28</f>
        <v>85.00000000000001</v>
      </c>
      <c r="J28" s="33">
        <f>H28+I28</f>
        <v>3361.2800000000007</v>
      </c>
      <c r="K28" s="33">
        <f>C28-J28</f>
        <v>1161.7199999999993</v>
      </c>
      <c r="L28" s="33">
        <f>C28-(J28/26.2*26.2)</f>
        <v>1161.719999999999</v>
      </c>
      <c r="M28" s="73"/>
    </row>
    <row r="29" spans="1:13" s="44" customFormat="1" ht="11.25" customHeight="1">
      <c r="A29" s="31" t="s">
        <v>30</v>
      </c>
      <c r="B29" s="32">
        <v>55140100</v>
      </c>
      <c r="C29" s="33">
        <v>2995</v>
      </c>
      <c r="D29" s="33">
        <v>0</v>
      </c>
      <c r="E29" s="33">
        <v>0</v>
      </c>
      <c r="F29" s="33">
        <v>0</v>
      </c>
      <c r="G29" s="33">
        <v>0</v>
      </c>
      <c r="H29" s="33">
        <f>'6-16-16'!H29+D29+F29</f>
        <v>2542.32</v>
      </c>
      <c r="I29" s="33">
        <f>'6-16-16'!I29+E29+G29</f>
        <v>137.11999999999998</v>
      </c>
      <c r="J29" s="33">
        <f>H29+I29</f>
        <v>2679.44</v>
      </c>
      <c r="K29" s="33">
        <f>C29-J29</f>
        <v>315.55999999999995</v>
      </c>
      <c r="L29" s="33">
        <f>C29-(J29/26.2*26.2)</f>
        <v>315.55999999999995</v>
      </c>
      <c r="M29" s="73"/>
    </row>
    <row r="30" spans="1:14" s="44" customFormat="1" ht="24.75" customHeight="1">
      <c r="A30" s="75" t="s">
        <v>39</v>
      </c>
      <c r="B30" s="76"/>
      <c r="C30" s="49">
        <f aca="true" t="shared" si="8" ref="C30:L30">SUM(C28:C29)</f>
        <v>7518</v>
      </c>
      <c r="D30" s="49">
        <f t="shared" si="8"/>
        <v>256.8</v>
      </c>
      <c r="E30" s="49">
        <f t="shared" si="8"/>
        <v>6.67</v>
      </c>
      <c r="F30" s="49">
        <f t="shared" si="8"/>
        <v>0</v>
      </c>
      <c r="G30" s="49">
        <f t="shared" si="8"/>
        <v>0</v>
      </c>
      <c r="H30" s="49">
        <f t="shared" si="8"/>
        <v>5818.6</v>
      </c>
      <c r="I30" s="49">
        <f t="shared" si="8"/>
        <v>222.12</v>
      </c>
      <c r="J30" s="62">
        <f t="shared" si="8"/>
        <v>6040.720000000001</v>
      </c>
      <c r="K30" s="49">
        <f t="shared" si="8"/>
        <v>1477.2799999999993</v>
      </c>
      <c r="L30" s="49">
        <f t="shared" si="8"/>
        <v>1477.2799999999988</v>
      </c>
      <c r="M30" s="70"/>
      <c r="N30" s="43"/>
    </row>
    <row r="31" spans="1:14" ht="11.2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71"/>
      <c r="N31" s="39"/>
    </row>
    <row r="32" spans="1:14" ht="11.25" customHeight="1">
      <c r="A32" s="28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71"/>
      <c r="N32" s="39"/>
    </row>
    <row r="33" spans="1:14" s="44" customFormat="1" ht="11.25" customHeight="1">
      <c r="A33" s="31" t="s">
        <v>34</v>
      </c>
      <c r="B33" s="32">
        <v>55010000</v>
      </c>
      <c r="C33" s="33">
        <f>24725-15347-2500</f>
        <v>6878</v>
      </c>
      <c r="D33" s="33">
        <v>450</v>
      </c>
      <c r="E33" s="33">
        <v>11.7</v>
      </c>
      <c r="F33" s="33">
        <v>0</v>
      </c>
      <c r="G33" s="33">
        <v>0</v>
      </c>
      <c r="H33" s="33">
        <f>'6-16-16'!H33+D33+F33</f>
        <v>6151.4400000000005</v>
      </c>
      <c r="I33" s="33">
        <f>'6-16-16'!I33+E33+G33</f>
        <v>288.26</v>
      </c>
      <c r="J33" s="33">
        <f aca="true" t="shared" si="9" ref="J33:J40">H33+I33</f>
        <v>6439.700000000001</v>
      </c>
      <c r="K33" s="33">
        <f aca="true" t="shared" si="10" ref="K33:K40">C33-J33</f>
        <v>438.2999999999993</v>
      </c>
      <c r="L33" s="33">
        <f aca="true" t="shared" si="11" ref="L33:L40">C33-(J33/26.2*26.2)</f>
        <v>438.2999999999993</v>
      </c>
      <c r="M33" s="70"/>
      <c r="N33" s="43"/>
    </row>
    <row r="34" spans="1:14" s="44" customFormat="1" ht="11.25" customHeight="1">
      <c r="A34" s="31" t="s">
        <v>54</v>
      </c>
      <c r="B34" s="32" t="s">
        <v>53</v>
      </c>
      <c r="C34" s="33">
        <v>3000</v>
      </c>
      <c r="D34" s="33">
        <v>0</v>
      </c>
      <c r="E34" s="33">
        <v>0</v>
      </c>
      <c r="F34" s="33">
        <v>0</v>
      </c>
      <c r="G34" s="33">
        <v>0</v>
      </c>
      <c r="H34" s="33">
        <f>'6-16-16'!H34+D34+F34</f>
        <v>2484</v>
      </c>
      <c r="I34" s="33">
        <f>'6-16-16'!I34+E34+G34</f>
        <v>134.11</v>
      </c>
      <c r="J34" s="33">
        <f t="shared" si="9"/>
        <v>2618.11</v>
      </c>
      <c r="K34" s="33">
        <f t="shared" si="10"/>
        <v>381.8899999999999</v>
      </c>
      <c r="L34" s="33">
        <f t="shared" si="11"/>
        <v>381.8899999999999</v>
      </c>
      <c r="M34" s="70"/>
      <c r="N34" s="43"/>
    </row>
    <row r="35" spans="1:13" s="44" customFormat="1" ht="11.25" customHeight="1">
      <c r="A35" s="31" t="s">
        <v>31</v>
      </c>
      <c r="B35" s="32">
        <v>55080500</v>
      </c>
      <c r="C35" s="33">
        <v>10000</v>
      </c>
      <c r="D35" s="33">
        <v>154.37</v>
      </c>
      <c r="E35" s="33">
        <v>4.01</v>
      </c>
      <c r="F35" s="33">
        <v>1003.2</v>
      </c>
      <c r="G35" s="33">
        <v>54.17</v>
      </c>
      <c r="H35" s="33">
        <f>'6-16-16'!H35+D35+F35</f>
        <v>5544.330000000001</v>
      </c>
      <c r="I35" s="33">
        <f>'6-16-16'!I35+E35+G35</f>
        <v>205.17000000000002</v>
      </c>
      <c r="J35" s="33">
        <f t="shared" si="9"/>
        <v>5749.500000000001</v>
      </c>
      <c r="K35" s="33">
        <f t="shared" si="10"/>
        <v>4250.499999999999</v>
      </c>
      <c r="L35" s="33">
        <f t="shared" si="11"/>
        <v>4250.499999999999</v>
      </c>
      <c r="M35" s="73"/>
    </row>
    <row r="36" spans="1:13" s="44" customFormat="1" ht="11.25" customHeight="1">
      <c r="A36" s="31" t="s">
        <v>32</v>
      </c>
      <c r="B36" s="32">
        <v>55050300</v>
      </c>
      <c r="C36" s="33">
        <f>15347+127.22</f>
        <v>15474.22</v>
      </c>
      <c r="D36" s="33">
        <v>0</v>
      </c>
      <c r="E36" s="33">
        <v>0</v>
      </c>
      <c r="F36" s="33">
        <v>0</v>
      </c>
      <c r="G36" s="33">
        <v>0</v>
      </c>
      <c r="H36" s="33">
        <f>'6-16-16'!H36+D36+F36</f>
        <v>13375.949999999999</v>
      </c>
      <c r="I36" s="33">
        <f>'6-16-16'!I36+E36+G36</f>
        <v>730.3399999999999</v>
      </c>
      <c r="J36" s="33">
        <f t="shared" si="9"/>
        <v>14106.289999999999</v>
      </c>
      <c r="K36" s="33">
        <f t="shared" si="10"/>
        <v>1367.9300000000003</v>
      </c>
      <c r="L36" s="33">
        <f t="shared" si="11"/>
        <v>1367.9300000000003</v>
      </c>
      <c r="M36" s="73"/>
    </row>
    <row r="37" spans="1:13" s="44" customFormat="1" ht="11.25" customHeight="1">
      <c r="A37" s="31" t="s">
        <v>64</v>
      </c>
      <c r="B37" s="32">
        <v>55070300</v>
      </c>
      <c r="C37" s="33">
        <v>1000</v>
      </c>
      <c r="D37" s="33">
        <v>135.6</v>
      </c>
      <c r="E37" s="33">
        <v>3.52</v>
      </c>
      <c r="F37" s="33">
        <v>0</v>
      </c>
      <c r="G37" s="33">
        <v>0</v>
      </c>
      <c r="H37" s="33">
        <f>'6-16-16'!H37+D37+F37</f>
        <v>135.6</v>
      </c>
      <c r="I37" s="33">
        <f>'6-16-16'!I37+E37+G37</f>
        <v>3.52</v>
      </c>
      <c r="J37" s="33">
        <f t="shared" si="9"/>
        <v>139.12</v>
      </c>
      <c r="K37" s="33">
        <f t="shared" si="10"/>
        <v>860.88</v>
      </c>
      <c r="L37" s="33">
        <f t="shared" si="11"/>
        <v>860.88</v>
      </c>
      <c r="M37" s="73"/>
    </row>
    <row r="38" spans="1:13" s="44" customFormat="1" ht="11.25" customHeight="1">
      <c r="A38" s="31" t="s">
        <v>43</v>
      </c>
      <c r="B38" s="32">
        <v>55160300</v>
      </c>
      <c r="C38" s="33">
        <f>43385.81+42388.29</f>
        <v>85774.1</v>
      </c>
      <c r="D38" s="33">
        <v>0</v>
      </c>
      <c r="E38" s="33">
        <v>0</v>
      </c>
      <c r="F38" s="33">
        <v>3154.25</v>
      </c>
      <c r="G38" s="33">
        <v>170.32</v>
      </c>
      <c r="H38" s="33">
        <f>'6-16-16'!H38+D38+F38</f>
        <v>81379.71</v>
      </c>
      <c r="I38" s="33">
        <f>'6-16-16'!I38+E38+G38</f>
        <v>4394.280000000001</v>
      </c>
      <c r="J38" s="33">
        <f t="shared" si="9"/>
        <v>85773.99</v>
      </c>
      <c r="K38" s="33">
        <f t="shared" si="10"/>
        <v>0.11000000000058208</v>
      </c>
      <c r="L38" s="33">
        <f t="shared" si="11"/>
        <v>0.11000000000058208</v>
      </c>
      <c r="M38" s="73"/>
    </row>
    <row r="39" spans="1:13" s="44" customFormat="1" ht="15" customHeight="1" hidden="1">
      <c r="A39" s="31" t="s">
        <v>47</v>
      </c>
      <c r="B39" s="32">
        <v>55010100</v>
      </c>
      <c r="C39" s="33"/>
      <c r="D39" s="33"/>
      <c r="E39" s="33"/>
      <c r="F39" s="33"/>
      <c r="G39" s="33"/>
      <c r="H39" s="33">
        <f>'6-16-16'!H39+D39+F39</f>
        <v>-64.2</v>
      </c>
      <c r="I39" s="33">
        <f>'6-16-16'!I39+E39+G39</f>
        <v>-1.67</v>
      </c>
      <c r="J39" s="33">
        <f t="shared" si="9"/>
        <v>-65.87</v>
      </c>
      <c r="K39" s="33">
        <f t="shared" si="10"/>
        <v>65.87</v>
      </c>
      <c r="L39" s="33">
        <f t="shared" si="11"/>
        <v>65.87</v>
      </c>
      <c r="M39" s="73"/>
    </row>
    <row r="40" spans="1:13" s="44" customFormat="1" ht="11.25" customHeight="1">
      <c r="A40" s="31" t="s">
        <v>48</v>
      </c>
      <c r="B40" s="32" t="s">
        <v>60</v>
      </c>
      <c r="C40" s="33">
        <v>4086</v>
      </c>
      <c r="D40" s="33">
        <v>623.31</v>
      </c>
      <c r="E40" s="33">
        <v>16.2</v>
      </c>
      <c r="F40" s="33">
        <v>0</v>
      </c>
      <c r="G40" s="33">
        <v>0</v>
      </c>
      <c r="H40" s="33">
        <f>'6-16-16'!H40+D40+F40</f>
        <v>3662.76</v>
      </c>
      <c r="I40" s="33">
        <f>'6-16-16'!I40+E40+G40</f>
        <v>95.21</v>
      </c>
      <c r="J40" s="33">
        <f t="shared" si="9"/>
        <v>3757.9700000000003</v>
      </c>
      <c r="K40" s="33">
        <f t="shared" si="10"/>
        <v>328.02999999999975</v>
      </c>
      <c r="L40" s="33">
        <f t="shared" si="11"/>
        <v>328.0300000000002</v>
      </c>
      <c r="M40" s="73"/>
    </row>
    <row r="41" spans="1:14" ht="24.75" customHeight="1">
      <c r="A41" s="77" t="s">
        <v>40</v>
      </c>
      <c r="B41" s="78"/>
      <c r="C41" s="49">
        <f aca="true" t="shared" si="12" ref="C41:L41">SUM(C33:C40)</f>
        <v>126212.32</v>
      </c>
      <c r="D41" s="49">
        <f t="shared" si="12"/>
        <v>1363.28</v>
      </c>
      <c r="E41" s="49">
        <f t="shared" si="12"/>
        <v>35.43</v>
      </c>
      <c r="F41" s="49">
        <f t="shared" si="12"/>
        <v>4157.45</v>
      </c>
      <c r="G41" s="49">
        <f t="shared" si="12"/>
        <v>224.49</v>
      </c>
      <c r="H41" s="49">
        <f t="shared" si="12"/>
        <v>112669.59</v>
      </c>
      <c r="I41" s="49">
        <f t="shared" si="12"/>
        <v>5849.22</v>
      </c>
      <c r="J41" s="62">
        <f t="shared" si="12"/>
        <v>118518.81000000001</v>
      </c>
      <c r="K41" s="49">
        <f t="shared" si="12"/>
        <v>7693.509999999999</v>
      </c>
      <c r="L41" s="49">
        <f t="shared" si="12"/>
        <v>7693.51</v>
      </c>
      <c r="M41" s="71"/>
      <c r="N41" s="39"/>
    </row>
    <row r="42" spans="1:14" ht="11.25" customHeight="1">
      <c r="A42" s="28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71"/>
      <c r="N42" s="39"/>
    </row>
    <row r="43" spans="1:14" ht="11.25" customHeight="1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71"/>
      <c r="N43" s="39"/>
    </row>
    <row r="44" spans="1:14" ht="24.75" customHeight="1">
      <c r="A44" s="76" t="s">
        <v>42</v>
      </c>
      <c r="B44" s="76"/>
      <c r="C44" s="49">
        <f aca="true" t="shared" si="13" ref="C44:L44">C13+C20+C25+C30+C41</f>
        <v>405575.10000000003</v>
      </c>
      <c r="D44" s="49">
        <f t="shared" si="13"/>
        <v>6476.589999999999</v>
      </c>
      <c r="E44" s="49">
        <f t="shared" si="13"/>
        <v>168.31</v>
      </c>
      <c r="F44" s="49">
        <f t="shared" si="13"/>
        <v>5981.91</v>
      </c>
      <c r="G44" s="49">
        <f t="shared" si="13"/>
        <v>322.99</v>
      </c>
      <c r="H44" s="49">
        <f t="shared" si="13"/>
        <v>322959.11</v>
      </c>
      <c r="I44" s="49">
        <f t="shared" si="13"/>
        <v>12892.560000000001</v>
      </c>
      <c r="J44" s="49">
        <f t="shared" si="13"/>
        <v>335851.67</v>
      </c>
      <c r="K44" s="49">
        <f t="shared" si="13"/>
        <v>67223.43000000001</v>
      </c>
      <c r="L44" s="49">
        <f t="shared" si="13"/>
        <v>67223.43000000001</v>
      </c>
      <c r="M44" s="71"/>
      <c r="N44" s="39"/>
    </row>
    <row r="45" spans="1:14" ht="11.25" customHeight="1">
      <c r="A45" s="54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71"/>
      <c r="N45" s="39"/>
    </row>
    <row r="46" spans="1:14" ht="11.25" customHeight="1">
      <c r="A46" s="54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71"/>
      <c r="N46" s="39"/>
    </row>
    <row r="47" spans="1:14" s="44" customFormat="1" ht="12" customHeight="1">
      <c r="A47" s="31" t="s">
        <v>27</v>
      </c>
      <c r="B47" s="31" t="s">
        <v>28</v>
      </c>
      <c r="C47" s="33">
        <v>61829</v>
      </c>
      <c r="D47" s="33">
        <v>1701.36</v>
      </c>
      <c r="E47" s="33">
        <v>44.23</v>
      </c>
      <c r="F47" s="33">
        <v>0</v>
      </c>
      <c r="G47" s="33">
        <v>0</v>
      </c>
      <c r="H47" s="33">
        <f>'6-16-16'!H47+D47+F47</f>
        <v>40689.42999999999</v>
      </c>
      <c r="I47" s="33">
        <f>'6-16-16'!I47+E47+G47</f>
        <v>1233.5200000000002</v>
      </c>
      <c r="J47" s="33">
        <f>H47+I47</f>
        <v>41922.94999999999</v>
      </c>
      <c r="K47" s="33">
        <f>C47-J47</f>
        <v>19906.05000000001</v>
      </c>
      <c r="L47" s="33">
        <f>C47-(J47/26.2*26.2)</f>
        <v>19906.05000000001</v>
      </c>
      <c r="M47" s="70"/>
      <c r="N47" s="43"/>
    </row>
    <row r="48" spans="1:14" ht="12" customHeight="1">
      <c r="A48" s="6"/>
      <c r="B48" s="31"/>
      <c r="C48" s="27"/>
      <c r="D48" s="27"/>
      <c r="E48" s="27"/>
      <c r="F48" s="27"/>
      <c r="G48" s="27"/>
      <c r="H48" s="27"/>
      <c r="I48" s="27"/>
      <c r="J48" s="33"/>
      <c r="K48" s="27"/>
      <c r="L48" s="27"/>
      <c r="M48" s="71"/>
      <c r="N48" s="39"/>
    </row>
    <row r="49" spans="1:14" ht="12" customHeight="1">
      <c r="A49" s="6" t="s">
        <v>29</v>
      </c>
      <c r="B49" s="31" t="s">
        <v>35</v>
      </c>
      <c r="C49" s="27">
        <v>15000</v>
      </c>
      <c r="D49" s="27">
        <v>0</v>
      </c>
      <c r="E49" s="27">
        <v>0</v>
      </c>
      <c r="F49" s="27">
        <v>0</v>
      </c>
      <c r="G49" s="27">
        <v>0</v>
      </c>
      <c r="H49" s="33">
        <f>'6-16-16'!H49+D49+F49</f>
        <v>11396.57</v>
      </c>
      <c r="I49" s="33">
        <f>'6-16-16'!I49+E49+G49</f>
        <v>615.2700000000002</v>
      </c>
      <c r="J49" s="33">
        <f>H49+I49</f>
        <v>12011.84</v>
      </c>
      <c r="K49" s="27">
        <f>C49-J49</f>
        <v>2988.16</v>
      </c>
      <c r="L49" s="33">
        <f>C49-(J49/26.2*26.2)</f>
        <v>2988.16</v>
      </c>
      <c r="M49" s="71"/>
      <c r="N49" s="39"/>
    </row>
    <row r="50" spans="1:14" ht="12" customHeight="1">
      <c r="A50" s="6"/>
      <c r="B50" s="31"/>
      <c r="C50" s="7"/>
      <c r="D50" s="7"/>
      <c r="E50" s="7"/>
      <c r="F50" s="7"/>
      <c r="G50" s="7"/>
      <c r="H50" s="7"/>
      <c r="I50" s="7"/>
      <c r="J50" s="7"/>
      <c r="K50" s="7"/>
      <c r="L50" s="7"/>
      <c r="M50" s="71"/>
      <c r="N50" s="39"/>
    </row>
    <row r="51" spans="1:14" ht="12" customHeight="1">
      <c r="A51" s="50"/>
      <c r="B51" s="31"/>
      <c r="C51" s="7"/>
      <c r="D51" s="7"/>
      <c r="E51" s="7"/>
      <c r="F51" s="7"/>
      <c r="G51" s="7"/>
      <c r="H51" s="7"/>
      <c r="I51" s="7"/>
      <c r="J51" s="7"/>
      <c r="K51" s="7"/>
      <c r="L51" s="7"/>
      <c r="M51" s="71"/>
      <c r="N51" s="39"/>
    </row>
    <row r="52" spans="1:14" ht="24.75" customHeight="1">
      <c r="A52" s="51" t="s">
        <v>41</v>
      </c>
      <c r="B52" s="74"/>
      <c r="C52" s="53">
        <f>C47+C49</f>
        <v>76829</v>
      </c>
      <c r="D52" s="53">
        <f aca="true" t="shared" si="14" ref="D52:L52">D47+D49</f>
        <v>1701.36</v>
      </c>
      <c r="E52" s="53">
        <f t="shared" si="14"/>
        <v>44.23</v>
      </c>
      <c r="F52" s="53">
        <f t="shared" si="14"/>
        <v>0</v>
      </c>
      <c r="G52" s="53">
        <f t="shared" si="14"/>
        <v>0</v>
      </c>
      <c r="H52" s="53">
        <f t="shared" si="14"/>
        <v>52085.99999999999</v>
      </c>
      <c r="I52" s="53">
        <f t="shared" si="14"/>
        <v>1848.7900000000004</v>
      </c>
      <c r="J52" s="53">
        <f t="shared" si="14"/>
        <v>53934.78999999999</v>
      </c>
      <c r="K52" s="53">
        <f t="shared" si="14"/>
        <v>22894.21000000001</v>
      </c>
      <c r="L52" s="53">
        <f t="shared" si="14"/>
        <v>22894.21000000001</v>
      </c>
      <c r="M52" s="71"/>
      <c r="N52" s="12"/>
    </row>
    <row r="53" spans="1:14" ht="24" customHeight="1">
      <c r="A53" s="9"/>
      <c r="B53" s="10"/>
      <c r="C53" s="11"/>
      <c r="H53" s="11"/>
      <c r="I53" s="11"/>
      <c r="J53" s="11"/>
      <c r="K53" s="11"/>
      <c r="L53" s="11"/>
      <c r="M53" s="71"/>
      <c r="N53" s="12"/>
    </row>
    <row r="54" spans="1:14" ht="33.75">
      <c r="A54" s="57" t="s">
        <v>44</v>
      </c>
      <c r="B54" s="58">
        <v>43385.81</v>
      </c>
      <c r="C54" s="13"/>
      <c r="D54" s="13"/>
      <c r="E54" s="13"/>
      <c r="F54" s="13"/>
      <c r="G54" s="13"/>
      <c r="H54" s="46"/>
      <c r="I54" s="46"/>
      <c r="J54" s="46"/>
      <c r="K54" s="46"/>
      <c r="L54" s="46"/>
      <c r="M54" s="71"/>
      <c r="N54" s="12"/>
    </row>
    <row r="55" spans="1:14" ht="33.75">
      <c r="A55" s="9" t="s">
        <v>45</v>
      </c>
      <c r="B55" s="58">
        <v>10000</v>
      </c>
      <c r="C55" s="16"/>
      <c r="D55" s="11"/>
      <c r="E55" s="11"/>
      <c r="F55" s="11"/>
      <c r="G55" s="11"/>
      <c r="H55" s="11"/>
      <c r="I55" s="2"/>
      <c r="J55" s="11"/>
      <c r="K55" s="11"/>
      <c r="L55" s="11"/>
      <c r="M55" s="71"/>
      <c r="N55" s="12"/>
    </row>
    <row r="56" spans="1:14" ht="22.5">
      <c r="A56" s="14" t="s">
        <v>46</v>
      </c>
      <c r="B56" s="58">
        <v>15347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71"/>
      <c r="N56" s="12"/>
    </row>
    <row r="57" spans="1:14" ht="33.75">
      <c r="A57" s="14" t="s">
        <v>50</v>
      </c>
      <c r="B57" s="58">
        <v>5000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71"/>
      <c r="N57" s="17"/>
    </row>
    <row r="58" spans="1:14" ht="22.5">
      <c r="A58" s="14" t="s">
        <v>55</v>
      </c>
      <c r="B58" s="58">
        <v>42388.29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71"/>
      <c r="N58" s="12"/>
    </row>
    <row r="59" spans="1:14" ht="22.5" customHeight="1">
      <c r="A59" s="57" t="s">
        <v>56</v>
      </c>
      <c r="B59" s="58">
        <v>127.22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71"/>
      <c r="N59" s="12"/>
    </row>
    <row r="60" spans="1:14" ht="22.5">
      <c r="A60" s="57" t="s">
        <v>57</v>
      </c>
      <c r="B60" s="58">
        <v>7500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N60" s="12"/>
    </row>
    <row r="61" spans="1:14" ht="23.25">
      <c r="A61" s="18" t="s">
        <v>58</v>
      </c>
      <c r="B61" s="58">
        <v>3000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23.25">
      <c r="A62" s="18" t="s">
        <v>59</v>
      </c>
      <c r="B62" s="58">
        <v>4032.57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23.25">
      <c r="A63" s="18" t="s">
        <v>63</v>
      </c>
      <c r="B63" s="58">
        <v>5000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23.25">
      <c r="A64" s="18" t="s">
        <v>65</v>
      </c>
      <c r="B64" s="58">
        <v>2500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12"/>
    </row>
    <row r="65" spans="1:14" ht="15">
      <c r="A65" s="18"/>
      <c r="B65" s="10"/>
      <c r="C65" s="21"/>
      <c r="D65" s="21"/>
      <c r="E65" s="21"/>
      <c r="F65" s="21"/>
      <c r="G65" s="21"/>
      <c r="H65" s="21"/>
      <c r="I65" s="21"/>
      <c r="J65" s="21"/>
      <c r="K65" s="21"/>
      <c r="L65" s="21"/>
      <c r="N65" s="12"/>
    </row>
    <row r="66" spans="1:14" ht="25.5" customHeight="1">
      <c r="A66" s="18"/>
      <c r="B66" s="10"/>
      <c r="C66" s="21"/>
      <c r="D66" s="21"/>
      <c r="E66" s="21"/>
      <c r="F66" s="21"/>
      <c r="G66" s="21"/>
      <c r="H66" s="21"/>
      <c r="I66" s="21"/>
      <c r="J66" s="21"/>
      <c r="K66" s="21"/>
      <c r="L66" s="21"/>
      <c r="N66" s="12"/>
    </row>
    <row r="67" spans="1:14" ht="15" customHeight="1">
      <c r="A67" s="18"/>
      <c r="B67" s="10"/>
      <c r="C67" s="21"/>
      <c r="D67" s="21"/>
      <c r="E67" s="21"/>
      <c r="F67" s="21"/>
      <c r="G67" s="21"/>
      <c r="H67" s="21"/>
      <c r="I67" s="21"/>
      <c r="J67" s="21"/>
      <c r="K67" s="21"/>
      <c r="L67" s="21"/>
      <c r="N67" s="12"/>
    </row>
    <row r="68" spans="1:14" ht="15" customHeight="1">
      <c r="A68" s="20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N68" s="12"/>
    </row>
    <row r="69" spans="1:14" ht="1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N69" s="24"/>
    </row>
    <row r="70" spans="1:14" ht="11.25" customHeight="1">
      <c r="A70" s="23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N70" s="24"/>
    </row>
    <row r="71" spans="1:14" ht="11.25" customHeight="1">
      <c r="A71" s="25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N72" s="24"/>
    </row>
    <row r="73" spans="1:14" ht="11.25" customHeight="1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N73" s="24"/>
    </row>
    <row r="74" spans="1:14" ht="11.25" customHeight="1">
      <c r="A74" s="22"/>
      <c r="B74" s="22"/>
      <c r="C74" s="21"/>
      <c r="D74" s="21"/>
      <c r="E74" s="21"/>
      <c r="F74" s="21"/>
      <c r="G74" s="21"/>
      <c r="H74" s="21"/>
      <c r="I74" s="21"/>
      <c r="J74" s="21"/>
      <c r="K74" s="21"/>
      <c r="L74" s="21"/>
      <c r="N74" s="24"/>
    </row>
    <row r="75" spans="1:14" ht="11.25" customHeight="1">
      <c r="A75" s="22"/>
      <c r="B75" s="22"/>
      <c r="C75" s="21"/>
      <c r="D75" s="21"/>
      <c r="E75" s="21"/>
      <c r="F75" s="21"/>
      <c r="G75" s="21"/>
      <c r="H75" s="21"/>
      <c r="I75" s="21"/>
      <c r="J75" s="21"/>
      <c r="K75" s="21"/>
      <c r="L75" s="21"/>
      <c r="N75" s="24"/>
    </row>
    <row r="76" spans="1:14" ht="11.25" customHeight="1">
      <c r="A76" s="22"/>
      <c r="B76" s="22"/>
      <c r="C76" s="21"/>
      <c r="D76" s="21"/>
      <c r="E76" s="21"/>
      <c r="F76" s="21"/>
      <c r="G76" s="21"/>
      <c r="H76" s="21"/>
      <c r="I76" s="21"/>
      <c r="J76" s="21"/>
      <c r="K76" s="21"/>
      <c r="L76" s="21"/>
      <c r="N76" s="24"/>
    </row>
    <row r="77" spans="1:13" ht="15">
      <c r="A77" s="22"/>
      <c r="B77" s="22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72"/>
    </row>
    <row r="78" spans="1:13" ht="15">
      <c r="A78" s="22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72"/>
    </row>
    <row r="79" spans="1:12" ht="15">
      <c r="A79" s="22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15">
      <c r="A83" s="24"/>
      <c r="B83" s="24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 ht="15">
      <c r="A84" s="24"/>
      <c r="B84" s="24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4" s="35" customFormat="1" ht="15">
      <c r="A85" s="24"/>
      <c r="B85" s="24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69"/>
      <c r="N85" s="36"/>
    </row>
    <row r="86" spans="1:12" ht="15">
      <c r="A86" s="24"/>
      <c r="B86" s="24"/>
      <c r="C86" s="48"/>
      <c r="D86" s="48"/>
      <c r="E86" s="48"/>
      <c r="F86" s="48"/>
      <c r="G86" s="48"/>
      <c r="H86" s="48"/>
      <c r="I86" s="48"/>
      <c r="J86" s="48"/>
      <c r="K86" s="48"/>
      <c r="L86" s="48"/>
    </row>
  </sheetData>
  <sheetProtection/>
  <mergeCells count="6">
    <mergeCell ref="A13:B13"/>
    <mergeCell ref="A20:B20"/>
    <mergeCell ref="A25:B25"/>
    <mergeCell ref="A30:B30"/>
    <mergeCell ref="A41:B41"/>
    <mergeCell ref="A44:B4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F44" sqref="F44"/>
    </sheetView>
  </sheetViews>
  <sheetFormatPr defaultColWidth="28.00390625" defaultRowHeight="15"/>
  <cols>
    <col min="1" max="1" width="24.28125" style="36" customWidth="1"/>
    <col min="2" max="2" width="15.00390625" style="36" bestFit="1" customWidth="1"/>
    <col min="3" max="3" width="11.57421875" style="40" bestFit="1" customWidth="1"/>
    <col min="4" max="4" width="10.421875" style="40" bestFit="1" customWidth="1"/>
    <col min="5" max="5" width="7.140625" style="40" customWidth="1"/>
    <col min="6" max="6" width="14.00390625" style="40" bestFit="1" customWidth="1"/>
    <col min="7" max="7" width="6.8515625" style="40" customWidth="1"/>
    <col min="8" max="8" width="9.00390625" style="40" customWidth="1"/>
    <col min="9" max="9" width="10.57421875" style="40" customWidth="1"/>
    <col min="10" max="10" width="9.7109375" style="40" customWidth="1"/>
    <col min="11" max="12" width="13.00390625" style="40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ht="11.25" customHeight="1">
      <c r="A3" s="6" t="s">
        <v>11</v>
      </c>
      <c r="B3" s="26">
        <v>55010500</v>
      </c>
      <c r="C3" s="27">
        <v>9670</v>
      </c>
      <c r="D3" s="27">
        <v>0</v>
      </c>
      <c r="E3" s="27">
        <v>0</v>
      </c>
      <c r="F3" s="27">
        <v>161</v>
      </c>
      <c r="G3" s="27">
        <v>8.69</v>
      </c>
      <c r="H3" s="27">
        <f>'07-16-15'!H3+D3+F3</f>
        <v>443.8</v>
      </c>
      <c r="I3" s="27">
        <f>'07-16-15'!I3+E3+G3</f>
        <v>23.95</v>
      </c>
      <c r="J3" s="27">
        <f>H3+I3</f>
        <v>467.75</v>
      </c>
      <c r="K3" s="27">
        <f>C3-J3</f>
        <v>9202.25</v>
      </c>
      <c r="L3" s="27">
        <f>C3-(J3/2.2*26.2)</f>
        <v>4099.522727272728</v>
      </c>
      <c r="M3" s="38"/>
      <c r="N3" s="39"/>
    </row>
    <row r="4" spans="1:14" ht="11.25" customHeight="1">
      <c r="A4" s="6" t="s">
        <v>12</v>
      </c>
      <c r="B4" s="26">
        <v>55020200</v>
      </c>
      <c r="C4" s="27">
        <v>32649</v>
      </c>
      <c r="D4" s="27">
        <v>4.02</v>
      </c>
      <c r="E4" s="27">
        <v>0.1</v>
      </c>
      <c r="F4" s="27">
        <v>270.3</v>
      </c>
      <c r="G4" s="27">
        <v>14.59</v>
      </c>
      <c r="H4" s="27">
        <f>'07-16-15'!H4+D4+F4</f>
        <v>767.1099999999999</v>
      </c>
      <c r="I4" s="27">
        <f>'07-16-15'!I4+E4+G4</f>
        <v>38.84</v>
      </c>
      <c r="J4" s="27">
        <f>H4+I4</f>
        <v>805.9499999999999</v>
      </c>
      <c r="K4" s="27">
        <f>C4-J4</f>
        <v>31843.05</v>
      </c>
      <c r="L4" s="27">
        <f aca="true" t="shared" si="0" ref="L4:L11">C4-(J4/2.2*26.2)</f>
        <v>23050.868181818187</v>
      </c>
      <c r="N4" s="40"/>
    </row>
    <row r="5" spans="1:14" ht="11.25" customHeight="1">
      <c r="A5" s="6" t="s">
        <v>13</v>
      </c>
      <c r="B5" s="26">
        <v>55020300</v>
      </c>
      <c r="C5" s="27">
        <v>17974</v>
      </c>
      <c r="D5" s="27">
        <f>120.75+953.95</f>
        <v>1074.7</v>
      </c>
      <c r="E5" s="27">
        <f>3.13+24.8</f>
        <v>27.93</v>
      </c>
      <c r="F5" s="27">
        <v>0</v>
      </c>
      <c r="G5" s="27">
        <v>0</v>
      </c>
      <c r="H5" s="27">
        <f>'07-16-15'!H5+D5+F5</f>
        <v>1566.01</v>
      </c>
      <c r="I5" s="27">
        <f>'07-16-15'!I5+E5+G5</f>
        <v>40.69</v>
      </c>
      <c r="J5" s="27">
        <f aca="true" t="shared" si="1" ref="J5:J10">H5+I5</f>
        <v>1606.7</v>
      </c>
      <c r="K5" s="27">
        <f aca="true" t="shared" si="2" ref="K5:K10">C5-J5</f>
        <v>16367.3</v>
      </c>
      <c r="L5" s="27">
        <f t="shared" si="0"/>
        <v>-1160.336363636361</v>
      </c>
      <c r="N5" s="40"/>
    </row>
    <row r="6" spans="1:14" ht="11.25" customHeight="1">
      <c r="A6" s="6" t="s">
        <v>14</v>
      </c>
      <c r="B6" s="26">
        <v>55020400</v>
      </c>
      <c r="C6" s="27">
        <v>17974</v>
      </c>
      <c r="D6" s="27">
        <v>339.58</v>
      </c>
      <c r="E6" s="27">
        <v>8.82</v>
      </c>
      <c r="F6" s="27">
        <v>0</v>
      </c>
      <c r="G6" s="27">
        <v>0</v>
      </c>
      <c r="H6" s="27">
        <f>'07-16-15'!H6+D6+F6</f>
        <v>905.98</v>
      </c>
      <c r="I6" s="27">
        <f>'07-16-15'!I6+E6+G6</f>
        <v>23.54</v>
      </c>
      <c r="J6" s="27">
        <f>H6+I6</f>
        <v>929.52</v>
      </c>
      <c r="K6" s="27">
        <f t="shared" si="2"/>
        <v>17044.48</v>
      </c>
      <c r="L6" s="27">
        <f t="shared" si="0"/>
        <v>6904.26181818182</v>
      </c>
      <c r="N6" s="40"/>
    </row>
    <row r="7" spans="1:12" ht="11.25" customHeight="1">
      <c r="A7" s="6" t="s">
        <v>15</v>
      </c>
      <c r="B7" s="26">
        <v>55030200</v>
      </c>
      <c r="C7" s="27">
        <v>24330</v>
      </c>
      <c r="D7" s="27">
        <v>1148.19</v>
      </c>
      <c r="E7" s="27">
        <v>29.85</v>
      </c>
      <c r="F7" s="27">
        <v>0</v>
      </c>
      <c r="G7" s="27">
        <v>0</v>
      </c>
      <c r="H7" s="27">
        <f>'07-16-15'!H7+D7+F7</f>
        <v>2341.79</v>
      </c>
      <c r="I7" s="27">
        <f>'07-16-15'!I7+E7+G7</f>
        <v>60.870000000000005</v>
      </c>
      <c r="J7" s="27">
        <f t="shared" si="1"/>
        <v>2402.66</v>
      </c>
      <c r="K7" s="27">
        <f t="shared" si="2"/>
        <v>21927.34</v>
      </c>
      <c r="L7" s="27">
        <f t="shared" si="0"/>
        <v>-4283.496363636361</v>
      </c>
    </row>
    <row r="8" spans="1:12" ht="11.25" customHeight="1">
      <c r="A8" s="6" t="s">
        <v>16</v>
      </c>
      <c r="B8" s="26">
        <v>55050200</v>
      </c>
      <c r="C8" s="27">
        <v>29837</v>
      </c>
      <c r="D8" s="27">
        <v>247.03</v>
      </c>
      <c r="E8" s="27">
        <v>6.42</v>
      </c>
      <c r="F8" s="27">
        <v>754.14</v>
      </c>
      <c r="G8" s="27">
        <v>40.72</v>
      </c>
      <c r="H8" s="27">
        <f>'07-16-15'!H8+D8+F8</f>
        <v>3178.07</v>
      </c>
      <c r="I8" s="27">
        <f>'07-16-15'!I8+E8+G8</f>
        <v>150.78</v>
      </c>
      <c r="J8" s="27">
        <f t="shared" si="1"/>
        <v>3328.8500000000004</v>
      </c>
      <c r="K8" s="27">
        <f t="shared" si="2"/>
        <v>26508.15</v>
      </c>
      <c r="L8" s="27">
        <f t="shared" si="0"/>
        <v>-9806.577272727278</v>
      </c>
    </row>
    <row r="9" spans="1:12" ht="11.25" customHeight="1">
      <c r="A9" s="6" t="s">
        <v>17</v>
      </c>
      <c r="B9" s="26">
        <v>55070100</v>
      </c>
      <c r="C9" s="27">
        <f>26873+10510+5358</f>
        <v>42741</v>
      </c>
      <c r="D9" s="27">
        <v>2034.24</v>
      </c>
      <c r="E9" s="27">
        <v>52.89</v>
      </c>
      <c r="F9" s="27">
        <v>284.16</v>
      </c>
      <c r="G9" s="27">
        <v>15.34</v>
      </c>
      <c r="H9" s="27">
        <f>'07-16-15'!H9+D9+F9</f>
        <v>5468.929999999999</v>
      </c>
      <c r="I9" s="27">
        <f>'07-16-15'!I9+E9+G9</f>
        <v>164.36</v>
      </c>
      <c r="J9" s="27">
        <f t="shared" si="1"/>
        <v>5633.289999999999</v>
      </c>
      <c r="K9" s="27">
        <f t="shared" si="2"/>
        <v>37107.71</v>
      </c>
      <c r="L9" s="27">
        <f t="shared" si="0"/>
        <v>-24346.362727272703</v>
      </c>
    </row>
    <row r="10" spans="1:12" ht="11.25" customHeight="1">
      <c r="A10" s="6" t="s">
        <v>18</v>
      </c>
      <c r="B10" s="26">
        <v>55070400</v>
      </c>
      <c r="C10" s="27">
        <v>3000</v>
      </c>
      <c r="D10" s="27">
        <v>0</v>
      </c>
      <c r="E10" s="27">
        <v>0</v>
      </c>
      <c r="F10" s="27">
        <v>0</v>
      </c>
      <c r="G10" s="27">
        <v>0</v>
      </c>
      <c r="H10" s="27">
        <f>'07-16-15'!H10+D10+F10</f>
        <v>0</v>
      </c>
      <c r="I10" s="27">
        <f>'07-16-15'!I10+E10+G10</f>
        <v>0</v>
      </c>
      <c r="J10" s="27">
        <f t="shared" si="1"/>
        <v>0</v>
      </c>
      <c r="K10" s="27">
        <f t="shared" si="2"/>
        <v>3000</v>
      </c>
      <c r="L10" s="27">
        <f t="shared" si="0"/>
        <v>3000</v>
      </c>
    </row>
    <row r="11" spans="1:12" ht="11.25" customHeight="1">
      <c r="A11" s="6" t="s">
        <v>20</v>
      </c>
      <c r="B11" s="26">
        <v>55080100</v>
      </c>
      <c r="C11" s="27">
        <v>23173</v>
      </c>
      <c r="D11" s="27">
        <f>495.96+922</f>
        <v>1417.96</v>
      </c>
      <c r="E11" s="27">
        <f>12.89+23.97</f>
        <v>36.86</v>
      </c>
      <c r="F11" s="27">
        <v>101.31</v>
      </c>
      <c r="G11" s="27">
        <v>5.47</v>
      </c>
      <c r="H11" s="27">
        <f>'07-16-15'!H11+D11+F11</f>
        <v>2528.57</v>
      </c>
      <c r="I11" s="27">
        <f>'07-16-15'!I11+E11+G11</f>
        <v>73.19</v>
      </c>
      <c r="J11" s="27">
        <f>H11+I11</f>
        <v>2601.76</v>
      </c>
      <c r="K11" s="27">
        <f>C11-J11</f>
        <v>20571.239999999998</v>
      </c>
      <c r="L11" s="27">
        <f t="shared" si="0"/>
        <v>-7811.5963636363595</v>
      </c>
    </row>
    <row r="12" spans="1:14" ht="24.75" customHeight="1">
      <c r="A12" s="75" t="s">
        <v>36</v>
      </c>
      <c r="B12" s="76"/>
      <c r="C12" s="49">
        <f>SUM(C3:C11)</f>
        <v>201348</v>
      </c>
      <c r="D12" s="49">
        <f aca="true" t="shared" si="3" ref="D12:L12">SUM(D3:D11)</f>
        <v>6265.72</v>
      </c>
      <c r="E12" s="49">
        <f t="shared" si="3"/>
        <v>162.87</v>
      </c>
      <c r="F12" s="49">
        <f t="shared" si="3"/>
        <v>1570.91</v>
      </c>
      <c r="G12" s="49">
        <f t="shared" si="3"/>
        <v>84.81</v>
      </c>
      <c r="H12" s="49">
        <f t="shared" si="3"/>
        <v>17200.26</v>
      </c>
      <c r="I12" s="49">
        <f t="shared" si="3"/>
        <v>576.22</v>
      </c>
      <c r="J12" s="49">
        <f t="shared" si="3"/>
        <v>17776.48</v>
      </c>
      <c r="K12" s="49">
        <f t="shared" si="3"/>
        <v>183571.52</v>
      </c>
      <c r="L12" s="49">
        <f t="shared" si="3"/>
        <v>-10353.716363636326</v>
      </c>
      <c r="M12" s="38"/>
      <c r="N12" s="39"/>
    </row>
    <row r="13" spans="1:14" ht="11.25" customHeight="1">
      <c r="A13" s="28"/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6" t="s">
        <v>19</v>
      </c>
      <c r="B15" s="26">
        <v>55030100</v>
      </c>
      <c r="C15" s="27">
        <v>13540</v>
      </c>
      <c r="D15" s="27">
        <v>223.09</v>
      </c>
      <c r="E15" s="27">
        <v>5.8</v>
      </c>
      <c r="F15" s="27">
        <v>176.2</v>
      </c>
      <c r="G15" s="27">
        <v>9.51</v>
      </c>
      <c r="H15" s="27">
        <f>'07-16-15'!H15+D15+F15</f>
        <v>811.5999999999999</v>
      </c>
      <c r="I15" s="27">
        <f>'07-16-15'!I15+E15+G15</f>
        <v>31.439999999999998</v>
      </c>
      <c r="J15" s="27">
        <f aca="true" t="shared" si="4" ref="J15:J22">H15+I15</f>
        <v>843.04</v>
      </c>
      <c r="K15" s="27">
        <f aca="true" t="shared" si="5" ref="K15:K22">C15-J15</f>
        <v>12696.96</v>
      </c>
      <c r="L15" s="27">
        <f>C15-(J15/2.2*26.2)</f>
        <v>3500.1600000000017</v>
      </c>
      <c r="M15" s="38"/>
      <c r="N15" s="39"/>
    </row>
    <row r="16" spans="1:14" ht="11.25" customHeight="1">
      <c r="A16" s="6" t="s">
        <v>33</v>
      </c>
      <c r="B16" s="26">
        <v>55110100</v>
      </c>
      <c r="C16" s="27">
        <v>7073</v>
      </c>
      <c r="D16" s="27">
        <v>0</v>
      </c>
      <c r="E16" s="27">
        <v>0</v>
      </c>
      <c r="F16" s="27">
        <v>0</v>
      </c>
      <c r="G16" s="27">
        <v>0</v>
      </c>
      <c r="H16" s="27">
        <f>'07-16-15'!H16+D16+F16</f>
        <v>0</v>
      </c>
      <c r="I16" s="27">
        <f>'07-16-15'!I16+E16+G16</f>
        <v>0</v>
      </c>
      <c r="J16" s="27">
        <f t="shared" si="4"/>
        <v>0</v>
      </c>
      <c r="K16" s="27">
        <f t="shared" si="5"/>
        <v>7073</v>
      </c>
      <c r="L16" s="27">
        <f>C16-(J16/2.2*26.2)</f>
        <v>7073</v>
      </c>
      <c r="M16" s="38"/>
      <c r="N16" s="39"/>
    </row>
    <row r="17" spans="1:14" ht="11.25" customHeight="1">
      <c r="A17" s="6" t="s">
        <v>23</v>
      </c>
      <c r="B17" s="26">
        <v>55160100</v>
      </c>
      <c r="C17" s="27">
        <v>16062</v>
      </c>
      <c r="D17" s="27">
        <v>462.53</v>
      </c>
      <c r="E17" s="27">
        <v>12.02</v>
      </c>
      <c r="F17" s="27">
        <v>170.55</v>
      </c>
      <c r="G17" s="27">
        <v>9.2</v>
      </c>
      <c r="H17" s="27">
        <f>'07-16-15'!H17+D17+F17</f>
        <v>1720.98</v>
      </c>
      <c r="I17" s="27">
        <f>'07-16-15'!I17+E17+G17</f>
        <v>68.66</v>
      </c>
      <c r="J17" s="27">
        <f t="shared" si="4"/>
        <v>1789.64</v>
      </c>
      <c r="K17" s="27">
        <f t="shared" si="5"/>
        <v>14272.36</v>
      </c>
      <c r="L17" s="27">
        <f>C17-(J17/2.2*26.2)</f>
        <v>-5250.985454545455</v>
      </c>
      <c r="M17" s="38"/>
      <c r="N17" s="41"/>
    </row>
    <row r="18" spans="1:14" ht="24.75" customHeight="1">
      <c r="A18" s="75" t="s">
        <v>37</v>
      </c>
      <c r="B18" s="76"/>
      <c r="C18" s="49">
        <f>SUM(C15:C17)</f>
        <v>36675</v>
      </c>
      <c r="D18" s="49">
        <f aca="true" t="shared" si="6" ref="D18:L18">SUM(D15:D17)</f>
        <v>685.62</v>
      </c>
      <c r="E18" s="49">
        <f t="shared" si="6"/>
        <v>17.82</v>
      </c>
      <c r="F18" s="49">
        <f t="shared" si="6"/>
        <v>346.75</v>
      </c>
      <c r="G18" s="49">
        <f t="shared" si="6"/>
        <v>18.71</v>
      </c>
      <c r="H18" s="49">
        <f t="shared" si="6"/>
        <v>2532.58</v>
      </c>
      <c r="I18" s="49">
        <f t="shared" si="6"/>
        <v>100.1</v>
      </c>
      <c r="J18" s="49">
        <f t="shared" si="6"/>
        <v>2632.6800000000003</v>
      </c>
      <c r="K18" s="49">
        <f t="shared" si="6"/>
        <v>34042.32</v>
      </c>
      <c r="L18" s="49">
        <f t="shared" si="6"/>
        <v>5322.174545454547</v>
      </c>
      <c r="M18" s="38"/>
      <c r="N18" s="41"/>
    </row>
    <row r="19" spans="1:14" ht="11.25" customHeight="1">
      <c r="A19" s="28"/>
      <c r="B19" s="28"/>
      <c r="C19" s="8"/>
      <c r="D19" s="8"/>
      <c r="E19" s="8"/>
      <c r="F19" s="8"/>
      <c r="G19" s="8"/>
      <c r="H19" s="8"/>
      <c r="I19" s="8"/>
      <c r="J19" s="8"/>
      <c r="K19" s="8"/>
      <c r="L19" s="8"/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31" t="s">
        <v>21</v>
      </c>
      <c r="B21" s="32">
        <v>55090100</v>
      </c>
      <c r="C21" s="33">
        <v>26923</v>
      </c>
      <c r="D21" s="33">
        <v>1275.44</v>
      </c>
      <c r="E21" s="33">
        <v>33.16</v>
      </c>
      <c r="F21" s="33">
        <v>1023.68</v>
      </c>
      <c r="G21" s="33">
        <v>55.27</v>
      </c>
      <c r="H21" s="27">
        <f>'07-16-15'!H21+D21+F21</f>
        <v>4944.4</v>
      </c>
      <c r="I21" s="27">
        <f>'07-16-15'!I21+E21+G21</f>
        <v>198.18</v>
      </c>
      <c r="J21" s="33">
        <f t="shared" si="4"/>
        <v>5142.58</v>
      </c>
      <c r="K21" s="33">
        <f t="shared" si="5"/>
        <v>21780.42</v>
      </c>
      <c r="L21" s="27">
        <f>C21-(J21/2.2*26.2)</f>
        <v>-34320.45272727273</v>
      </c>
      <c r="M21" s="38"/>
      <c r="N21" s="41"/>
    </row>
    <row r="22" spans="1:14" ht="11.25" customHeight="1">
      <c r="A22" s="31" t="s">
        <v>22</v>
      </c>
      <c r="B22" s="32">
        <v>55100100</v>
      </c>
      <c r="C22" s="33">
        <v>2026</v>
      </c>
      <c r="D22" s="33">
        <v>0</v>
      </c>
      <c r="E22" s="33">
        <v>0</v>
      </c>
      <c r="F22" s="33">
        <v>0</v>
      </c>
      <c r="G22" s="33">
        <v>0</v>
      </c>
      <c r="H22" s="27">
        <f>'07-16-15'!H22+D22+F22</f>
        <v>0</v>
      </c>
      <c r="I22" s="27">
        <f>'07-16-15'!I22+E22+G22</f>
        <v>0</v>
      </c>
      <c r="J22" s="33">
        <f t="shared" si="4"/>
        <v>0</v>
      </c>
      <c r="K22" s="33">
        <f t="shared" si="5"/>
        <v>2026</v>
      </c>
      <c r="L22" s="27">
        <f>C22-(J22/2.2*26.2)</f>
        <v>2026</v>
      </c>
      <c r="M22" s="38"/>
      <c r="N22" s="41"/>
    </row>
    <row r="23" spans="1:14" ht="24.75" customHeight="1">
      <c r="A23" s="75" t="s">
        <v>38</v>
      </c>
      <c r="B23" s="76"/>
      <c r="C23" s="49">
        <f>SUM(C21:C22)</f>
        <v>28949</v>
      </c>
      <c r="D23" s="49">
        <f aca="true" t="shared" si="7" ref="D23:L23">SUM(D21:D22)</f>
        <v>1275.44</v>
      </c>
      <c r="E23" s="49">
        <f t="shared" si="7"/>
        <v>33.16</v>
      </c>
      <c r="F23" s="49">
        <f t="shared" si="7"/>
        <v>1023.68</v>
      </c>
      <c r="G23" s="49">
        <f t="shared" si="7"/>
        <v>55.27</v>
      </c>
      <c r="H23" s="49">
        <f t="shared" si="7"/>
        <v>4944.4</v>
      </c>
      <c r="I23" s="49">
        <f t="shared" si="7"/>
        <v>198.18</v>
      </c>
      <c r="J23" s="49">
        <f t="shared" si="7"/>
        <v>5142.58</v>
      </c>
      <c r="K23" s="49">
        <f t="shared" si="7"/>
        <v>23806.42</v>
      </c>
      <c r="L23" s="49">
        <f t="shared" si="7"/>
        <v>-32294.45272727273</v>
      </c>
      <c r="M23" s="38"/>
      <c r="N23" s="41"/>
    </row>
    <row r="24" spans="1:14" ht="11.25" customHeight="1">
      <c r="A24" s="2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8"/>
      <c r="N24" s="39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3" s="44" customFormat="1" ht="11.25" customHeight="1">
      <c r="A26" s="31" t="s">
        <v>26</v>
      </c>
      <c r="B26" s="32">
        <v>55130100</v>
      </c>
      <c r="C26" s="33">
        <v>4523</v>
      </c>
      <c r="D26" s="33">
        <v>445.84</v>
      </c>
      <c r="E26" s="33">
        <v>11.59</v>
      </c>
      <c r="F26" s="33">
        <v>0</v>
      </c>
      <c r="G26" s="33">
        <v>0</v>
      </c>
      <c r="H26" s="27">
        <f>'07-16-15'!H26+D26+F26</f>
        <v>841.39</v>
      </c>
      <c r="I26" s="27">
        <f>'07-16-15'!I26+E26+G26</f>
        <v>21.86</v>
      </c>
      <c r="J26" s="33">
        <f>H26+I26</f>
        <v>863.25</v>
      </c>
      <c r="K26" s="33">
        <f>C26-J26</f>
        <v>3659.75</v>
      </c>
      <c r="L26" s="27">
        <f>C26-(J26/2.2*26.2)</f>
        <v>-5757.522727272726</v>
      </c>
      <c r="M26" s="45"/>
    </row>
    <row r="27" spans="1:13" s="44" customFormat="1" ht="11.25" customHeight="1">
      <c r="A27" s="31" t="s">
        <v>30</v>
      </c>
      <c r="B27" s="32">
        <v>55140100</v>
      </c>
      <c r="C27" s="33">
        <v>2995</v>
      </c>
      <c r="D27" s="33">
        <v>0</v>
      </c>
      <c r="E27" s="33">
        <v>0</v>
      </c>
      <c r="F27" s="33">
        <v>171.2</v>
      </c>
      <c r="G27" s="33">
        <v>9.24</v>
      </c>
      <c r="H27" s="27">
        <f>'07-16-15'!H27+D27+F27</f>
        <v>376.64</v>
      </c>
      <c r="I27" s="27">
        <f>'07-16-15'!I27+E27+G27</f>
        <v>20.33</v>
      </c>
      <c r="J27" s="33">
        <f>H27+I27</f>
        <v>396.96999999999997</v>
      </c>
      <c r="K27" s="33">
        <f>C27-J27</f>
        <v>2598.03</v>
      </c>
      <c r="L27" s="27">
        <f>C27-(J27/2.2*26.2)</f>
        <v>-1732.551818181817</v>
      </c>
      <c r="M27" s="45"/>
    </row>
    <row r="28" spans="1:14" s="44" customFormat="1" ht="24.75" customHeight="1">
      <c r="A28" s="75" t="s">
        <v>39</v>
      </c>
      <c r="B28" s="76"/>
      <c r="C28" s="49">
        <f aca="true" t="shared" si="8" ref="C28:L28">SUM(C26:C27)</f>
        <v>7518</v>
      </c>
      <c r="D28" s="49">
        <f t="shared" si="8"/>
        <v>445.84</v>
      </c>
      <c r="E28" s="49">
        <f t="shared" si="8"/>
        <v>11.59</v>
      </c>
      <c r="F28" s="49">
        <f t="shared" si="8"/>
        <v>171.2</v>
      </c>
      <c r="G28" s="49">
        <f t="shared" si="8"/>
        <v>9.24</v>
      </c>
      <c r="H28" s="49">
        <f t="shared" si="8"/>
        <v>1218.03</v>
      </c>
      <c r="I28" s="49">
        <f t="shared" si="8"/>
        <v>42.19</v>
      </c>
      <c r="J28" s="49">
        <f t="shared" si="8"/>
        <v>1260.22</v>
      </c>
      <c r="K28" s="49">
        <f t="shared" si="8"/>
        <v>6257.780000000001</v>
      </c>
      <c r="L28" s="49">
        <f t="shared" si="8"/>
        <v>-7490.074545454543</v>
      </c>
      <c r="M28" s="42"/>
      <c r="N28" s="43"/>
    </row>
    <row r="29" spans="1:14" ht="11.25" customHeight="1">
      <c r="A29" s="2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8"/>
      <c r="N29" s="39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31" t="s">
        <v>34</v>
      </c>
      <c r="B31" s="32">
        <v>55010000</v>
      </c>
      <c r="C31" s="33">
        <v>24725</v>
      </c>
      <c r="D31" s="33">
        <v>0</v>
      </c>
      <c r="E31" s="33">
        <v>0</v>
      </c>
      <c r="F31" s="33">
        <v>0</v>
      </c>
      <c r="G31" s="33">
        <v>0</v>
      </c>
      <c r="H31" s="27">
        <f>'07-16-15'!H31+D31+F31</f>
        <v>0</v>
      </c>
      <c r="I31" s="27">
        <f>'07-16-15'!I31+E31+G31</f>
        <v>0</v>
      </c>
      <c r="J31" s="33">
        <f>H31+I31</f>
        <v>0</v>
      </c>
      <c r="K31" s="33">
        <f>C31-J31</f>
        <v>24725</v>
      </c>
      <c r="L31" s="27">
        <f>C31-(J31/2.2*26.2)</f>
        <v>24725</v>
      </c>
      <c r="M31" s="38"/>
      <c r="N31" s="39"/>
    </row>
    <row r="32" spans="1:12" ht="11.25" customHeight="1">
      <c r="A32" s="6" t="s">
        <v>31</v>
      </c>
      <c r="B32" s="26">
        <v>55080500</v>
      </c>
      <c r="C32" s="27">
        <v>10000</v>
      </c>
      <c r="D32" s="27">
        <v>0</v>
      </c>
      <c r="E32" s="27">
        <v>0</v>
      </c>
      <c r="F32" s="27">
        <v>0</v>
      </c>
      <c r="G32" s="27">
        <v>0</v>
      </c>
      <c r="H32" s="27">
        <f>'07-16-15'!H32+D32+F32</f>
        <v>129.6</v>
      </c>
      <c r="I32" s="27">
        <f>'07-16-15'!I32+E32+G32</f>
        <v>6.99</v>
      </c>
      <c r="J32" s="27">
        <f>H32+I32</f>
        <v>136.59</v>
      </c>
      <c r="K32" s="27">
        <f>C32-J32</f>
        <v>9863.41</v>
      </c>
      <c r="L32" s="27">
        <f>C32-(J32/2.2*26.2)</f>
        <v>8373.337272727273</v>
      </c>
    </row>
    <row r="33" spans="1:12" ht="11.25" customHeight="1">
      <c r="A33" s="6" t="s">
        <v>32</v>
      </c>
      <c r="B33" s="26">
        <v>55050300</v>
      </c>
      <c r="C33" s="27">
        <v>15346.24</v>
      </c>
      <c r="D33" s="27">
        <v>0</v>
      </c>
      <c r="E33" s="27">
        <v>0</v>
      </c>
      <c r="F33" s="27">
        <v>434</v>
      </c>
      <c r="G33" s="27">
        <v>23.43</v>
      </c>
      <c r="H33" s="27">
        <f>'07-16-15'!H33+D33+F33</f>
        <v>434</v>
      </c>
      <c r="I33" s="27">
        <f>'07-16-15'!I33+E33+G33</f>
        <v>23.43</v>
      </c>
      <c r="J33" s="27">
        <f>H33+I33</f>
        <v>457.43</v>
      </c>
      <c r="K33" s="27">
        <f>C33-J33</f>
        <v>14888.81</v>
      </c>
      <c r="L33" s="27">
        <f>C33-(J33/2.2*26.2)</f>
        <v>9898.664545454547</v>
      </c>
    </row>
    <row r="34" spans="1:12" ht="11.25" customHeight="1">
      <c r="A34" s="6" t="s">
        <v>43</v>
      </c>
      <c r="B34" s="26">
        <v>55160300</v>
      </c>
      <c r="C34" s="27">
        <v>43385.81</v>
      </c>
      <c r="D34" s="27">
        <v>0</v>
      </c>
      <c r="E34" s="27">
        <v>0</v>
      </c>
      <c r="F34" s="27">
        <v>3154.25</v>
      </c>
      <c r="G34" s="27">
        <v>170.32</v>
      </c>
      <c r="H34" s="27">
        <f>'07-16-15'!H34+D34+F34</f>
        <v>6939.360000000001</v>
      </c>
      <c r="I34" s="27">
        <f>'07-16-15'!I34+E34+G34</f>
        <v>374.71000000000004</v>
      </c>
      <c r="J34" s="27">
        <f>H34+I34</f>
        <v>7314.070000000001</v>
      </c>
      <c r="K34" s="27">
        <f>C34-J34</f>
        <v>36071.74</v>
      </c>
      <c r="L34" s="27">
        <f>C34-(J34/2.2*26.2)</f>
        <v>-43718.11454545455</v>
      </c>
    </row>
    <row r="35" spans="1:12" ht="11.25" customHeight="1">
      <c r="A35" s="6" t="s">
        <v>24</v>
      </c>
      <c r="B35" s="26" t="s">
        <v>25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f>'07-16-15'!H35+D35+F35</f>
        <v>0</v>
      </c>
      <c r="I35" s="27">
        <f>'07-16-15'!I35+E35+G35</f>
        <v>0</v>
      </c>
      <c r="J35" s="27">
        <f>H35+I35</f>
        <v>0</v>
      </c>
      <c r="K35" s="27">
        <f>C35-J35</f>
        <v>0</v>
      </c>
      <c r="L35" s="27">
        <f>C35-(J35/2.2*26.2)</f>
        <v>0</v>
      </c>
    </row>
    <row r="36" spans="1:14" ht="24.75" customHeight="1">
      <c r="A36" s="75" t="s">
        <v>40</v>
      </c>
      <c r="B36" s="76"/>
      <c r="C36" s="49">
        <f>SUM(C31:C35)</f>
        <v>93457.04999999999</v>
      </c>
      <c r="D36" s="49">
        <f aca="true" t="shared" si="9" ref="D36:L36">SUM(D31:D35)</f>
        <v>0</v>
      </c>
      <c r="E36" s="49">
        <f t="shared" si="9"/>
        <v>0</v>
      </c>
      <c r="F36" s="49">
        <f t="shared" si="9"/>
        <v>3588.25</v>
      </c>
      <c r="G36" s="49">
        <f t="shared" si="9"/>
        <v>193.75</v>
      </c>
      <c r="H36" s="49">
        <f t="shared" si="9"/>
        <v>7502.960000000001</v>
      </c>
      <c r="I36" s="49">
        <f t="shared" si="9"/>
        <v>405.13000000000005</v>
      </c>
      <c r="J36" s="49">
        <f t="shared" si="9"/>
        <v>7908.09</v>
      </c>
      <c r="K36" s="49">
        <f t="shared" si="9"/>
        <v>85548.95999999999</v>
      </c>
      <c r="L36" s="49">
        <f t="shared" si="9"/>
        <v>-721.1127272727317</v>
      </c>
      <c r="M36" s="38"/>
      <c r="N36" s="39"/>
    </row>
    <row r="37" spans="1:14" ht="11.25" customHeight="1">
      <c r="A37" s="28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8"/>
      <c r="N37" s="39"/>
    </row>
    <row r="38" spans="1:14" ht="11.25" customHeight="1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8"/>
      <c r="N38" s="39"/>
    </row>
    <row r="39" spans="1:14" ht="24.75" customHeight="1">
      <c r="A39" s="76" t="s">
        <v>42</v>
      </c>
      <c r="B39" s="76"/>
      <c r="C39" s="49">
        <f>C12+C18+C23+C28+C36</f>
        <v>367947.05</v>
      </c>
      <c r="D39" s="49">
        <f aca="true" t="shared" si="10" ref="D39:L39">D12+D18+D23+D28+D36</f>
        <v>8672.62</v>
      </c>
      <c r="E39" s="49">
        <f t="shared" si="10"/>
        <v>225.44</v>
      </c>
      <c r="F39" s="49">
        <f t="shared" si="10"/>
        <v>6700.79</v>
      </c>
      <c r="G39" s="49">
        <f t="shared" si="10"/>
        <v>361.78000000000003</v>
      </c>
      <c r="H39" s="49">
        <f t="shared" si="10"/>
        <v>33398.229999999996</v>
      </c>
      <c r="I39" s="49">
        <f t="shared" si="10"/>
        <v>1321.8200000000002</v>
      </c>
      <c r="J39" s="49">
        <f t="shared" si="10"/>
        <v>34720.05</v>
      </c>
      <c r="K39" s="49">
        <f t="shared" si="10"/>
        <v>333227</v>
      </c>
      <c r="L39" s="49">
        <f t="shared" si="10"/>
        <v>-45537.18181818178</v>
      </c>
      <c r="M39" s="38"/>
      <c r="N39" s="39"/>
    </row>
    <row r="40" spans="1:14" ht="11.25" customHeight="1">
      <c r="A40" s="54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38"/>
      <c r="N40" s="39"/>
    </row>
    <row r="41" spans="1:14" ht="11.25" customHeight="1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38"/>
      <c r="N41" s="39"/>
    </row>
    <row r="42" spans="1:14" ht="12" customHeight="1">
      <c r="A42" s="6" t="s">
        <v>27</v>
      </c>
      <c r="B42" s="6" t="s">
        <v>28</v>
      </c>
      <c r="C42" s="27">
        <v>61829</v>
      </c>
      <c r="D42" s="27">
        <f>417.2+504.14+169.26+2043.97</f>
        <v>3134.5699999999997</v>
      </c>
      <c r="E42" s="27">
        <f>10.84+13.1+4.4+53.13</f>
        <v>81.47</v>
      </c>
      <c r="F42" s="27">
        <v>1126.64</v>
      </c>
      <c r="G42" s="27">
        <v>60.83</v>
      </c>
      <c r="H42" s="27">
        <f>'07-16-15'!H42+D42+F42</f>
        <v>8719.199999999999</v>
      </c>
      <c r="I42" s="27">
        <f>'07-16-15'!I42+E42+G42</f>
        <v>328.79</v>
      </c>
      <c r="J42" s="27">
        <f>H42+I42</f>
        <v>9047.99</v>
      </c>
      <c r="K42" s="27">
        <f>C42-J42</f>
        <v>52781.01</v>
      </c>
      <c r="L42" s="27">
        <f>C42-(J42/2.2*26.2)</f>
        <v>-45924.335454545435</v>
      </c>
      <c r="M42" s="38"/>
      <c r="N42" s="39"/>
    </row>
    <row r="43" spans="1:14" ht="12" customHeight="1">
      <c r="A43" s="6"/>
      <c r="B43" s="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38"/>
      <c r="N43" s="39"/>
    </row>
    <row r="44" spans="1:14" ht="12" customHeight="1">
      <c r="A44" s="6" t="s">
        <v>29</v>
      </c>
      <c r="B44" s="6" t="s">
        <v>35</v>
      </c>
      <c r="C44" s="27">
        <v>15000</v>
      </c>
      <c r="D44" s="27">
        <v>0</v>
      </c>
      <c r="E44" s="27">
        <v>0</v>
      </c>
      <c r="F44" s="27">
        <v>673.2</v>
      </c>
      <c r="G44" s="27">
        <v>36.35</v>
      </c>
      <c r="H44" s="27">
        <f>'07-16-15'!H44+D44+F44</f>
        <v>1413.72</v>
      </c>
      <c r="I44" s="27">
        <f>'07-16-15'!I44+E44+G44</f>
        <v>76.33000000000001</v>
      </c>
      <c r="J44" s="27">
        <f>H44+I44</f>
        <v>1490.05</v>
      </c>
      <c r="K44" s="27">
        <f>C44-J44</f>
        <v>13509.95</v>
      </c>
      <c r="L44" s="27">
        <f>C44-(J44/2.2*26.2)</f>
        <v>-2745.1409090909074</v>
      </c>
      <c r="M44" s="38"/>
      <c r="N44" s="39"/>
    </row>
    <row r="45" spans="1:14" ht="12" customHeight="1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38"/>
      <c r="N45" s="39"/>
    </row>
    <row r="46" spans="1:14" ht="12" customHeight="1">
      <c r="A46" s="50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38"/>
      <c r="N46" s="39"/>
    </row>
    <row r="47" spans="1:14" ht="24.75" customHeight="1">
      <c r="A47" s="51" t="s">
        <v>41</v>
      </c>
      <c r="B47" s="52"/>
      <c r="C47" s="53">
        <f>C42+C44</f>
        <v>76829</v>
      </c>
      <c r="D47" s="53">
        <f aca="true" t="shared" si="11" ref="D47:L47">D42+D44</f>
        <v>3134.5699999999997</v>
      </c>
      <c r="E47" s="53">
        <f t="shared" si="11"/>
        <v>81.47</v>
      </c>
      <c r="F47" s="53">
        <f t="shared" si="11"/>
        <v>1799.8400000000001</v>
      </c>
      <c r="G47" s="53">
        <f t="shared" si="11"/>
        <v>97.18</v>
      </c>
      <c r="H47" s="53">
        <f t="shared" si="11"/>
        <v>10132.919999999998</v>
      </c>
      <c r="I47" s="53">
        <f t="shared" si="11"/>
        <v>405.12</v>
      </c>
      <c r="J47" s="53">
        <f t="shared" si="11"/>
        <v>10538.039999999999</v>
      </c>
      <c r="K47" s="53">
        <f t="shared" si="11"/>
        <v>66290.96</v>
      </c>
      <c r="L47" s="53">
        <f t="shared" si="11"/>
        <v>-48669.47636363634</v>
      </c>
      <c r="M47" s="38"/>
      <c r="N47" s="12"/>
    </row>
    <row r="48" spans="1:14" ht="24" customHeight="1">
      <c r="A48" s="9"/>
      <c r="B48" s="10"/>
      <c r="C48" s="11"/>
      <c r="H48" s="11"/>
      <c r="I48" s="11"/>
      <c r="J48" s="11"/>
      <c r="K48" s="11"/>
      <c r="L48" s="11"/>
      <c r="M48" s="38"/>
      <c r="N48" s="12"/>
    </row>
    <row r="49" spans="1:14" ht="33.75">
      <c r="A49" s="57" t="s">
        <v>44</v>
      </c>
      <c r="B49" s="58">
        <v>43385.81</v>
      </c>
      <c r="C49" s="13"/>
      <c r="D49" s="13"/>
      <c r="E49" s="13"/>
      <c r="F49" s="13"/>
      <c r="G49" s="13"/>
      <c r="H49" s="46"/>
      <c r="I49" s="46"/>
      <c r="J49" s="46"/>
      <c r="K49" s="46"/>
      <c r="L49" s="46"/>
      <c r="M49" s="38"/>
      <c r="N49" s="12"/>
    </row>
    <row r="50" spans="1:14" ht="33.75">
      <c r="A50" s="9" t="s">
        <v>45</v>
      </c>
      <c r="B50" s="58">
        <v>10000</v>
      </c>
      <c r="C50" s="16"/>
      <c r="D50" s="11"/>
      <c r="E50" s="11"/>
      <c r="F50" s="11"/>
      <c r="G50" s="11"/>
      <c r="H50" s="11"/>
      <c r="I50" s="2"/>
      <c r="J50" s="11"/>
      <c r="K50" s="11"/>
      <c r="L50" s="11"/>
      <c r="M50" s="38"/>
      <c r="N50" s="12"/>
    </row>
    <row r="51" spans="1:14" ht="15">
      <c r="A51" s="14"/>
      <c r="B51" s="1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8"/>
      <c r="N51" s="12"/>
    </row>
    <row r="52" spans="1:14" ht="15" customHeight="1">
      <c r="A52" s="14"/>
      <c r="B52" s="1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8"/>
      <c r="N52" s="17"/>
    </row>
    <row r="53" spans="1:14" ht="15">
      <c r="A53" s="14"/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2"/>
    </row>
    <row r="54" spans="1:14" ht="22.5" customHeight="1">
      <c r="A54" s="14"/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2"/>
    </row>
    <row r="55" spans="1:14" ht="15">
      <c r="A55" s="18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N55" s="12"/>
    </row>
    <row r="56" spans="1:14" ht="15" customHeight="1">
      <c r="A56" s="18"/>
      <c r="B56" s="10"/>
      <c r="C56" s="21"/>
      <c r="D56" s="21"/>
      <c r="E56" s="21"/>
      <c r="F56" s="21"/>
      <c r="G56" s="21"/>
      <c r="H56" s="21"/>
      <c r="I56" s="21"/>
      <c r="J56" s="21"/>
      <c r="K56" s="21"/>
      <c r="L56" s="21"/>
      <c r="N56" s="12"/>
    </row>
    <row r="57" spans="1:14" ht="15" customHeight="1">
      <c r="A57" s="19"/>
      <c r="B57" s="10"/>
      <c r="C57" s="21"/>
      <c r="D57" s="21"/>
      <c r="E57" s="21"/>
      <c r="F57" s="21"/>
      <c r="G57" s="21"/>
      <c r="H57" s="21"/>
      <c r="I57" s="21"/>
      <c r="J57" s="21"/>
      <c r="K57" s="21"/>
      <c r="L57" s="21"/>
      <c r="N57" s="12"/>
    </row>
    <row r="58" spans="1:14" ht="15">
      <c r="A58" s="19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>
      <c r="A59" s="18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8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25.5" customHeight="1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 customHeight="1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 customHeight="1">
      <c r="A63" s="20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47"/>
      <c r="N63" s="12"/>
    </row>
    <row r="64" spans="1:14" ht="15" customHeight="1">
      <c r="A64" s="22"/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47"/>
      <c r="N64" s="24"/>
    </row>
    <row r="65" spans="1:14" ht="11.25" customHeight="1">
      <c r="A65" s="23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24"/>
    </row>
    <row r="66" spans="1:14" ht="11.25" customHeight="1">
      <c r="A66" s="25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2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2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N71" s="24"/>
    </row>
    <row r="72" spans="1:13" ht="15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36"/>
    </row>
    <row r="73" spans="1:13" ht="15">
      <c r="A73" s="2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36"/>
    </row>
    <row r="74" spans="1:12" ht="15">
      <c r="A74" s="22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">
      <c r="A75" s="24"/>
      <c r="B75" s="24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5">
      <c r="A76" s="24"/>
      <c r="B76" s="24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4" s="35" customFormat="1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  <c r="N80" s="36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</sheetData>
  <sheetProtection/>
  <mergeCells count="6">
    <mergeCell ref="A12:B12"/>
    <mergeCell ref="A18:B18"/>
    <mergeCell ref="A23:B23"/>
    <mergeCell ref="A28:B28"/>
    <mergeCell ref="A36:B36"/>
    <mergeCell ref="A39:B3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F44" sqref="F44"/>
    </sheetView>
  </sheetViews>
  <sheetFormatPr defaultColWidth="28.00390625" defaultRowHeight="15"/>
  <cols>
    <col min="1" max="1" width="24.28125" style="36" customWidth="1"/>
    <col min="2" max="2" width="15.00390625" style="36" bestFit="1" customWidth="1"/>
    <col min="3" max="3" width="11.57421875" style="40" bestFit="1" customWidth="1"/>
    <col min="4" max="4" width="10.421875" style="40" bestFit="1" customWidth="1"/>
    <col min="5" max="5" width="7.140625" style="40" customWidth="1"/>
    <col min="6" max="6" width="14.00390625" style="40" bestFit="1" customWidth="1"/>
    <col min="7" max="7" width="6.8515625" style="40" customWidth="1"/>
    <col min="8" max="8" width="9.00390625" style="40" customWidth="1"/>
    <col min="9" max="9" width="10.57421875" style="40" customWidth="1"/>
    <col min="10" max="10" width="9.7109375" style="40" customWidth="1"/>
    <col min="11" max="12" width="13.00390625" style="40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ht="11.25" customHeight="1">
      <c r="A3" s="6" t="s">
        <v>11</v>
      </c>
      <c r="B3" s="26">
        <v>55010500</v>
      </c>
      <c r="C3" s="27">
        <v>9670</v>
      </c>
      <c r="D3" s="27">
        <v>0</v>
      </c>
      <c r="E3" s="27">
        <v>0</v>
      </c>
      <c r="F3" s="27">
        <v>161</v>
      </c>
      <c r="G3" s="27">
        <v>8.68</v>
      </c>
      <c r="H3" s="27">
        <f>'07-30-15'!H3+D3+F3</f>
        <v>604.8</v>
      </c>
      <c r="I3" s="27">
        <f>'07-30-15'!I3+E3+G3</f>
        <v>32.629999999999995</v>
      </c>
      <c r="J3" s="27">
        <f>H3+I3</f>
        <v>637.43</v>
      </c>
      <c r="K3" s="27">
        <f>C3-J3</f>
        <v>9032.57</v>
      </c>
      <c r="L3" s="27">
        <f>C3-(J3/3.2*26.2)</f>
        <v>4451.041875000001</v>
      </c>
      <c r="M3" s="38"/>
      <c r="N3" s="39"/>
    </row>
    <row r="4" spans="1:14" ht="11.25" customHeight="1">
      <c r="A4" s="6" t="s">
        <v>12</v>
      </c>
      <c r="B4" s="26">
        <v>55020200</v>
      </c>
      <c r="C4" s="27">
        <v>32649</v>
      </c>
      <c r="D4" s="27">
        <v>113.7</v>
      </c>
      <c r="E4" s="27">
        <v>2.95</v>
      </c>
      <c r="F4" s="27">
        <v>135.15</v>
      </c>
      <c r="G4" s="27">
        <v>7.29</v>
      </c>
      <c r="H4" s="27">
        <f>'07-30-15'!H4+D4+F4</f>
        <v>1015.9599999999999</v>
      </c>
      <c r="I4" s="27">
        <f>'07-30-15'!I4+E4+G4</f>
        <v>49.080000000000005</v>
      </c>
      <c r="J4" s="27">
        <f>H4+I4</f>
        <v>1065.04</v>
      </c>
      <c r="K4" s="27">
        <f>C4-J4</f>
        <v>31583.96</v>
      </c>
      <c r="L4" s="27">
        <f aca="true" t="shared" si="0" ref="L4:L11">C4-(J4/3.2*26.2)</f>
        <v>23928.985</v>
      </c>
      <c r="N4" s="40"/>
    </row>
    <row r="5" spans="1:14" ht="11.25" customHeight="1">
      <c r="A5" s="6" t="s">
        <v>13</v>
      </c>
      <c r="B5" s="26">
        <v>55020300</v>
      </c>
      <c r="C5" s="27">
        <v>17974</v>
      </c>
      <c r="D5" s="27">
        <v>763.43</v>
      </c>
      <c r="E5" s="27">
        <v>19.84</v>
      </c>
      <c r="F5" s="27">
        <v>0</v>
      </c>
      <c r="G5" s="27">
        <v>0</v>
      </c>
      <c r="H5" s="27">
        <f>'07-30-15'!H5+D5+F5</f>
        <v>2329.44</v>
      </c>
      <c r="I5" s="27">
        <f>'07-30-15'!I5+E5+G5</f>
        <v>60.53</v>
      </c>
      <c r="J5" s="27">
        <f aca="true" t="shared" si="1" ref="J5:J10">H5+I5</f>
        <v>2389.9700000000003</v>
      </c>
      <c r="K5" s="27">
        <f aca="true" t="shared" si="2" ref="K5:K10">C5-J5</f>
        <v>15584.029999999999</v>
      </c>
      <c r="L5" s="27">
        <f t="shared" si="0"/>
        <v>-1593.8793750000004</v>
      </c>
      <c r="N5" s="40"/>
    </row>
    <row r="6" spans="1:14" ht="11.25" customHeight="1">
      <c r="A6" s="6" t="s">
        <v>14</v>
      </c>
      <c r="B6" s="26">
        <v>55020400</v>
      </c>
      <c r="C6" s="27">
        <v>17974</v>
      </c>
      <c r="D6" s="27">
        <f>(-176.14)+279.14</f>
        <v>103</v>
      </c>
      <c r="E6" s="27">
        <f>(-4.57)+7.25</f>
        <v>2.6799999999999997</v>
      </c>
      <c r="F6" s="27">
        <v>0</v>
      </c>
      <c r="G6" s="27">
        <v>0</v>
      </c>
      <c r="H6" s="27">
        <f>'07-30-15'!H6+D6+F6</f>
        <v>1008.98</v>
      </c>
      <c r="I6" s="27">
        <f>'07-30-15'!I6+E6+G6</f>
        <v>26.22</v>
      </c>
      <c r="J6" s="33">
        <f>H6+I6</f>
        <v>1035.2</v>
      </c>
      <c r="K6" s="27">
        <f t="shared" si="2"/>
        <v>16938.8</v>
      </c>
      <c r="L6" s="27">
        <f t="shared" si="0"/>
        <v>9498.300000000001</v>
      </c>
      <c r="N6" s="40"/>
    </row>
    <row r="7" spans="1:12" ht="11.25" customHeight="1">
      <c r="A7" s="6" t="s">
        <v>15</v>
      </c>
      <c r="B7" s="26">
        <v>55030200</v>
      </c>
      <c r="C7" s="27">
        <v>24330</v>
      </c>
      <c r="D7" s="27">
        <v>878.39</v>
      </c>
      <c r="E7" s="27">
        <v>22.82</v>
      </c>
      <c r="F7" s="27">
        <v>0</v>
      </c>
      <c r="G7" s="27">
        <v>0</v>
      </c>
      <c r="H7" s="27">
        <f>'07-30-15'!H7+D7+F7</f>
        <v>3220.18</v>
      </c>
      <c r="I7" s="27">
        <f>'07-30-15'!I7+E7+G7</f>
        <v>83.69</v>
      </c>
      <c r="J7" s="33">
        <f t="shared" si="1"/>
        <v>3303.87</v>
      </c>
      <c r="K7" s="27">
        <f t="shared" si="2"/>
        <v>21026.13</v>
      </c>
      <c r="L7" s="27">
        <f t="shared" si="0"/>
        <v>-2720.4356249999983</v>
      </c>
    </row>
    <row r="8" spans="1:12" ht="11.25" customHeight="1">
      <c r="A8" s="6" t="s">
        <v>16</v>
      </c>
      <c r="B8" s="26">
        <v>55050200</v>
      </c>
      <c r="C8" s="27">
        <v>29837</v>
      </c>
      <c r="D8" s="27">
        <v>436.4</v>
      </c>
      <c r="E8" s="27">
        <v>11.33</v>
      </c>
      <c r="F8" s="27">
        <v>286.84</v>
      </c>
      <c r="G8" s="27">
        <v>15.48</v>
      </c>
      <c r="H8" s="27">
        <f>'07-30-15'!H8+D8+F8</f>
        <v>3901.3100000000004</v>
      </c>
      <c r="I8" s="27">
        <f>'07-30-15'!I8+E8+G8</f>
        <v>177.59</v>
      </c>
      <c r="J8" s="27">
        <f t="shared" si="1"/>
        <v>4078.9000000000005</v>
      </c>
      <c r="K8" s="27">
        <f t="shared" si="2"/>
        <v>25758.1</v>
      </c>
      <c r="L8" s="27">
        <f t="shared" si="0"/>
        <v>-3558.9937500000015</v>
      </c>
    </row>
    <row r="9" spans="1:12" ht="11.25" customHeight="1">
      <c r="A9" s="6" t="s">
        <v>17</v>
      </c>
      <c r="B9" s="26">
        <v>55070100</v>
      </c>
      <c r="C9" s="27">
        <f>26873+10510+5358</f>
        <v>42741</v>
      </c>
      <c r="D9" s="27">
        <v>1630.74</v>
      </c>
      <c r="E9" s="27">
        <v>42.39</v>
      </c>
      <c r="F9" s="27">
        <v>928.49</v>
      </c>
      <c r="G9" s="27">
        <v>50.12</v>
      </c>
      <c r="H9" s="27">
        <f>'07-30-15'!H9+D9+F9</f>
        <v>8028.159999999999</v>
      </c>
      <c r="I9" s="27">
        <f>'07-30-15'!I9+E9+G9</f>
        <v>256.87</v>
      </c>
      <c r="J9" s="27">
        <f t="shared" si="1"/>
        <v>8285.029999999999</v>
      </c>
      <c r="K9" s="27">
        <f t="shared" si="2"/>
        <v>34455.97</v>
      </c>
      <c r="L9" s="27">
        <f t="shared" si="0"/>
        <v>-25092.68312499998</v>
      </c>
    </row>
    <row r="10" spans="1:12" ht="11.25" customHeight="1">
      <c r="A10" s="6" t="s">
        <v>18</v>
      </c>
      <c r="B10" s="26">
        <v>55070400</v>
      </c>
      <c r="C10" s="27">
        <v>3000</v>
      </c>
      <c r="D10" s="27">
        <v>0</v>
      </c>
      <c r="E10" s="27">
        <v>0</v>
      </c>
      <c r="F10" s="27">
        <v>0</v>
      </c>
      <c r="G10" s="27">
        <v>0</v>
      </c>
      <c r="H10" s="27">
        <f>'07-30-15'!H10+D10+F10</f>
        <v>0</v>
      </c>
      <c r="I10" s="27">
        <f>'07-30-15'!I10+E10+G10</f>
        <v>0</v>
      </c>
      <c r="J10" s="27">
        <f t="shared" si="1"/>
        <v>0</v>
      </c>
      <c r="K10" s="27">
        <f t="shared" si="2"/>
        <v>3000</v>
      </c>
      <c r="L10" s="27">
        <f t="shared" si="0"/>
        <v>3000</v>
      </c>
    </row>
    <row r="11" spans="1:12" ht="11.25" customHeight="1">
      <c r="A11" s="6" t="s">
        <v>20</v>
      </c>
      <c r="B11" s="26">
        <v>55080100</v>
      </c>
      <c r="C11" s="27">
        <v>23173</v>
      </c>
      <c r="D11" s="27">
        <v>599.5</v>
      </c>
      <c r="E11" s="27">
        <v>15.58</v>
      </c>
      <c r="F11" s="27">
        <v>200.43</v>
      </c>
      <c r="G11" s="27">
        <v>10.81</v>
      </c>
      <c r="H11" s="27">
        <f>'07-30-15'!H11+D11+F11</f>
        <v>3328.5</v>
      </c>
      <c r="I11" s="27">
        <f>'07-30-15'!I11+E11+G11</f>
        <v>99.58</v>
      </c>
      <c r="J11" s="27">
        <f>H11+I11</f>
        <v>3428.08</v>
      </c>
      <c r="K11" s="27">
        <f>C11-J11</f>
        <v>19744.92</v>
      </c>
      <c r="L11" s="27">
        <f t="shared" si="0"/>
        <v>-4894.404999999995</v>
      </c>
    </row>
    <row r="12" spans="1:14" ht="24.75" customHeight="1">
      <c r="A12" s="75" t="s">
        <v>36</v>
      </c>
      <c r="B12" s="76"/>
      <c r="C12" s="49">
        <f>SUM(C3:C11)</f>
        <v>201348</v>
      </c>
      <c r="D12" s="49">
        <f aca="true" t="shared" si="3" ref="D12:L12">SUM(D3:D11)</f>
        <v>4525.16</v>
      </c>
      <c r="E12" s="49">
        <f t="shared" si="3"/>
        <v>117.58999999999999</v>
      </c>
      <c r="F12" s="49">
        <f t="shared" si="3"/>
        <v>1711.91</v>
      </c>
      <c r="G12" s="49">
        <f t="shared" si="3"/>
        <v>92.38</v>
      </c>
      <c r="H12" s="49">
        <f t="shared" si="3"/>
        <v>23437.33</v>
      </c>
      <c r="I12" s="49">
        <f t="shared" si="3"/>
        <v>786.19</v>
      </c>
      <c r="J12" s="49">
        <f t="shared" si="3"/>
        <v>24223.519999999997</v>
      </c>
      <c r="K12" s="49">
        <f t="shared" si="3"/>
        <v>177124.47999999998</v>
      </c>
      <c r="L12" s="49">
        <f t="shared" si="3"/>
        <v>3017.9300000000258</v>
      </c>
      <c r="M12" s="38"/>
      <c r="N12" s="39"/>
    </row>
    <row r="13" spans="1:14" ht="11.25" customHeight="1">
      <c r="A13" s="28"/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6" t="s">
        <v>19</v>
      </c>
      <c r="B15" s="26">
        <v>55030100</v>
      </c>
      <c r="C15" s="27">
        <v>13540</v>
      </c>
      <c r="D15" s="27">
        <v>141.24</v>
      </c>
      <c r="E15" s="27">
        <v>3.66</v>
      </c>
      <c r="F15" s="27">
        <v>189.42</v>
      </c>
      <c r="G15" s="27">
        <v>10.22</v>
      </c>
      <c r="H15" s="27">
        <f>'07-30-15'!H15+D15+F15</f>
        <v>1142.26</v>
      </c>
      <c r="I15" s="27">
        <f>'07-30-15'!I15+E15+G15</f>
        <v>45.31999999999999</v>
      </c>
      <c r="J15" s="27">
        <f aca="true" t="shared" si="4" ref="J15:J22">H15+I15</f>
        <v>1187.58</v>
      </c>
      <c r="K15" s="27">
        <f aca="true" t="shared" si="5" ref="K15:K22">C15-J15</f>
        <v>12352.42</v>
      </c>
      <c r="L15" s="27">
        <f>C15-(J15/3.2*26.2)</f>
        <v>3816.688750000001</v>
      </c>
      <c r="M15" s="38"/>
      <c r="N15" s="39"/>
    </row>
    <row r="16" spans="1:14" ht="11.25" customHeight="1">
      <c r="A16" s="6" t="s">
        <v>33</v>
      </c>
      <c r="B16" s="26">
        <v>55110100</v>
      </c>
      <c r="C16" s="27">
        <v>7073</v>
      </c>
      <c r="D16" s="27">
        <v>0</v>
      </c>
      <c r="E16" s="27">
        <v>0</v>
      </c>
      <c r="F16" s="27">
        <v>0</v>
      </c>
      <c r="G16" s="27">
        <v>0</v>
      </c>
      <c r="H16" s="27">
        <f>'07-30-15'!H16+D16+F16</f>
        <v>0</v>
      </c>
      <c r="I16" s="27">
        <f>'07-30-15'!I16+E16+G16</f>
        <v>0</v>
      </c>
      <c r="J16" s="27">
        <f t="shared" si="4"/>
        <v>0</v>
      </c>
      <c r="K16" s="27">
        <f t="shared" si="5"/>
        <v>7073</v>
      </c>
      <c r="L16" s="27">
        <f>C16-(J16/3.2*26.2)</f>
        <v>7073</v>
      </c>
      <c r="M16" s="38"/>
      <c r="N16" s="39"/>
    </row>
    <row r="17" spans="1:14" ht="11.25" customHeight="1">
      <c r="A17" s="6" t="s">
        <v>23</v>
      </c>
      <c r="B17" s="26">
        <v>55160100</v>
      </c>
      <c r="C17" s="27">
        <v>16062</v>
      </c>
      <c r="D17" s="27">
        <v>365.62</v>
      </c>
      <c r="E17" s="27">
        <v>9.5</v>
      </c>
      <c r="F17" s="27">
        <v>134.35</v>
      </c>
      <c r="G17" s="27">
        <v>7.24</v>
      </c>
      <c r="H17" s="27">
        <f>'07-30-15'!H17+D17+F17</f>
        <v>2220.95</v>
      </c>
      <c r="I17" s="27">
        <f>'07-30-15'!I17+E17+G17</f>
        <v>85.39999999999999</v>
      </c>
      <c r="J17" s="27">
        <f t="shared" si="4"/>
        <v>2306.35</v>
      </c>
      <c r="K17" s="27">
        <f t="shared" si="5"/>
        <v>13755.65</v>
      </c>
      <c r="L17" s="27">
        <f>C17-(J17/3.2*26.2)</f>
        <v>-2821.240624999995</v>
      </c>
      <c r="M17" s="38"/>
      <c r="N17" s="41"/>
    </row>
    <row r="18" spans="1:14" ht="24.75" customHeight="1">
      <c r="A18" s="75" t="s">
        <v>37</v>
      </c>
      <c r="B18" s="76"/>
      <c r="C18" s="49">
        <f>SUM(C15:C17)</f>
        <v>36675</v>
      </c>
      <c r="D18" s="49">
        <f aca="true" t="shared" si="6" ref="D18:L18">SUM(D15:D17)</f>
        <v>506.86</v>
      </c>
      <c r="E18" s="49">
        <f t="shared" si="6"/>
        <v>13.16</v>
      </c>
      <c r="F18" s="49">
        <f t="shared" si="6"/>
        <v>323.77</v>
      </c>
      <c r="G18" s="49">
        <f t="shared" si="6"/>
        <v>17.46</v>
      </c>
      <c r="H18" s="49">
        <f t="shared" si="6"/>
        <v>3363.21</v>
      </c>
      <c r="I18" s="49">
        <f t="shared" si="6"/>
        <v>130.71999999999997</v>
      </c>
      <c r="J18" s="49">
        <f t="shared" si="6"/>
        <v>3493.93</v>
      </c>
      <c r="K18" s="49">
        <f t="shared" si="6"/>
        <v>33181.07</v>
      </c>
      <c r="L18" s="49">
        <f t="shared" si="6"/>
        <v>8068.448125000006</v>
      </c>
      <c r="M18" s="38"/>
      <c r="N18" s="41"/>
    </row>
    <row r="19" spans="1:14" ht="11.25" customHeight="1">
      <c r="A19" s="28"/>
      <c r="B19" s="28"/>
      <c r="C19" s="8"/>
      <c r="D19" s="8"/>
      <c r="E19" s="8"/>
      <c r="F19" s="8"/>
      <c r="G19" s="8"/>
      <c r="H19" s="8"/>
      <c r="I19" s="8"/>
      <c r="J19" s="8"/>
      <c r="K19" s="8"/>
      <c r="L19" s="8"/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31" t="s">
        <v>21</v>
      </c>
      <c r="B21" s="32">
        <v>55090100</v>
      </c>
      <c r="C21" s="33">
        <v>26923</v>
      </c>
      <c r="D21" s="33">
        <v>1172.72</v>
      </c>
      <c r="E21" s="33">
        <v>30.48</v>
      </c>
      <c r="F21" s="33">
        <v>1337.56</v>
      </c>
      <c r="G21" s="33">
        <v>72.22</v>
      </c>
      <c r="H21" s="27">
        <f>'07-30-15'!H21+D21+F21</f>
        <v>7454.68</v>
      </c>
      <c r="I21" s="27">
        <f>'07-30-15'!I21+E21+G21</f>
        <v>300.88</v>
      </c>
      <c r="J21" s="33">
        <f t="shared" si="4"/>
        <v>7755.56</v>
      </c>
      <c r="K21" s="33">
        <f t="shared" si="5"/>
        <v>19167.44</v>
      </c>
      <c r="L21" s="27">
        <f>C21-(J21/3.2*26.2)</f>
        <v>-36575.64750000001</v>
      </c>
      <c r="M21" s="38"/>
      <c r="N21" s="41"/>
    </row>
    <row r="22" spans="1:14" ht="11.25" customHeight="1">
      <c r="A22" s="31" t="s">
        <v>22</v>
      </c>
      <c r="B22" s="32">
        <v>55100100</v>
      </c>
      <c r="C22" s="33">
        <v>2026</v>
      </c>
      <c r="D22" s="33">
        <v>0</v>
      </c>
      <c r="E22" s="33">
        <v>0</v>
      </c>
      <c r="F22" s="33">
        <v>0</v>
      </c>
      <c r="G22" s="33">
        <v>0</v>
      </c>
      <c r="H22" s="27">
        <f>'07-30-15'!H22+D22+F22</f>
        <v>0</v>
      </c>
      <c r="I22" s="27">
        <f>'07-30-15'!I22+E22+G22</f>
        <v>0</v>
      </c>
      <c r="J22" s="33">
        <f t="shared" si="4"/>
        <v>0</v>
      </c>
      <c r="K22" s="33">
        <f t="shared" si="5"/>
        <v>2026</v>
      </c>
      <c r="L22" s="27">
        <f>C22-(J22/3.2*26.2)</f>
        <v>2026</v>
      </c>
      <c r="M22" s="38"/>
      <c r="N22" s="41"/>
    </row>
    <row r="23" spans="1:14" ht="24.75" customHeight="1">
      <c r="A23" s="75" t="s">
        <v>38</v>
      </c>
      <c r="B23" s="76"/>
      <c r="C23" s="49">
        <f>SUM(C21:C22)</f>
        <v>28949</v>
      </c>
      <c r="D23" s="49">
        <f aca="true" t="shared" si="7" ref="D23:L23">SUM(D21:D22)</f>
        <v>1172.72</v>
      </c>
      <c r="E23" s="49">
        <f t="shared" si="7"/>
        <v>30.48</v>
      </c>
      <c r="F23" s="49">
        <f t="shared" si="7"/>
        <v>1337.56</v>
      </c>
      <c r="G23" s="49">
        <f t="shared" si="7"/>
        <v>72.22</v>
      </c>
      <c r="H23" s="49">
        <f t="shared" si="7"/>
        <v>7454.68</v>
      </c>
      <c r="I23" s="49">
        <f t="shared" si="7"/>
        <v>300.88</v>
      </c>
      <c r="J23" s="49">
        <f t="shared" si="7"/>
        <v>7755.56</v>
      </c>
      <c r="K23" s="49">
        <f t="shared" si="7"/>
        <v>21193.44</v>
      </c>
      <c r="L23" s="49">
        <f t="shared" si="7"/>
        <v>-34549.64750000001</v>
      </c>
      <c r="M23" s="38"/>
      <c r="N23" s="41"/>
    </row>
    <row r="24" spans="1:14" ht="11.25" customHeight="1">
      <c r="A24" s="2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8"/>
      <c r="N24" s="39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3" s="44" customFormat="1" ht="11.25" customHeight="1">
      <c r="A26" s="31" t="s">
        <v>26</v>
      </c>
      <c r="B26" s="32">
        <v>55130100</v>
      </c>
      <c r="C26" s="33">
        <v>4523</v>
      </c>
      <c r="D26" s="33">
        <v>193.85</v>
      </c>
      <c r="E26" s="33">
        <v>5.03</v>
      </c>
      <c r="F26" s="33">
        <v>0</v>
      </c>
      <c r="G26" s="33">
        <v>0</v>
      </c>
      <c r="H26" s="27">
        <f>'07-30-15'!H26+D26+F26</f>
        <v>1035.24</v>
      </c>
      <c r="I26" s="27">
        <f>'07-30-15'!I26+E26+G26</f>
        <v>26.89</v>
      </c>
      <c r="J26" s="33">
        <f>H26+I26</f>
        <v>1062.13</v>
      </c>
      <c r="K26" s="33">
        <f>C26-J26</f>
        <v>3460.87</v>
      </c>
      <c r="L26" s="27">
        <f>C26-(J26/3.2*26.2)</f>
        <v>-4173.189375</v>
      </c>
      <c r="M26" s="45"/>
    </row>
    <row r="27" spans="1:13" s="44" customFormat="1" ht="11.25" customHeight="1">
      <c r="A27" s="31" t="s">
        <v>30</v>
      </c>
      <c r="B27" s="32">
        <v>55140100</v>
      </c>
      <c r="C27" s="33">
        <v>2995</v>
      </c>
      <c r="D27" s="33">
        <v>0</v>
      </c>
      <c r="E27" s="33">
        <v>0</v>
      </c>
      <c r="F27" s="33">
        <v>136.96</v>
      </c>
      <c r="G27" s="33">
        <v>7.38</v>
      </c>
      <c r="H27" s="27">
        <f>'07-30-15'!H27+D27+F27</f>
        <v>513.6</v>
      </c>
      <c r="I27" s="27">
        <f>'07-30-15'!I27+E27+G27</f>
        <v>27.709999999999997</v>
      </c>
      <c r="J27" s="33">
        <f>H27+I27</f>
        <v>541.3100000000001</v>
      </c>
      <c r="K27" s="33">
        <f>C27-J27</f>
        <v>2453.69</v>
      </c>
      <c r="L27" s="27">
        <f>C27-(J27/3.2*26.2)</f>
        <v>-1436.975625</v>
      </c>
      <c r="M27" s="45"/>
    </row>
    <row r="28" spans="1:14" s="44" customFormat="1" ht="24.75" customHeight="1">
      <c r="A28" s="75" t="s">
        <v>39</v>
      </c>
      <c r="B28" s="76"/>
      <c r="C28" s="49">
        <f aca="true" t="shared" si="8" ref="C28:L28">SUM(C26:C27)</f>
        <v>7518</v>
      </c>
      <c r="D28" s="49">
        <f t="shared" si="8"/>
        <v>193.85</v>
      </c>
      <c r="E28" s="49">
        <f t="shared" si="8"/>
        <v>5.03</v>
      </c>
      <c r="F28" s="49">
        <f t="shared" si="8"/>
        <v>136.96</v>
      </c>
      <c r="G28" s="49">
        <f t="shared" si="8"/>
        <v>7.38</v>
      </c>
      <c r="H28" s="49">
        <f t="shared" si="8"/>
        <v>1548.8400000000001</v>
      </c>
      <c r="I28" s="49">
        <f t="shared" si="8"/>
        <v>54.599999999999994</v>
      </c>
      <c r="J28" s="49">
        <f t="shared" si="8"/>
        <v>1603.44</v>
      </c>
      <c r="K28" s="49">
        <f t="shared" si="8"/>
        <v>5914.5599999999995</v>
      </c>
      <c r="L28" s="49">
        <f t="shared" si="8"/>
        <v>-5610.165</v>
      </c>
      <c r="M28" s="42"/>
      <c r="N28" s="43"/>
    </row>
    <row r="29" spans="1:14" ht="11.25" customHeight="1">
      <c r="A29" s="2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8"/>
      <c r="N29" s="39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31" t="s">
        <v>34</v>
      </c>
      <c r="B31" s="32">
        <v>55010000</v>
      </c>
      <c r="C31" s="33">
        <v>24725</v>
      </c>
      <c r="D31" s="33">
        <v>0</v>
      </c>
      <c r="E31" s="33">
        <v>0</v>
      </c>
      <c r="F31" s="33">
        <v>0</v>
      </c>
      <c r="G31" s="33">
        <v>0</v>
      </c>
      <c r="H31" s="27">
        <f>'07-30-15'!H31+D31+F31</f>
        <v>0</v>
      </c>
      <c r="I31" s="27">
        <f>'07-30-15'!I31+E31+G31</f>
        <v>0</v>
      </c>
      <c r="J31" s="33">
        <f>H31+I31</f>
        <v>0</v>
      </c>
      <c r="K31" s="33">
        <f>C31-J31</f>
        <v>24725</v>
      </c>
      <c r="L31" s="27">
        <f>C31-(J31/3.2*26.2)</f>
        <v>24725</v>
      </c>
      <c r="M31" s="38"/>
      <c r="N31" s="39"/>
    </row>
    <row r="32" spans="1:12" ht="11.25" customHeight="1">
      <c r="A32" s="6" t="s">
        <v>31</v>
      </c>
      <c r="B32" s="26">
        <v>55080500</v>
      </c>
      <c r="C32" s="27">
        <v>10000</v>
      </c>
      <c r="D32" s="27">
        <v>0</v>
      </c>
      <c r="E32" s="27">
        <v>0</v>
      </c>
      <c r="F32" s="27">
        <v>0</v>
      </c>
      <c r="G32" s="27">
        <v>0</v>
      </c>
      <c r="H32" s="27">
        <f>'07-30-15'!H32+D32+F32</f>
        <v>129.6</v>
      </c>
      <c r="I32" s="27">
        <f>'07-30-15'!I32+E32+G32</f>
        <v>6.99</v>
      </c>
      <c r="J32" s="27">
        <f>H32+I32</f>
        <v>136.59</v>
      </c>
      <c r="K32" s="27">
        <f>C32-J32</f>
        <v>9863.41</v>
      </c>
      <c r="L32" s="27">
        <f>C32-(J32/3.2*26.2)</f>
        <v>8881.669375</v>
      </c>
    </row>
    <row r="33" spans="1:12" ht="11.25" customHeight="1">
      <c r="A33" s="6" t="s">
        <v>32</v>
      </c>
      <c r="B33" s="26">
        <v>55050300</v>
      </c>
      <c r="C33" s="27">
        <v>15346.24</v>
      </c>
      <c r="D33" s="27">
        <v>0</v>
      </c>
      <c r="E33" s="27">
        <v>0</v>
      </c>
      <c r="F33" s="27">
        <v>973</v>
      </c>
      <c r="G33" s="27">
        <v>52.54</v>
      </c>
      <c r="H33" s="27">
        <f>'07-30-15'!H33+D33+F33</f>
        <v>1407</v>
      </c>
      <c r="I33" s="27">
        <f>'07-30-15'!I33+E33+G33</f>
        <v>75.97</v>
      </c>
      <c r="J33" s="27">
        <f>H33+I33</f>
        <v>1482.97</v>
      </c>
      <c r="K33" s="27">
        <f>C33-J33</f>
        <v>13863.27</v>
      </c>
      <c r="L33" s="27">
        <f>C33-(J33/3.2*26.2)</f>
        <v>3204.423125000001</v>
      </c>
    </row>
    <row r="34" spans="1:12" ht="11.25" customHeight="1">
      <c r="A34" s="6" t="s">
        <v>43</v>
      </c>
      <c r="B34" s="26">
        <v>55160300</v>
      </c>
      <c r="C34" s="27">
        <v>43385.81</v>
      </c>
      <c r="D34" s="27">
        <v>0</v>
      </c>
      <c r="E34" s="27">
        <v>0</v>
      </c>
      <c r="F34" s="27">
        <v>3154.25</v>
      </c>
      <c r="G34" s="27">
        <v>170.32</v>
      </c>
      <c r="H34" s="27">
        <f>'07-30-15'!H34+D34+F34</f>
        <v>10093.61</v>
      </c>
      <c r="I34" s="27">
        <f>'07-30-15'!I34+E34+G34</f>
        <v>545.03</v>
      </c>
      <c r="J34" s="27">
        <f>H34+I34</f>
        <v>10638.640000000001</v>
      </c>
      <c r="K34" s="27">
        <f>C34-J34</f>
        <v>32747.17</v>
      </c>
      <c r="L34" s="27">
        <f>C34-(J34/3.2*26.2)</f>
        <v>-43718.05500000001</v>
      </c>
    </row>
    <row r="35" spans="1:12" ht="11.25" customHeight="1">
      <c r="A35" s="6" t="s">
        <v>24</v>
      </c>
      <c r="B35" s="26" t="s">
        <v>25</v>
      </c>
      <c r="C35" s="27">
        <v>0</v>
      </c>
      <c r="D35" s="27"/>
      <c r="E35" s="27"/>
      <c r="F35" s="27"/>
      <c r="G35" s="27"/>
      <c r="H35" s="27">
        <f>'07-30-15'!H35+D35+F35</f>
        <v>0</v>
      </c>
      <c r="I35" s="27">
        <f>'07-30-15'!I35+E35+G35</f>
        <v>0</v>
      </c>
      <c r="J35" s="27">
        <f>H35+I35</f>
        <v>0</v>
      </c>
      <c r="K35" s="27">
        <f>C35-J35</f>
        <v>0</v>
      </c>
      <c r="L35" s="27">
        <f>C35-(J35/3.2*26.2)</f>
        <v>0</v>
      </c>
    </row>
    <row r="36" spans="1:14" ht="24.75" customHeight="1">
      <c r="A36" s="75" t="s">
        <v>40</v>
      </c>
      <c r="B36" s="76"/>
      <c r="C36" s="49">
        <f>SUM(C31:C35)</f>
        <v>93457.04999999999</v>
      </c>
      <c r="D36" s="49">
        <f aca="true" t="shared" si="9" ref="D36:L36">SUM(D31:D35)</f>
        <v>0</v>
      </c>
      <c r="E36" s="49">
        <f t="shared" si="9"/>
        <v>0</v>
      </c>
      <c r="F36" s="49">
        <f t="shared" si="9"/>
        <v>4127.25</v>
      </c>
      <c r="G36" s="49">
        <f t="shared" si="9"/>
        <v>222.85999999999999</v>
      </c>
      <c r="H36" s="49">
        <f t="shared" si="9"/>
        <v>11630.210000000001</v>
      </c>
      <c r="I36" s="49">
        <f t="shared" si="9"/>
        <v>627.99</v>
      </c>
      <c r="J36" s="49">
        <f t="shared" si="9"/>
        <v>12258.2</v>
      </c>
      <c r="K36" s="49">
        <f t="shared" si="9"/>
        <v>81198.85</v>
      </c>
      <c r="L36" s="49">
        <f t="shared" si="9"/>
        <v>-6906.962500000009</v>
      </c>
      <c r="M36" s="38"/>
      <c r="N36" s="39"/>
    </row>
    <row r="37" spans="1:14" ht="11.25" customHeight="1">
      <c r="A37" s="28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8"/>
      <c r="N37" s="39"/>
    </row>
    <row r="38" spans="1:14" ht="11.25" customHeight="1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8"/>
      <c r="N38" s="39"/>
    </row>
    <row r="39" spans="1:14" ht="24.75" customHeight="1">
      <c r="A39" s="76" t="s">
        <v>42</v>
      </c>
      <c r="B39" s="76"/>
      <c r="C39" s="49">
        <f>C12+C18+C23+C28+C36</f>
        <v>367947.05</v>
      </c>
      <c r="D39" s="49">
        <f aca="true" t="shared" si="10" ref="D39:L39">D12+D18+D23+D28+D36</f>
        <v>6398.59</v>
      </c>
      <c r="E39" s="49">
        <f t="shared" si="10"/>
        <v>166.26</v>
      </c>
      <c r="F39" s="49">
        <f t="shared" si="10"/>
        <v>7637.45</v>
      </c>
      <c r="G39" s="49">
        <f t="shared" si="10"/>
        <v>412.29999999999995</v>
      </c>
      <c r="H39" s="49">
        <f t="shared" si="10"/>
        <v>47434.27</v>
      </c>
      <c r="I39" s="49">
        <f t="shared" si="10"/>
        <v>1900.3799999999999</v>
      </c>
      <c r="J39" s="49">
        <f t="shared" si="10"/>
        <v>49334.649999999994</v>
      </c>
      <c r="K39" s="49">
        <f t="shared" si="10"/>
        <v>318612.4</v>
      </c>
      <c r="L39" s="49">
        <f t="shared" si="10"/>
        <v>-35980.396874999984</v>
      </c>
      <c r="M39" s="38"/>
      <c r="N39" s="39"/>
    </row>
    <row r="40" spans="1:14" ht="11.25" customHeight="1">
      <c r="A40" s="54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38"/>
      <c r="N40" s="39"/>
    </row>
    <row r="41" spans="1:14" ht="11.25" customHeight="1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38"/>
      <c r="N41" s="39"/>
    </row>
    <row r="42" spans="1:14" ht="12" customHeight="1">
      <c r="A42" s="6" t="s">
        <v>27</v>
      </c>
      <c r="B42" s="6" t="s">
        <v>28</v>
      </c>
      <c r="C42" s="27">
        <v>61829</v>
      </c>
      <c r="D42" s="27">
        <v>1822.13</v>
      </c>
      <c r="E42" s="27">
        <v>47.35</v>
      </c>
      <c r="F42" s="27">
        <v>1068.96</v>
      </c>
      <c r="G42" s="27">
        <v>57.72</v>
      </c>
      <c r="H42" s="27">
        <f>'07-30-15'!H42+D42+F42</f>
        <v>11610.289999999997</v>
      </c>
      <c r="I42" s="27">
        <f>'07-30-15'!I42+E42+G42</f>
        <v>433.86</v>
      </c>
      <c r="J42" s="27">
        <f>H42+I42</f>
        <v>12044.149999999998</v>
      </c>
      <c r="K42" s="27">
        <f>C42-J42</f>
        <v>49784.850000000006</v>
      </c>
      <c r="L42" s="27">
        <f>C42-(J42/3.2*26.2)</f>
        <v>-36782.47812499998</v>
      </c>
      <c r="M42" s="38"/>
      <c r="N42" s="39"/>
    </row>
    <row r="43" spans="1:14" ht="12" customHeight="1">
      <c r="A43" s="6"/>
      <c r="B43" s="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38"/>
      <c r="N43" s="39"/>
    </row>
    <row r="44" spans="1:14" ht="12" customHeight="1">
      <c r="A44" s="6" t="s">
        <v>29</v>
      </c>
      <c r="B44" s="6" t="s">
        <v>35</v>
      </c>
      <c r="C44" s="27">
        <v>15000</v>
      </c>
      <c r="D44" s="27">
        <v>0</v>
      </c>
      <c r="E44" s="27">
        <v>0</v>
      </c>
      <c r="F44" s="27">
        <v>639.44</v>
      </c>
      <c r="G44" s="27">
        <v>34.52</v>
      </c>
      <c r="H44" s="27">
        <f>'07-30-15'!H44+D44+F44</f>
        <v>2053.16</v>
      </c>
      <c r="I44" s="27">
        <f>'07-30-15'!I44+E44+G44</f>
        <v>110.85000000000002</v>
      </c>
      <c r="J44" s="27">
        <f>H44+I44</f>
        <v>2164.0099999999998</v>
      </c>
      <c r="K44" s="27">
        <f>C44-J44</f>
        <v>12835.99</v>
      </c>
      <c r="L44" s="27">
        <f>C44-(J44/3.2*26.2)</f>
        <v>-2717.831874999996</v>
      </c>
      <c r="M44" s="38"/>
      <c r="N44" s="39"/>
    </row>
    <row r="45" spans="1:14" ht="12" customHeight="1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38"/>
      <c r="N45" s="39"/>
    </row>
    <row r="46" spans="1:14" ht="12" customHeight="1">
      <c r="A46" s="50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38"/>
      <c r="N46" s="39"/>
    </row>
    <row r="47" spans="1:14" ht="24.75" customHeight="1">
      <c r="A47" s="51" t="s">
        <v>41</v>
      </c>
      <c r="B47" s="52"/>
      <c r="C47" s="53">
        <f>C42+C44</f>
        <v>76829</v>
      </c>
      <c r="D47" s="53">
        <f aca="true" t="shared" si="11" ref="D47:L47">D42+D44</f>
        <v>1822.13</v>
      </c>
      <c r="E47" s="53">
        <f t="shared" si="11"/>
        <v>47.35</v>
      </c>
      <c r="F47" s="53">
        <f t="shared" si="11"/>
        <v>1708.4</v>
      </c>
      <c r="G47" s="53">
        <f t="shared" si="11"/>
        <v>92.24000000000001</v>
      </c>
      <c r="H47" s="53">
        <f t="shared" si="11"/>
        <v>13663.449999999997</v>
      </c>
      <c r="I47" s="53">
        <f t="shared" si="11"/>
        <v>544.71</v>
      </c>
      <c r="J47" s="53">
        <f t="shared" si="11"/>
        <v>14208.159999999998</v>
      </c>
      <c r="K47" s="53">
        <f t="shared" si="11"/>
        <v>62620.840000000004</v>
      </c>
      <c r="L47" s="53">
        <f t="shared" si="11"/>
        <v>-39500.309999999976</v>
      </c>
      <c r="M47" s="38"/>
      <c r="N47" s="12"/>
    </row>
    <row r="48" spans="1:14" ht="24" customHeight="1">
      <c r="A48" s="9"/>
      <c r="B48" s="10"/>
      <c r="C48" s="11"/>
      <c r="H48" s="11"/>
      <c r="I48" s="11"/>
      <c r="J48" s="11"/>
      <c r="K48" s="11"/>
      <c r="L48" s="11"/>
      <c r="M48" s="38"/>
      <c r="N48" s="12"/>
    </row>
    <row r="49" spans="1:14" ht="33.75">
      <c r="A49" s="57" t="s">
        <v>44</v>
      </c>
      <c r="B49" s="58">
        <v>43385.81</v>
      </c>
      <c r="C49" s="13"/>
      <c r="D49" s="13"/>
      <c r="E49" s="13"/>
      <c r="F49" s="13"/>
      <c r="G49" s="13"/>
      <c r="H49" s="46"/>
      <c r="I49" s="46"/>
      <c r="J49" s="46"/>
      <c r="K49" s="46"/>
      <c r="L49" s="46"/>
      <c r="M49" s="38"/>
      <c r="N49" s="12"/>
    </row>
    <row r="50" spans="1:14" ht="33.75">
      <c r="A50" s="9" t="s">
        <v>45</v>
      </c>
      <c r="B50" s="58">
        <v>10000</v>
      </c>
      <c r="C50" s="16"/>
      <c r="D50" s="11"/>
      <c r="E50" s="11"/>
      <c r="F50" s="11"/>
      <c r="G50" s="11"/>
      <c r="H50" s="11"/>
      <c r="I50" s="2"/>
      <c r="J50" s="11"/>
      <c r="K50" s="11"/>
      <c r="L50" s="11"/>
      <c r="M50" s="38"/>
      <c r="N50" s="12"/>
    </row>
    <row r="51" spans="1:14" ht="15">
      <c r="A51" s="14"/>
      <c r="B51" s="1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8"/>
      <c r="N51" s="12"/>
    </row>
    <row r="52" spans="1:14" ht="15" customHeight="1">
      <c r="A52" s="14"/>
      <c r="B52" s="1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8"/>
      <c r="N52" s="17"/>
    </row>
    <row r="53" spans="1:14" ht="15">
      <c r="A53" s="14"/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2"/>
    </row>
    <row r="54" spans="1:14" ht="22.5" customHeight="1">
      <c r="A54" s="14"/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2"/>
    </row>
    <row r="55" spans="1:14" ht="15">
      <c r="A55" s="18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N55" s="12"/>
    </row>
    <row r="56" spans="1:14" ht="15" customHeight="1">
      <c r="A56" s="18"/>
      <c r="B56" s="10"/>
      <c r="C56" s="21"/>
      <c r="D56" s="21"/>
      <c r="E56" s="21"/>
      <c r="F56" s="21"/>
      <c r="G56" s="21"/>
      <c r="H56" s="21"/>
      <c r="I56" s="21"/>
      <c r="J56" s="21"/>
      <c r="K56" s="21"/>
      <c r="L56" s="21"/>
      <c r="N56" s="12"/>
    </row>
    <row r="57" spans="1:14" ht="15" customHeight="1">
      <c r="A57" s="19"/>
      <c r="B57" s="10"/>
      <c r="C57" s="21"/>
      <c r="D57" s="21"/>
      <c r="E57" s="21"/>
      <c r="F57" s="21"/>
      <c r="G57" s="21"/>
      <c r="H57" s="21"/>
      <c r="I57" s="21"/>
      <c r="J57" s="21"/>
      <c r="K57" s="21"/>
      <c r="L57" s="21"/>
      <c r="N57" s="12"/>
    </row>
    <row r="58" spans="1:14" ht="15">
      <c r="A58" s="19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>
      <c r="A59" s="18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8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25.5" customHeight="1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 customHeight="1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 customHeight="1">
      <c r="A63" s="20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47"/>
      <c r="N63" s="12"/>
    </row>
    <row r="64" spans="1:14" ht="15" customHeight="1">
      <c r="A64" s="22"/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47"/>
      <c r="N64" s="24"/>
    </row>
    <row r="65" spans="1:14" ht="11.25" customHeight="1">
      <c r="A65" s="23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24"/>
    </row>
    <row r="66" spans="1:14" ht="11.25" customHeight="1">
      <c r="A66" s="25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2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2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N71" s="24"/>
    </row>
    <row r="72" spans="1:13" ht="15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36"/>
    </row>
    <row r="73" spans="1:13" ht="15">
      <c r="A73" s="2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36"/>
    </row>
    <row r="74" spans="1:12" ht="15">
      <c r="A74" s="22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">
      <c r="A75" s="24"/>
      <c r="B75" s="24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5">
      <c r="A76" s="24"/>
      <c r="B76" s="24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4" s="35" customFormat="1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  <c r="N80" s="36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</sheetData>
  <sheetProtection/>
  <mergeCells count="6">
    <mergeCell ref="A12:B12"/>
    <mergeCell ref="A18:B18"/>
    <mergeCell ref="A23:B23"/>
    <mergeCell ref="A28:B28"/>
    <mergeCell ref="A36:B36"/>
    <mergeCell ref="A39:B3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F44" sqref="F44"/>
    </sheetView>
  </sheetViews>
  <sheetFormatPr defaultColWidth="28.00390625" defaultRowHeight="15"/>
  <cols>
    <col min="1" max="1" width="24.28125" style="36" customWidth="1"/>
    <col min="2" max="2" width="15.00390625" style="36" bestFit="1" customWidth="1"/>
    <col min="3" max="3" width="11.57421875" style="40" bestFit="1" customWidth="1"/>
    <col min="4" max="4" width="10.421875" style="40" bestFit="1" customWidth="1"/>
    <col min="5" max="5" width="7.140625" style="40" customWidth="1"/>
    <col min="6" max="6" width="14.00390625" style="40" bestFit="1" customWidth="1"/>
    <col min="7" max="7" width="6.8515625" style="40" customWidth="1"/>
    <col min="8" max="8" width="9.00390625" style="40" customWidth="1"/>
    <col min="9" max="9" width="10.57421875" style="40" customWidth="1"/>
    <col min="10" max="10" width="9.7109375" style="40" customWidth="1"/>
    <col min="11" max="12" width="13.00390625" style="40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ht="11.25" customHeight="1">
      <c r="A3" s="6" t="s">
        <v>11</v>
      </c>
      <c r="B3" s="26">
        <v>55010500</v>
      </c>
      <c r="C3" s="27">
        <v>9670</v>
      </c>
      <c r="D3" s="27">
        <v>0</v>
      </c>
      <c r="E3" s="27">
        <v>0</v>
      </c>
      <c r="F3" s="27">
        <v>0</v>
      </c>
      <c r="G3" s="27">
        <v>0</v>
      </c>
      <c r="H3" s="27">
        <f>'08-13-15'!H3+D3+F3</f>
        <v>604.8</v>
      </c>
      <c r="I3" s="27">
        <f>'08-13-15'!I3+E3+G3</f>
        <v>32.629999999999995</v>
      </c>
      <c r="J3" s="27">
        <f>H3+I3</f>
        <v>637.43</v>
      </c>
      <c r="K3" s="27">
        <f>C3-J3</f>
        <v>9032.57</v>
      </c>
      <c r="L3" s="27">
        <f>C3-(J3/4.2*26.2)</f>
        <v>5693.650952380953</v>
      </c>
      <c r="M3" s="38"/>
      <c r="N3" s="39"/>
    </row>
    <row r="4" spans="1:14" ht="11.25" customHeight="1">
      <c r="A4" s="6" t="s">
        <v>12</v>
      </c>
      <c r="B4" s="26">
        <v>55020200</v>
      </c>
      <c r="C4" s="27">
        <v>32649</v>
      </c>
      <c r="D4" s="27">
        <v>184.2</v>
      </c>
      <c r="E4" s="27">
        <v>4.78</v>
      </c>
      <c r="F4" s="27">
        <v>270.3</v>
      </c>
      <c r="G4" s="27">
        <v>14.59</v>
      </c>
      <c r="H4" s="27">
        <f>'08-13-15'!H4+D4+F4</f>
        <v>1470.4599999999998</v>
      </c>
      <c r="I4" s="27">
        <f>'08-13-15'!I4+E4+G4</f>
        <v>68.45</v>
      </c>
      <c r="J4" s="27">
        <f>H4+I4</f>
        <v>1538.9099999999999</v>
      </c>
      <c r="K4" s="27">
        <f>C4-J4</f>
        <v>31110.09</v>
      </c>
      <c r="L4" s="27">
        <f aca="true" t="shared" si="0" ref="L4:L11">C4-(J4/4.2*26.2)</f>
        <v>23049.13285714286</v>
      </c>
      <c r="N4" s="40"/>
    </row>
    <row r="5" spans="1:14" ht="11.25" customHeight="1">
      <c r="A5" s="6" t="s">
        <v>13</v>
      </c>
      <c r="B5" s="26">
        <v>55020300</v>
      </c>
      <c r="C5" s="27">
        <v>17974</v>
      </c>
      <c r="D5" s="27">
        <v>490.95</v>
      </c>
      <c r="E5" s="27">
        <v>12.76</v>
      </c>
      <c r="F5" s="27">
        <v>0</v>
      </c>
      <c r="G5" s="27">
        <v>0</v>
      </c>
      <c r="H5" s="27">
        <f>'08-13-15'!H5+D5+F5</f>
        <v>2820.39</v>
      </c>
      <c r="I5" s="27">
        <f>'08-13-15'!I5+E5+G5</f>
        <v>73.29</v>
      </c>
      <c r="J5" s="27">
        <f aca="true" t="shared" si="1" ref="J5:J10">H5+I5</f>
        <v>2893.68</v>
      </c>
      <c r="K5" s="27">
        <f aca="true" t="shared" si="2" ref="K5:K10">C5-J5</f>
        <v>15080.32</v>
      </c>
      <c r="L5" s="27">
        <f t="shared" si="0"/>
        <v>-77.0514285714271</v>
      </c>
      <c r="N5" s="40"/>
    </row>
    <row r="6" spans="1:14" ht="11.25" customHeight="1">
      <c r="A6" s="6" t="s">
        <v>14</v>
      </c>
      <c r="B6" s="26">
        <v>55020400</v>
      </c>
      <c r="C6" s="27">
        <v>17974</v>
      </c>
      <c r="D6" s="27">
        <v>154.25</v>
      </c>
      <c r="E6" s="27">
        <v>4.01</v>
      </c>
      <c r="F6" s="27">
        <v>0</v>
      </c>
      <c r="G6" s="27">
        <v>0</v>
      </c>
      <c r="H6" s="27">
        <f>'08-13-15'!H6+D6+F6</f>
        <v>1163.23</v>
      </c>
      <c r="I6" s="27">
        <f>'08-13-15'!I6+E6+G6</f>
        <v>30.229999999999997</v>
      </c>
      <c r="J6" s="33">
        <f>H6+I6</f>
        <v>1193.46</v>
      </c>
      <c r="K6" s="27">
        <f t="shared" si="2"/>
        <v>16780.54</v>
      </c>
      <c r="L6" s="27">
        <f t="shared" si="0"/>
        <v>10529.082857142857</v>
      </c>
      <c r="N6" s="40"/>
    </row>
    <row r="7" spans="1:12" ht="11.25" customHeight="1">
      <c r="A7" s="6" t="s">
        <v>15</v>
      </c>
      <c r="B7" s="26">
        <v>55030200</v>
      </c>
      <c r="C7" s="27">
        <v>24330</v>
      </c>
      <c r="D7" s="27">
        <v>756.98</v>
      </c>
      <c r="E7" s="27">
        <v>19.68</v>
      </c>
      <c r="F7" s="27">
        <v>0</v>
      </c>
      <c r="G7" s="27">
        <v>0</v>
      </c>
      <c r="H7" s="27">
        <f>'08-13-15'!H7+D7+F7</f>
        <v>3977.16</v>
      </c>
      <c r="I7" s="27">
        <f>'08-13-15'!I7+E7+G7</f>
        <v>103.37</v>
      </c>
      <c r="J7" s="27">
        <f t="shared" si="1"/>
        <v>4080.5299999999997</v>
      </c>
      <c r="K7" s="27">
        <f t="shared" si="2"/>
        <v>20249.47</v>
      </c>
      <c r="L7" s="27">
        <f t="shared" si="0"/>
        <v>-1124.7347619047578</v>
      </c>
    </row>
    <row r="8" spans="1:12" ht="11.25" customHeight="1">
      <c r="A8" s="6" t="s">
        <v>16</v>
      </c>
      <c r="B8" s="26">
        <v>55050200</v>
      </c>
      <c r="C8" s="27">
        <v>29837</v>
      </c>
      <c r="D8" s="27">
        <v>333.26</v>
      </c>
      <c r="E8" s="27">
        <v>8.66</v>
      </c>
      <c r="F8" s="27">
        <v>0</v>
      </c>
      <c r="G8" s="27">
        <v>0</v>
      </c>
      <c r="H8" s="27">
        <f>'08-13-15'!H8+D8+F8</f>
        <v>4234.570000000001</v>
      </c>
      <c r="I8" s="27">
        <f>'08-13-15'!I8+E8+G8</f>
        <v>186.25</v>
      </c>
      <c r="J8" s="27">
        <f t="shared" si="1"/>
        <v>4420.820000000001</v>
      </c>
      <c r="K8" s="27">
        <f t="shared" si="2"/>
        <v>25416.18</v>
      </c>
      <c r="L8" s="27">
        <f t="shared" si="0"/>
        <v>2259.5038095238087</v>
      </c>
    </row>
    <row r="9" spans="1:12" ht="11.25" customHeight="1">
      <c r="A9" s="6" t="s">
        <v>17</v>
      </c>
      <c r="B9" s="26">
        <v>55070100</v>
      </c>
      <c r="C9" s="27">
        <f>26873+10510+5358</f>
        <v>42741</v>
      </c>
      <c r="D9" s="27">
        <f>126.38+752.89</f>
        <v>879.27</v>
      </c>
      <c r="E9" s="27">
        <f>3.28+19.57</f>
        <v>22.85</v>
      </c>
      <c r="F9" s="27">
        <v>1130.91</v>
      </c>
      <c r="G9" s="27">
        <v>61.06</v>
      </c>
      <c r="H9" s="27">
        <f>'08-13-15'!H9+D9+F9</f>
        <v>10038.339999999998</v>
      </c>
      <c r="I9" s="27">
        <f>'08-13-15'!I9+E9+G9</f>
        <v>340.78000000000003</v>
      </c>
      <c r="J9" s="27">
        <f t="shared" si="1"/>
        <v>10379.119999999999</v>
      </c>
      <c r="K9" s="27">
        <f t="shared" si="2"/>
        <v>32361.88</v>
      </c>
      <c r="L9" s="27">
        <f t="shared" si="0"/>
        <v>-22004.93904761903</v>
      </c>
    </row>
    <row r="10" spans="1:12" ht="11.25" customHeight="1">
      <c r="A10" s="6" t="s">
        <v>18</v>
      </c>
      <c r="B10" s="26">
        <v>55070400</v>
      </c>
      <c r="C10" s="27">
        <v>3000</v>
      </c>
      <c r="D10" s="27">
        <v>0</v>
      </c>
      <c r="E10" s="27">
        <v>0</v>
      </c>
      <c r="F10" s="27">
        <v>0</v>
      </c>
      <c r="G10" s="27">
        <v>0</v>
      </c>
      <c r="H10" s="27">
        <f>'08-13-15'!H10+D10+F10</f>
        <v>0</v>
      </c>
      <c r="I10" s="27">
        <f>'08-13-15'!I10+E10+G10</f>
        <v>0</v>
      </c>
      <c r="J10" s="27">
        <f t="shared" si="1"/>
        <v>0</v>
      </c>
      <c r="K10" s="27">
        <f t="shared" si="2"/>
        <v>3000</v>
      </c>
      <c r="L10" s="27">
        <f t="shared" si="0"/>
        <v>3000</v>
      </c>
    </row>
    <row r="11" spans="1:12" ht="11.25" customHeight="1">
      <c r="A11" s="6" t="s">
        <v>20</v>
      </c>
      <c r="B11" s="26">
        <v>55080100</v>
      </c>
      <c r="C11" s="27">
        <v>23173</v>
      </c>
      <c r="D11" s="27">
        <v>483.8</v>
      </c>
      <c r="E11" s="27">
        <v>12.57</v>
      </c>
      <c r="F11" s="27">
        <v>202.64</v>
      </c>
      <c r="G11" s="27">
        <v>10.94</v>
      </c>
      <c r="H11" s="27">
        <f>'08-13-15'!H11+D11+F11</f>
        <v>4014.94</v>
      </c>
      <c r="I11" s="27">
        <f>'08-13-15'!I11+E11+G11</f>
        <v>123.09</v>
      </c>
      <c r="J11" s="27">
        <f>H11+I11</f>
        <v>4138.03</v>
      </c>
      <c r="K11" s="27">
        <f>C11-J11</f>
        <v>19034.97</v>
      </c>
      <c r="L11" s="27">
        <f t="shared" si="0"/>
        <v>-2640.425238095235</v>
      </c>
    </row>
    <row r="12" spans="1:14" ht="24.75" customHeight="1">
      <c r="A12" s="75" t="s">
        <v>36</v>
      </c>
      <c r="B12" s="76"/>
      <c r="C12" s="49">
        <f>SUM(C3:C11)</f>
        <v>201348</v>
      </c>
      <c r="D12" s="49">
        <f aca="true" t="shared" si="3" ref="D12:L12">SUM(D3:D11)</f>
        <v>3282.71</v>
      </c>
      <c r="E12" s="49">
        <f t="shared" si="3"/>
        <v>85.31</v>
      </c>
      <c r="F12" s="49">
        <f t="shared" si="3"/>
        <v>1603.85</v>
      </c>
      <c r="G12" s="49">
        <f t="shared" si="3"/>
        <v>86.59</v>
      </c>
      <c r="H12" s="49">
        <f t="shared" si="3"/>
        <v>28323.889999999996</v>
      </c>
      <c r="I12" s="49">
        <f t="shared" si="3"/>
        <v>958.09</v>
      </c>
      <c r="J12" s="49">
        <f t="shared" si="3"/>
        <v>29281.979999999996</v>
      </c>
      <c r="K12" s="49">
        <f t="shared" si="3"/>
        <v>172066.02000000002</v>
      </c>
      <c r="L12" s="49">
        <f t="shared" si="3"/>
        <v>18684.22000000002</v>
      </c>
      <c r="M12" s="38"/>
      <c r="N12" s="39"/>
    </row>
    <row r="13" spans="1:14" ht="11.25" customHeight="1">
      <c r="A13" s="28"/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6" t="s">
        <v>19</v>
      </c>
      <c r="B15" s="26">
        <v>55030100</v>
      </c>
      <c r="C15" s="27">
        <v>13540</v>
      </c>
      <c r="D15" s="27">
        <v>98.44</v>
      </c>
      <c r="E15" s="27">
        <v>2.55</v>
      </c>
      <c r="F15" s="27">
        <v>0</v>
      </c>
      <c r="G15" s="27">
        <v>0</v>
      </c>
      <c r="H15" s="27">
        <f>'08-13-15'!H15+D15+F15</f>
        <v>1240.7</v>
      </c>
      <c r="I15" s="27">
        <f>'08-13-15'!I15+E15+G15</f>
        <v>47.86999999999999</v>
      </c>
      <c r="J15" s="27">
        <f aca="true" t="shared" si="4" ref="J15:J22">H15+I15</f>
        <v>1288.57</v>
      </c>
      <c r="K15" s="27">
        <f aca="true" t="shared" si="5" ref="K15:K22">C15-J15</f>
        <v>12251.43</v>
      </c>
      <c r="L15" s="27">
        <f>C15-(J15/4.2*26.2)</f>
        <v>5501.77761904762</v>
      </c>
      <c r="M15" s="38"/>
      <c r="N15" s="39"/>
    </row>
    <row r="16" spans="1:14" ht="11.25" customHeight="1">
      <c r="A16" s="6" t="s">
        <v>33</v>
      </c>
      <c r="B16" s="26">
        <v>55110100</v>
      </c>
      <c r="C16" s="27">
        <v>7073</v>
      </c>
      <c r="D16" s="27">
        <v>0</v>
      </c>
      <c r="E16" s="27">
        <v>0</v>
      </c>
      <c r="F16" s="27">
        <v>0</v>
      </c>
      <c r="G16" s="27">
        <v>0</v>
      </c>
      <c r="H16" s="27">
        <f>'08-13-15'!H16+D16+F16</f>
        <v>0</v>
      </c>
      <c r="I16" s="27">
        <f>'08-13-15'!I16+E16+G16</f>
        <v>0</v>
      </c>
      <c r="J16" s="27">
        <f t="shared" si="4"/>
        <v>0</v>
      </c>
      <c r="K16" s="27">
        <f t="shared" si="5"/>
        <v>7073</v>
      </c>
      <c r="L16" s="27">
        <f>C16-(J16/4.2*26.2)</f>
        <v>7073</v>
      </c>
      <c r="M16" s="38"/>
      <c r="N16" s="39"/>
    </row>
    <row r="17" spans="1:14" ht="11.25" customHeight="1">
      <c r="A17" s="6" t="s">
        <v>23</v>
      </c>
      <c r="B17" s="26">
        <v>55160100</v>
      </c>
      <c r="C17" s="27">
        <v>16062</v>
      </c>
      <c r="D17" s="27">
        <v>325.97</v>
      </c>
      <c r="E17" s="27">
        <v>8.47</v>
      </c>
      <c r="F17" s="27">
        <v>182.35</v>
      </c>
      <c r="G17" s="27">
        <v>9.84</v>
      </c>
      <c r="H17" s="27">
        <f>'08-13-15'!H17+D17+F17</f>
        <v>2729.27</v>
      </c>
      <c r="I17" s="27">
        <f>'08-13-15'!I17+E17+G17</f>
        <v>103.71</v>
      </c>
      <c r="J17" s="33">
        <f t="shared" si="4"/>
        <v>2832.98</v>
      </c>
      <c r="K17" s="27">
        <f t="shared" si="5"/>
        <v>13229.02</v>
      </c>
      <c r="L17" s="27">
        <f>C17-(J17/4.2*26.2)</f>
        <v>-1610.3990476190447</v>
      </c>
      <c r="M17" s="38"/>
      <c r="N17" s="41"/>
    </row>
    <row r="18" spans="1:14" ht="24.75" customHeight="1">
      <c r="A18" s="75" t="s">
        <v>37</v>
      </c>
      <c r="B18" s="76"/>
      <c r="C18" s="49">
        <f>SUM(C15:C17)</f>
        <v>36675</v>
      </c>
      <c r="D18" s="49">
        <f aca="true" t="shared" si="6" ref="D18:L18">SUM(D15:D17)</f>
        <v>424.41</v>
      </c>
      <c r="E18" s="49">
        <f t="shared" si="6"/>
        <v>11.02</v>
      </c>
      <c r="F18" s="49">
        <f t="shared" si="6"/>
        <v>182.35</v>
      </c>
      <c r="G18" s="49">
        <f t="shared" si="6"/>
        <v>9.84</v>
      </c>
      <c r="H18" s="49">
        <f t="shared" si="6"/>
        <v>3969.9700000000003</v>
      </c>
      <c r="I18" s="49">
        <f t="shared" si="6"/>
        <v>151.57999999999998</v>
      </c>
      <c r="J18" s="49">
        <f t="shared" si="6"/>
        <v>4121.55</v>
      </c>
      <c r="K18" s="49">
        <f t="shared" si="6"/>
        <v>32553.45</v>
      </c>
      <c r="L18" s="49">
        <f t="shared" si="6"/>
        <v>10964.378571428575</v>
      </c>
      <c r="M18" s="38"/>
      <c r="N18" s="41"/>
    </row>
    <row r="19" spans="1:14" ht="11.25" customHeight="1">
      <c r="A19" s="28"/>
      <c r="B19" s="28"/>
      <c r="C19" s="8"/>
      <c r="D19" s="8"/>
      <c r="E19" s="8"/>
      <c r="F19" s="8"/>
      <c r="G19" s="8"/>
      <c r="H19" s="8"/>
      <c r="I19" s="8"/>
      <c r="J19" s="8"/>
      <c r="K19" s="8"/>
      <c r="L19" s="8"/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31" t="s">
        <v>21</v>
      </c>
      <c r="B21" s="32">
        <v>55090100</v>
      </c>
      <c r="C21" s="33">
        <v>26923</v>
      </c>
      <c r="D21" s="33">
        <v>471.6</v>
      </c>
      <c r="E21" s="33">
        <v>12.26</v>
      </c>
      <c r="F21" s="33">
        <v>574.04</v>
      </c>
      <c r="G21" s="33">
        <v>30.99</v>
      </c>
      <c r="H21" s="27">
        <f>'08-13-15'!H21+D21+F21</f>
        <v>8500.32</v>
      </c>
      <c r="I21" s="27">
        <f>'08-13-15'!I21+E21+G21</f>
        <v>344.13</v>
      </c>
      <c r="J21" s="33">
        <f t="shared" si="4"/>
        <v>8844.449999999999</v>
      </c>
      <c r="K21" s="33">
        <f t="shared" si="5"/>
        <v>18078.550000000003</v>
      </c>
      <c r="L21" s="27">
        <f>C21-(J21/4.2*26.2)</f>
        <v>-28249.521428571425</v>
      </c>
      <c r="M21" s="38"/>
      <c r="N21" s="41"/>
    </row>
    <row r="22" spans="1:14" ht="11.25" customHeight="1">
      <c r="A22" s="31" t="s">
        <v>22</v>
      </c>
      <c r="B22" s="32">
        <v>55100100</v>
      </c>
      <c r="C22" s="33">
        <v>2026</v>
      </c>
      <c r="D22" s="33">
        <v>0</v>
      </c>
      <c r="E22" s="33">
        <v>0</v>
      </c>
      <c r="F22" s="33">
        <v>0</v>
      </c>
      <c r="G22" s="33">
        <v>0</v>
      </c>
      <c r="H22" s="27">
        <f>'08-13-15'!H22+D22+F22</f>
        <v>0</v>
      </c>
      <c r="I22" s="27">
        <f>'08-13-15'!I22+E22+G22</f>
        <v>0</v>
      </c>
      <c r="J22" s="33">
        <f t="shared" si="4"/>
        <v>0</v>
      </c>
      <c r="K22" s="33">
        <f t="shared" si="5"/>
        <v>2026</v>
      </c>
      <c r="L22" s="27">
        <f>C22-(J22/4.2*26.2)</f>
        <v>2026</v>
      </c>
      <c r="M22" s="38"/>
      <c r="N22" s="41"/>
    </row>
    <row r="23" spans="1:14" ht="24.75" customHeight="1">
      <c r="A23" s="75" t="s">
        <v>38</v>
      </c>
      <c r="B23" s="76"/>
      <c r="C23" s="49">
        <f>SUM(C21:C22)</f>
        <v>28949</v>
      </c>
      <c r="D23" s="49">
        <f aca="true" t="shared" si="7" ref="D23:L23">SUM(D21:D22)</f>
        <v>471.6</v>
      </c>
      <c r="E23" s="49">
        <f t="shared" si="7"/>
        <v>12.26</v>
      </c>
      <c r="F23" s="49">
        <f t="shared" si="7"/>
        <v>574.04</v>
      </c>
      <c r="G23" s="49">
        <f t="shared" si="7"/>
        <v>30.99</v>
      </c>
      <c r="H23" s="49">
        <f t="shared" si="7"/>
        <v>8500.32</v>
      </c>
      <c r="I23" s="49">
        <f t="shared" si="7"/>
        <v>344.13</v>
      </c>
      <c r="J23" s="49">
        <f t="shared" si="7"/>
        <v>8844.449999999999</v>
      </c>
      <c r="K23" s="49">
        <f t="shared" si="7"/>
        <v>20104.550000000003</v>
      </c>
      <c r="L23" s="49">
        <f t="shared" si="7"/>
        <v>-26223.521428571425</v>
      </c>
      <c r="M23" s="38"/>
      <c r="N23" s="41"/>
    </row>
    <row r="24" spans="1:14" ht="11.25" customHeight="1">
      <c r="A24" s="2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8"/>
      <c r="N24" s="39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3" s="44" customFormat="1" ht="11.25" customHeight="1">
      <c r="A26" s="31" t="s">
        <v>26</v>
      </c>
      <c r="B26" s="32">
        <v>55130100</v>
      </c>
      <c r="C26" s="33">
        <v>4523</v>
      </c>
      <c r="D26" s="33">
        <v>36.38</v>
      </c>
      <c r="E26" s="33">
        <v>0.94</v>
      </c>
      <c r="F26" s="33">
        <v>0</v>
      </c>
      <c r="G26" s="33">
        <v>0</v>
      </c>
      <c r="H26" s="27">
        <f>'08-13-15'!H26+D26+F26</f>
        <v>1071.6200000000001</v>
      </c>
      <c r="I26" s="27">
        <f>'08-13-15'!I26+E26+G26</f>
        <v>27.830000000000002</v>
      </c>
      <c r="J26" s="33">
        <f>H26+I26</f>
        <v>1099.45</v>
      </c>
      <c r="K26" s="33">
        <f>C26-J26</f>
        <v>3423.55</v>
      </c>
      <c r="L26" s="27">
        <f>C26-(J26/4.2*26.2)</f>
        <v>-2335.473809523809</v>
      </c>
      <c r="M26" s="45"/>
    </row>
    <row r="27" spans="1:13" s="44" customFormat="1" ht="11.25" customHeight="1">
      <c r="A27" s="31" t="s">
        <v>30</v>
      </c>
      <c r="B27" s="32">
        <v>55140100</v>
      </c>
      <c r="C27" s="33">
        <v>2995</v>
      </c>
      <c r="D27" s="33">
        <v>0</v>
      </c>
      <c r="E27" s="33">
        <v>0</v>
      </c>
      <c r="F27" s="33">
        <v>171.2</v>
      </c>
      <c r="G27" s="33">
        <v>9.24</v>
      </c>
      <c r="H27" s="27">
        <f>'08-13-15'!H27+D27+F27</f>
        <v>684.8</v>
      </c>
      <c r="I27" s="27">
        <f>'08-13-15'!I27+E27+G27</f>
        <v>36.949999999999996</v>
      </c>
      <c r="J27" s="33">
        <f>H27+I27</f>
        <v>721.75</v>
      </c>
      <c r="K27" s="33">
        <f>C27-J27</f>
        <v>2273.25</v>
      </c>
      <c r="L27" s="27">
        <f>C27-(J27/4.2*26.2)</f>
        <v>-1507.3452380952385</v>
      </c>
      <c r="M27" s="45"/>
    </row>
    <row r="28" spans="1:14" s="44" customFormat="1" ht="24.75" customHeight="1">
      <c r="A28" s="75" t="s">
        <v>39</v>
      </c>
      <c r="B28" s="76"/>
      <c r="C28" s="49">
        <f aca="true" t="shared" si="8" ref="C28:L28">SUM(C26:C27)</f>
        <v>7518</v>
      </c>
      <c r="D28" s="49">
        <f t="shared" si="8"/>
        <v>36.38</v>
      </c>
      <c r="E28" s="49">
        <f t="shared" si="8"/>
        <v>0.94</v>
      </c>
      <c r="F28" s="49">
        <f t="shared" si="8"/>
        <v>171.2</v>
      </c>
      <c r="G28" s="49">
        <f t="shared" si="8"/>
        <v>9.24</v>
      </c>
      <c r="H28" s="49">
        <f t="shared" si="8"/>
        <v>1756.42</v>
      </c>
      <c r="I28" s="49">
        <f t="shared" si="8"/>
        <v>64.78</v>
      </c>
      <c r="J28" s="49">
        <f t="shared" si="8"/>
        <v>1821.2</v>
      </c>
      <c r="K28" s="49">
        <f t="shared" si="8"/>
        <v>5696.8</v>
      </c>
      <c r="L28" s="49">
        <f t="shared" si="8"/>
        <v>-3842.8190476190475</v>
      </c>
      <c r="M28" s="42"/>
      <c r="N28" s="43"/>
    </row>
    <row r="29" spans="1:14" ht="11.25" customHeight="1">
      <c r="A29" s="2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8"/>
      <c r="N29" s="39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31" t="s">
        <v>34</v>
      </c>
      <c r="B31" s="32">
        <v>55010000</v>
      </c>
      <c r="C31" s="33">
        <f>24725</f>
        <v>24725</v>
      </c>
      <c r="D31" s="33">
        <v>0</v>
      </c>
      <c r="E31" s="33">
        <v>0</v>
      </c>
      <c r="F31" s="33">
        <v>0</v>
      </c>
      <c r="G31" s="33">
        <v>0</v>
      </c>
      <c r="H31" s="27">
        <f>'08-13-15'!H31+D31+F31</f>
        <v>0</v>
      </c>
      <c r="I31" s="27">
        <f>'08-13-15'!I31+E31+G31</f>
        <v>0</v>
      </c>
      <c r="J31" s="33">
        <f>H31+I31</f>
        <v>0</v>
      </c>
      <c r="K31" s="33">
        <f>C31-J31</f>
        <v>24725</v>
      </c>
      <c r="L31" s="27">
        <f>C31-(J31/4.2*26.2)</f>
        <v>24725</v>
      </c>
      <c r="M31" s="38"/>
      <c r="N31" s="39"/>
    </row>
    <row r="32" spans="1:12" ht="11.25" customHeight="1">
      <c r="A32" s="6" t="s">
        <v>31</v>
      </c>
      <c r="B32" s="26">
        <v>55080500</v>
      </c>
      <c r="C32" s="27">
        <v>10000</v>
      </c>
      <c r="D32" s="27">
        <v>0</v>
      </c>
      <c r="E32" s="27">
        <v>0</v>
      </c>
      <c r="F32" s="27">
        <v>0</v>
      </c>
      <c r="G32" s="27">
        <v>0</v>
      </c>
      <c r="H32" s="27">
        <f>'08-13-15'!H32+D32+F32</f>
        <v>129.6</v>
      </c>
      <c r="I32" s="27">
        <f>'08-13-15'!I32+E32+G32</f>
        <v>6.99</v>
      </c>
      <c r="J32" s="33">
        <f>H32+I32</f>
        <v>136.59</v>
      </c>
      <c r="K32" s="27">
        <f>C32-J32</f>
        <v>9863.41</v>
      </c>
      <c r="L32" s="27">
        <f>C32-(J32/4.2*26.2)</f>
        <v>9147.93857142857</v>
      </c>
    </row>
    <row r="33" spans="1:12" ht="11.25" customHeight="1">
      <c r="A33" s="6" t="s">
        <v>32</v>
      </c>
      <c r="B33" s="26">
        <v>55050300</v>
      </c>
      <c r="C33" s="59">
        <f>15346.24</f>
        <v>15346.24</v>
      </c>
      <c r="D33" s="27">
        <v>0</v>
      </c>
      <c r="E33" s="27">
        <v>0</v>
      </c>
      <c r="F33" s="27">
        <v>1120</v>
      </c>
      <c r="G33" s="27">
        <v>60.48</v>
      </c>
      <c r="H33" s="27">
        <f>'08-13-15'!H33+D33+F33</f>
        <v>2527</v>
      </c>
      <c r="I33" s="27">
        <f>'08-13-15'!I33+E33+G33</f>
        <v>136.45</v>
      </c>
      <c r="J33" s="33">
        <f>H33+I33</f>
        <v>2663.45</v>
      </c>
      <c r="K33" s="27">
        <f>C33-J33</f>
        <v>12682.79</v>
      </c>
      <c r="L33" s="27">
        <f>C33-(J33/4.2*26.2)</f>
        <v>-1268.6147619047606</v>
      </c>
    </row>
    <row r="34" spans="1:12" ht="11.25" customHeight="1">
      <c r="A34" s="6" t="s">
        <v>43</v>
      </c>
      <c r="B34" s="26">
        <v>55160300</v>
      </c>
      <c r="C34" s="27">
        <v>43385.81</v>
      </c>
      <c r="D34" s="27">
        <v>0</v>
      </c>
      <c r="E34" s="27">
        <v>0</v>
      </c>
      <c r="F34" s="27">
        <v>3154.25</v>
      </c>
      <c r="G34" s="27">
        <v>170.32</v>
      </c>
      <c r="H34" s="27">
        <f>'08-13-15'!H34+D34+F34</f>
        <v>13247.86</v>
      </c>
      <c r="I34" s="27">
        <f>'08-13-15'!I34+E34+G34</f>
        <v>715.3499999999999</v>
      </c>
      <c r="J34" s="33">
        <f>H34+I34</f>
        <v>13963.210000000001</v>
      </c>
      <c r="K34" s="27">
        <f>C34-J34</f>
        <v>29422.6</v>
      </c>
      <c r="L34" s="27">
        <f>C34-(J34/4.2*26.2)</f>
        <v>-43718.02380952382</v>
      </c>
    </row>
    <row r="35" spans="1:12" ht="11.25" customHeight="1">
      <c r="A35" s="6" t="s">
        <v>24</v>
      </c>
      <c r="B35" s="26" t="s">
        <v>25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f>'08-13-15'!H35+D35+F35</f>
        <v>0</v>
      </c>
      <c r="I35" s="27">
        <f>'08-13-15'!I35+E35+G35</f>
        <v>0</v>
      </c>
      <c r="J35" s="27">
        <f>H35+I35</f>
        <v>0</v>
      </c>
      <c r="K35" s="27">
        <f>C35-J35</f>
        <v>0</v>
      </c>
      <c r="L35" s="27">
        <f>C35-(J35/4.2*26.2)</f>
        <v>0</v>
      </c>
    </row>
    <row r="36" spans="1:14" ht="24.75" customHeight="1">
      <c r="A36" s="75" t="s">
        <v>40</v>
      </c>
      <c r="B36" s="76"/>
      <c r="C36" s="49">
        <f>SUM(C31:C35)</f>
        <v>93457.04999999999</v>
      </c>
      <c r="D36" s="49">
        <f aca="true" t="shared" si="9" ref="D36:L36">SUM(D31:D35)</f>
        <v>0</v>
      </c>
      <c r="E36" s="49">
        <f t="shared" si="9"/>
        <v>0</v>
      </c>
      <c r="F36" s="49">
        <f t="shared" si="9"/>
        <v>4274.25</v>
      </c>
      <c r="G36" s="49">
        <f t="shared" si="9"/>
        <v>230.79999999999998</v>
      </c>
      <c r="H36" s="49">
        <f t="shared" si="9"/>
        <v>15904.460000000001</v>
      </c>
      <c r="I36" s="49">
        <f t="shared" si="9"/>
        <v>858.79</v>
      </c>
      <c r="J36" s="49">
        <f t="shared" si="9"/>
        <v>16763.25</v>
      </c>
      <c r="K36" s="49">
        <f t="shared" si="9"/>
        <v>76693.8</v>
      </c>
      <c r="L36" s="49">
        <f t="shared" si="9"/>
        <v>-11113.700000000004</v>
      </c>
      <c r="M36" s="38"/>
      <c r="N36" s="39"/>
    </row>
    <row r="37" spans="1:14" ht="11.25" customHeight="1">
      <c r="A37" s="28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8"/>
      <c r="N37" s="39"/>
    </row>
    <row r="38" spans="1:14" ht="11.25" customHeight="1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8"/>
      <c r="N38" s="39"/>
    </row>
    <row r="39" spans="1:14" ht="24.75" customHeight="1">
      <c r="A39" s="76" t="s">
        <v>42</v>
      </c>
      <c r="B39" s="76"/>
      <c r="C39" s="49">
        <f>C12+C18+C23+C28+C36</f>
        <v>367947.05</v>
      </c>
      <c r="D39" s="49">
        <f aca="true" t="shared" si="10" ref="D39:L39">D12+D18+D23+D28+D36</f>
        <v>4215.1</v>
      </c>
      <c r="E39" s="49">
        <f t="shared" si="10"/>
        <v>109.53</v>
      </c>
      <c r="F39" s="49">
        <f t="shared" si="10"/>
        <v>6805.69</v>
      </c>
      <c r="G39" s="49">
        <f t="shared" si="10"/>
        <v>367.46</v>
      </c>
      <c r="H39" s="49">
        <f t="shared" si="10"/>
        <v>58455.05999999999</v>
      </c>
      <c r="I39" s="49">
        <f t="shared" si="10"/>
        <v>2377.37</v>
      </c>
      <c r="J39" s="49">
        <f t="shared" si="10"/>
        <v>60832.42999999999</v>
      </c>
      <c r="K39" s="49">
        <f t="shared" si="10"/>
        <v>307114.62</v>
      </c>
      <c r="L39" s="49">
        <f t="shared" si="10"/>
        <v>-11531.441904761883</v>
      </c>
      <c r="M39" s="38"/>
      <c r="N39" s="39"/>
    </row>
    <row r="40" spans="1:14" ht="11.25" customHeight="1">
      <c r="A40" s="54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38"/>
      <c r="N40" s="39"/>
    </row>
    <row r="41" spans="1:14" ht="11.25" customHeight="1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38"/>
      <c r="N41" s="39"/>
    </row>
    <row r="42" spans="1:14" ht="12" customHeight="1">
      <c r="A42" s="6" t="s">
        <v>27</v>
      </c>
      <c r="B42" s="6" t="s">
        <v>28</v>
      </c>
      <c r="C42" s="27">
        <v>61829</v>
      </c>
      <c r="D42" s="27">
        <v>1286.48</v>
      </c>
      <c r="E42" s="27">
        <v>33.44</v>
      </c>
      <c r="F42" s="27">
        <v>935.44</v>
      </c>
      <c r="G42" s="27">
        <v>50.51</v>
      </c>
      <c r="H42" s="27">
        <f>'08-13-15'!H42+D42+F42</f>
        <v>13832.209999999997</v>
      </c>
      <c r="I42" s="27">
        <f>'08-13-15'!I42+E42+G42</f>
        <v>517.8100000000001</v>
      </c>
      <c r="J42" s="27">
        <f>H42+I42</f>
        <v>14350.019999999997</v>
      </c>
      <c r="K42" s="27">
        <f>C42-J42</f>
        <v>47478.98</v>
      </c>
      <c r="L42" s="27">
        <f>C42-(J42/4.2*26.2)</f>
        <v>-27687.791428571392</v>
      </c>
      <c r="M42" s="38"/>
      <c r="N42" s="39"/>
    </row>
    <row r="43" spans="1:14" ht="12" customHeight="1">
      <c r="A43" s="6"/>
      <c r="B43" s="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38"/>
      <c r="N43" s="39"/>
    </row>
    <row r="44" spans="1:14" ht="12" customHeight="1">
      <c r="A44" s="6" t="s">
        <v>29</v>
      </c>
      <c r="B44" s="6" t="s">
        <v>35</v>
      </c>
      <c r="C44" s="27">
        <v>15000</v>
      </c>
      <c r="D44" s="27">
        <v>0</v>
      </c>
      <c r="E44" s="27">
        <v>0</v>
      </c>
      <c r="F44" s="27">
        <v>504.4</v>
      </c>
      <c r="G44" s="27">
        <v>27.23</v>
      </c>
      <c r="H44" s="27">
        <f>'08-13-15'!H44+D44+F44</f>
        <v>2557.56</v>
      </c>
      <c r="I44" s="27">
        <f>'08-13-15'!I44+E44+G44</f>
        <v>138.08</v>
      </c>
      <c r="J44" s="33">
        <f>H44+I44</f>
        <v>2695.64</v>
      </c>
      <c r="K44" s="27">
        <f>C44-J44</f>
        <v>12304.36</v>
      </c>
      <c r="L44" s="27">
        <f>C44-(J44/4.2*26.2)</f>
        <v>-1815.6590476190431</v>
      </c>
      <c r="M44" s="38"/>
      <c r="N44" s="39"/>
    </row>
    <row r="45" spans="1:14" ht="12" customHeight="1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38"/>
      <c r="N45" s="39"/>
    </row>
    <row r="46" spans="1:14" ht="12" customHeight="1">
      <c r="A46" s="50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38"/>
      <c r="N46" s="39"/>
    </row>
    <row r="47" spans="1:14" ht="24.75" customHeight="1">
      <c r="A47" s="51" t="s">
        <v>41</v>
      </c>
      <c r="B47" s="52"/>
      <c r="C47" s="53">
        <f>C42+C44</f>
        <v>76829</v>
      </c>
      <c r="D47" s="53">
        <f aca="true" t="shared" si="11" ref="D47:L47">D42+D44</f>
        <v>1286.48</v>
      </c>
      <c r="E47" s="53">
        <f t="shared" si="11"/>
        <v>33.44</v>
      </c>
      <c r="F47" s="53">
        <f t="shared" si="11"/>
        <v>1439.8400000000001</v>
      </c>
      <c r="G47" s="53">
        <f t="shared" si="11"/>
        <v>77.74</v>
      </c>
      <c r="H47" s="53">
        <f t="shared" si="11"/>
        <v>16389.769999999997</v>
      </c>
      <c r="I47" s="53">
        <f t="shared" si="11"/>
        <v>655.8900000000001</v>
      </c>
      <c r="J47" s="53">
        <f t="shared" si="11"/>
        <v>17045.659999999996</v>
      </c>
      <c r="K47" s="53">
        <f t="shared" si="11"/>
        <v>59783.340000000004</v>
      </c>
      <c r="L47" s="53">
        <f t="shared" si="11"/>
        <v>-29503.450476190435</v>
      </c>
      <c r="M47" s="38"/>
      <c r="N47" s="12"/>
    </row>
    <row r="48" spans="1:14" ht="24" customHeight="1">
      <c r="A48" s="9"/>
      <c r="B48" s="10"/>
      <c r="C48" s="11"/>
      <c r="H48" s="11"/>
      <c r="I48" s="11"/>
      <c r="J48" s="11"/>
      <c r="K48" s="11"/>
      <c r="L48" s="11"/>
      <c r="M48" s="38"/>
      <c r="N48" s="12"/>
    </row>
    <row r="49" spans="1:14" ht="33.75">
      <c r="A49" s="57" t="s">
        <v>44</v>
      </c>
      <c r="B49" s="58">
        <v>43385.81</v>
      </c>
      <c r="C49" s="13"/>
      <c r="D49" s="13"/>
      <c r="E49" s="13"/>
      <c r="F49" s="13"/>
      <c r="G49" s="13"/>
      <c r="H49" s="46"/>
      <c r="I49" s="46"/>
      <c r="J49" s="46"/>
      <c r="K49" s="46"/>
      <c r="L49" s="46"/>
      <c r="M49" s="38"/>
      <c r="N49" s="12"/>
    </row>
    <row r="50" spans="1:14" ht="33.75">
      <c r="A50" s="9" t="s">
        <v>45</v>
      </c>
      <c r="B50" s="58">
        <v>10000</v>
      </c>
      <c r="C50" s="16"/>
      <c r="D50" s="11"/>
      <c r="E50" s="11"/>
      <c r="F50" s="11"/>
      <c r="G50" s="11"/>
      <c r="H50" s="11"/>
      <c r="I50" s="2"/>
      <c r="J50" s="11"/>
      <c r="K50" s="11"/>
      <c r="L50" s="11"/>
      <c r="M50" s="38"/>
      <c r="N50" s="12"/>
    </row>
    <row r="51" spans="1:14" ht="15">
      <c r="A51" s="14"/>
      <c r="B51" s="5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8"/>
      <c r="N51" s="12"/>
    </row>
    <row r="52" spans="1:14" ht="15" customHeight="1">
      <c r="A52" s="14"/>
      <c r="B52" s="1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8"/>
      <c r="N52" s="17"/>
    </row>
    <row r="53" spans="1:14" ht="15">
      <c r="A53" s="14"/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2"/>
    </row>
    <row r="54" spans="1:14" ht="22.5" customHeight="1">
      <c r="A54" s="14"/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2"/>
    </row>
    <row r="55" spans="1:14" ht="15">
      <c r="A55" s="18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N55" s="12"/>
    </row>
    <row r="56" spans="1:14" ht="15" customHeight="1">
      <c r="A56" s="18"/>
      <c r="B56" s="10"/>
      <c r="C56" s="21"/>
      <c r="D56" s="21"/>
      <c r="E56" s="21"/>
      <c r="F56" s="21"/>
      <c r="G56" s="21"/>
      <c r="H56" s="21"/>
      <c r="I56" s="21"/>
      <c r="J56" s="21"/>
      <c r="K56" s="21"/>
      <c r="L56" s="21"/>
      <c r="N56" s="12"/>
    </row>
    <row r="57" spans="1:14" ht="15" customHeight="1">
      <c r="A57" s="19"/>
      <c r="B57" s="10"/>
      <c r="C57" s="21"/>
      <c r="D57" s="21"/>
      <c r="E57" s="21"/>
      <c r="F57" s="21"/>
      <c r="G57" s="21"/>
      <c r="H57" s="21"/>
      <c r="I57" s="21"/>
      <c r="J57" s="21"/>
      <c r="K57" s="21"/>
      <c r="L57" s="21"/>
      <c r="N57" s="12"/>
    </row>
    <row r="58" spans="1:14" ht="15">
      <c r="A58" s="19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>
      <c r="A59" s="18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8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25.5" customHeight="1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 customHeight="1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 customHeight="1">
      <c r="A63" s="20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47"/>
      <c r="N63" s="12"/>
    </row>
    <row r="64" spans="1:14" ht="15" customHeight="1">
      <c r="A64" s="22"/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47"/>
      <c r="N64" s="24"/>
    </row>
    <row r="65" spans="1:14" ht="11.25" customHeight="1">
      <c r="A65" s="23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24"/>
    </row>
    <row r="66" spans="1:14" ht="11.25" customHeight="1">
      <c r="A66" s="25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2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2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N71" s="24"/>
    </row>
    <row r="72" spans="1:13" ht="15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36"/>
    </row>
    <row r="73" spans="1:13" ht="15">
      <c r="A73" s="2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36"/>
    </row>
    <row r="74" spans="1:12" ht="15">
      <c r="A74" s="22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">
      <c r="A75" s="24"/>
      <c r="B75" s="24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5">
      <c r="A76" s="24"/>
      <c r="B76" s="24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4" s="35" customFormat="1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  <c r="N80" s="36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</sheetData>
  <sheetProtection/>
  <mergeCells count="6">
    <mergeCell ref="A12:B12"/>
    <mergeCell ref="A18:B18"/>
    <mergeCell ref="A23:B23"/>
    <mergeCell ref="A28:B28"/>
    <mergeCell ref="A36:B36"/>
    <mergeCell ref="A39:B39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H44" sqref="H44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7.5742187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8.42187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ht="11.25" customHeight="1">
      <c r="A3" s="6" t="s">
        <v>11</v>
      </c>
      <c r="B3" s="26">
        <v>55010500</v>
      </c>
      <c r="C3" s="27">
        <v>9670</v>
      </c>
      <c r="D3" s="27">
        <v>0</v>
      </c>
      <c r="E3" s="27">
        <v>0</v>
      </c>
      <c r="F3" s="27">
        <v>0</v>
      </c>
      <c r="G3" s="27">
        <v>0</v>
      </c>
      <c r="H3" s="27">
        <f>'08-27-15'!H3+D3+F3</f>
        <v>604.8</v>
      </c>
      <c r="I3" s="27">
        <f>'08-27-15'!I3+E3+G3</f>
        <v>32.629999999999995</v>
      </c>
      <c r="J3" s="27">
        <f>H3+I3</f>
        <v>637.43</v>
      </c>
      <c r="K3" s="27">
        <f>C3-J3</f>
        <v>9032.57</v>
      </c>
      <c r="L3" s="27">
        <f>C3-(J3/5.2*26.2)</f>
        <v>6458.333461538462</v>
      </c>
      <c r="M3" s="38"/>
      <c r="N3" s="39"/>
    </row>
    <row r="4" spans="1:14" ht="11.25" customHeight="1">
      <c r="A4" s="6" t="s">
        <v>12</v>
      </c>
      <c r="B4" s="26">
        <v>55020200</v>
      </c>
      <c r="C4" s="27">
        <v>32649</v>
      </c>
      <c r="D4" s="27">
        <v>547.4</v>
      </c>
      <c r="E4" s="27">
        <v>14.22</v>
      </c>
      <c r="F4" s="27">
        <v>270.3</v>
      </c>
      <c r="G4" s="27">
        <v>14.58</v>
      </c>
      <c r="H4" s="27">
        <f>'08-27-15'!H4+D4+F4</f>
        <v>2288.16</v>
      </c>
      <c r="I4" s="27">
        <f>'08-27-15'!I4+E4+G4</f>
        <v>97.25</v>
      </c>
      <c r="J4" s="27">
        <f>H4+I4</f>
        <v>2385.41</v>
      </c>
      <c r="K4" s="27">
        <f>C4-J4</f>
        <v>30263.59</v>
      </c>
      <c r="L4" s="27">
        <f aca="true" t="shared" si="0" ref="L4:L11">C4-(J4/5.2*26.2)</f>
        <v>20630.203461538462</v>
      </c>
      <c r="N4" s="40"/>
    </row>
    <row r="5" spans="1:14" ht="11.25" customHeight="1">
      <c r="A5" s="6" t="s">
        <v>13</v>
      </c>
      <c r="B5" s="26">
        <v>55020300</v>
      </c>
      <c r="C5" s="27">
        <v>17974</v>
      </c>
      <c r="D5" s="27">
        <v>311.07</v>
      </c>
      <c r="E5" s="27">
        <v>8.08</v>
      </c>
      <c r="F5" s="27">
        <v>0</v>
      </c>
      <c r="G5" s="27">
        <v>0</v>
      </c>
      <c r="H5" s="27">
        <f>'08-27-15'!H5+D5+F5</f>
        <v>3131.46</v>
      </c>
      <c r="I5" s="27">
        <f>'08-27-15'!I5+E5+G5</f>
        <v>81.37</v>
      </c>
      <c r="J5" s="27">
        <f aca="true" t="shared" si="1" ref="J5:J10">H5+I5</f>
        <v>3212.83</v>
      </c>
      <c r="K5" s="27">
        <f aca="true" t="shared" si="2" ref="K5:K10">C5-J5</f>
        <v>14761.17</v>
      </c>
      <c r="L5" s="27">
        <f t="shared" si="0"/>
        <v>1786.2796153846157</v>
      </c>
      <c r="N5" s="40"/>
    </row>
    <row r="6" spans="1:14" ht="11.25" customHeight="1">
      <c r="A6" s="6" t="s">
        <v>14</v>
      </c>
      <c r="B6" s="26">
        <v>55020400</v>
      </c>
      <c r="C6" s="27">
        <v>17974</v>
      </c>
      <c r="D6" s="27">
        <v>409.36</v>
      </c>
      <c r="E6" s="27">
        <v>10.62</v>
      </c>
      <c r="F6" s="27">
        <v>0</v>
      </c>
      <c r="G6" s="27">
        <v>0</v>
      </c>
      <c r="H6" s="27">
        <f>'08-27-15'!H6+D6+F6</f>
        <v>1572.5900000000001</v>
      </c>
      <c r="I6" s="27">
        <f>'08-27-15'!I6+E6+G6</f>
        <v>40.849999999999994</v>
      </c>
      <c r="J6" s="27">
        <f>H6+I6</f>
        <v>1613.44</v>
      </c>
      <c r="K6" s="27">
        <f t="shared" si="2"/>
        <v>16360.56</v>
      </c>
      <c r="L6" s="27">
        <f t="shared" si="0"/>
        <v>9844.744615384616</v>
      </c>
      <c r="N6" s="40"/>
    </row>
    <row r="7" spans="1:12" ht="11.25" customHeight="1">
      <c r="A7" s="6" t="s">
        <v>15</v>
      </c>
      <c r="B7" s="26">
        <v>55030200</v>
      </c>
      <c r="C7" s="27">
        <v>24330</v>
      </c>
      <c r="D7" s="27">
        <v>943.12</v>
      </c>
      <c r="E7" s="27">
        <v>24.51</v>
      </c>
      <c r="F7" s="27">
        <v>0</v>
      </c>
      <c r="G7" s="27">
        <v>0</v>
      </c>
      <c r="H7" s="27">
        <f>'08-27-15'!H7+D7+F7</f>
        <v>4920.28</v>
      </c>
      <c r="I7" s="27">
        <f>'08-27-15'!I7+E7+G7</f>
        <v>127.88000000000001</v>
      </c>
      <c r="J7" s="27">
        <f t="shared" si="1"/>
        <v>5048.16</v>
      </c>
      <c r="K7" s="27">
        <f t="shared" si="2"/>
        <v>19281.84</v>
      </c>
      <c r="L7" s="27">
        <f t="shared" si="0"/>
        <v>-1104.9599999999991</v>
      </c>
    </row>
    <row r="8" spans="1:12" ht="11.25" customHeight="1">
      <c r="A8" s="6" t="s">
        <v>16</v>
      </c>
      <c r="B8" s="26">
        <v>55050200</v>
      </c>
      <c r="C8" s="27">
        <v>29837</v>
      </c>
      <c r="D8" s="27">
        <v>921.82</v>
      </c>
      <c r="E8" s="27">
        <v>23.94</v>
      </c>
      <c r="F8" s="27">
        <v>264.6</v>
      </c>
      <c r="G8" s="27">
        <v>14.28</v>
      </c>
      <c r="H8" s="27">
        <f>'08-27-15'!H8+D8+F8</f>
        <v>5420.990000000001</v>
      </c>
      <c r="I8" s="27">
        <f>'08-27-15'!I8+E8+G8</f>
        <v>224.47</v>
      </c>
      <c r="J8" s="27">
        <f t="shared" si="1"/>
        <v>5645.460000000001</v>
      </c>
      <c r="K8" s="27">
        <f t="shared" si="2"/>
        <v>24191.54</v>
      </c>
      <c r="L8" s="27">
        <f t="shared" si="0"/>
        <v>1392.56692307692</v>
      </c>
    </row>
    <row r="9" spans="1:12" ht="11.25" customHeight="1">
      <c r="A9" s="6" t="s">
        <v>17</v>
      </c>
      <c r="B9" s="26">
        <v>55070100</v>
      </c>
      <c r="C9" s="27">
        <f>26873+10510+5358</f>
        <v>42741</v>
      </c>
      <c r="D9" s="27">
        <v>1875.33</v>
      </c>
      <c r="E9" s="27">
        <v>48.75</v>
      </c>
      <c r="F9" s="27">
        <v>611.53</v>
      </c>
      <c r="G9" s="27">
        <v>33.02</v>
      </c>
      <c r="H9" s="27">
        <f>'08-27-15'!H9+D9+F9</f>
        <v>12525.199999999999</v>
      </c>
      <c r="I9" s="27">
        <f>'08-27-15'!I9+E9+G9</f>
        <v>422.55</v>
      </c>
      <c r="J9" s="27">
        <f t="shared" si="1"/>
        <v>12947.749999999998</v>
      </c>
      <c r="K9" s="27">
        <f t="shared" si="2"/>
        <v>29793.25</v>
      </c>
      <c r="L9" s="27">
        <f t="shared" si="0"/>
        <v>-22495.740384615376</v>
      </c>
    </row>
    <row r="10" spans="1:12" ht="11.25" customHeight="1">
      <c r="A10" s="6" t="s">
        <v>18</v>
      </c>
      <c r="B10" s="26">
        <v>55070400</v>
      </c>
      <c r="C10" s="27">
        <v>3000</v>
      </c>
      <c r="D10" s="27">
        <v>0</v>
      </c>
      <c r="E10" s="27">
        <v>0</v>
      </c>
      <c r="F10" s="27">
        <v>0</v>
      </c>
      <c r="G10" s="27">
        <v>0</v>
      </c>
      <c r="H10" s="27">
        <f>'08-27-15'!H10+D10+F10</f>
        <v>0</v>
      </c>
      <c r="I10" s="27">
        <f>'08-27-15'!I10+E10+G10</f>
        <v>0</v>
      </c>
      <c r="J10" s="27">
        <f t="shared" si="1"/>
        <v>0</v>
      </c>
      <c r="K10" s="27">
        <f t="shared" si="2"/>
        <v>3000</v>
      </c>
      <c r="L10" s="27">
        <f t="shared" si="0"/>
        <v>3000</v>
      </c>
    </row>
    <row r="11" spans="1:12" ht="11.25" customHeight="1">
      <c r="A11" s="6" t="s">
        <v>20</v>
      </c>
      <c r="B11" s="26">
        <v>55080100</v>
      </c>
      <c r="C11" s="27">
        <v>23173</v>
      </c>
      <c r="D11" s="27">
        <v>767.42</v>
      </c>
      <c r="E11" s="27">
        <v>19.94</v>
      </c>
      <c r="F11" s="27">
        <v>167.39</v>
      </c>
      <c r="G11" s="27">
        <v>9.03</v>
      </c>
      <c r="H11" s="27">
        <f>'08-27-15'!H11+D11+F11</f>
        <v>4949.75</v>
      </c>
      <c r="I11" s="27">
        <f>'08-27-15'!I11+E11+G11</f>
        <v>152.06</v>
      </c>
      <c r="J11" s="27">
        <f>H11+I11</f>
        <v>5101.81</v>
      </c>
      <c r="K11" s="27">
        <f>C11-J11</f>
        <v>18071.19</v>
      </c>
      <c r="L11" s="27">
        <f t="shared" si="0"/>
        <v>-2532.2734615384616</v>
      </c>
    </row>
    <row r="12" spans="1:14" ht="24.75" customHeight="1">
      <c r="A12" s="75" t="s">
        <v>36</v>
      </c>
      <c r="B12" s="76"/>
      <c r="C12" s="49">
        <f>SUM(C3:C11)</f>
        <v>201348</v>
      </c>
      <c r="D12" s="49">
        <f aca="true" t="shared" si="3" ref="D12:L12">SUM(D3:D11)</f>
        <v>5775.52</v>
      </c>
      <c r="E12" s="49">
        <f t="shared" si="3"/>
        <v>150.06</v>
      </c>
      <c r="F12" s="49">
        <f t="shared" si="3"/>
        <v>1313.8200000000002</v>
      </c>
      <c r="G12" s="49">
        <f t="shared" si="3"/>
        <v>70.91</v>
      </c>
      <c r="H12" s="49">
        <f t="shared" si="3"/>
        <v>35413.23</v>
      </c>
      <c r="I12" s="49">
        <f t="shared" si="3"/>
        <v>1179.06</v>
      </c>
      <c r="J12" s="49">
        <f t="shared" si="3"/>
        <v>36592.29</v>
      </c>
      <c r="K12" s="49">
        <f t="shared" si="3"/>
        <v>164755.71</v>
      </c>
      <c r="L12" s="49">
        <f t="shared" si="3"/>
        <v>16979.154230769243</v>
      </c>
      <c r="M12" s="38"/>
      <c r="N12" s="39"/>
    </row>
    <row r="13" spans="1:14" ht="11.25" customHeight="1">
      <c r="A13" s="28"/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ht="11.25" customHeight="1">
      <c r="A15" s="6" t="s">
        <v>19</v>
      </c>
      <c r="B15" s="26">
        <v>55030100</v>
      </c>
      <c r="C15" s="27">
        <v>13540</v>
      </c>
      <c r="D15" s="27">
        <v>392.91</v>
      </c>
      <c r="E15" s="27">
        <v>10.2</v>
      </c>
      <c r="F15" s="27">
        <v>0</v>
      </c>
      <c r="G15" s="27">
        <v>0</v>
      </c>
      <c r="H15" s="27">
        <f>'08-27-15'!H15+D15+F15</f>
        <v>1633.6100000000001</v>
      </c>
      <c r="I15" s="27">
        <f>'08-27-15'!I15+E15+G15</f>
        <v>58.06999999999999</v>
      </c>
      <c r="J15" s="27">
        <f aca="true" t="shared" si="4" ref="J15:J22">H15+I15</f>
        <v>1691.68</v>
      </c>
      <c r="K15" s="27">
        <f aca="true" t="shared" si="5" ref="K15:K22">C15-J15</f>
        <v>11848.32</v>
      </c>
      <c r="L15" s="27">
        <f>C15-(J15/5.2*26.2)</f>
        <v>5016.535384615385</v>
      </c>
      <c r="M15" s="38"/>
      <c r="N15" s="39"/>
    </row>
    <row r="16" spans="1:14" ht="11.25" customHeight="1">
      <c r="A16" s="6" t="s">
        <v>33</v>
      </c>
      <c r="B16" s="26">
        <v>55110100</v>
      </c>
      <c r="C16" s="27">
        <v>7073</v>
      </c>
      <c r="D16" s="27">
        <v>62.25</v>
      </c>
      <c r="E16" s="27">
        <v>1.61</v>
      </c>
      <c r="F16" s="27">
        <v>0</v>
      </c>
      <c r="G16" s="27">
        <v>0</v>
      </c>
      <c r="H16" s="27">
        <f>'08-27-15'!H16+D16+F16</f>
        <v>62.25</v>
      </c>
      <c r="I16" s="27">
        <f>'08-27-15'!I16+E16+G16</f>
        <v>1.61</v>
      </c>
      <c r="J16" s="27">
        <f t="shared" si="4"/>
        <v>63.86</v>
      </c>
      <c r="K16" s="27">
        <f t="shared" si="5"/>
        <v>7009.14</v>
      </c>
      <c r="L16" s="27">
        <f>C16-(J16/5.2*26.2)</f>
        <v>6751.243846153846</v>
      </c>
      <c r="M16" s="38"/>
      <c r="N16" s="39"/>
    </row>
    <row r="17" spans="1:14" ht="11.25" customHeight="1">
      <c r="A17" s="6" t="s">
        <v>23</v>
      </c>
      <c r="B17" s="26">
        <v>55160100</v>
      </c>
      <c r="C17" s="27">
        <v>16062</v>
      </c>
      <c r="D17" s="27">
        <v>298.2</v>
      </c>
      <c r="E17" s="27">
        <v>7.75</v>
      </c>
      <c r="F17" s="27">
        <v>0</v>
      </c>
      <c r="G17" s="27">
        <v>0</v>
      </c>
      <c r="H17" s="27">
        <f>'08-27-15'!H17+D17+F17</f>
        <v>3027.47</v>
      </c>
      <c r="I17" s="27">
        <f>'08-27-15'!I17+E17+G17</f>
        <v>111.46</v>
      </c>
      <c r="J17" s="27">
        <f t="shared" si="4"/>
        <v>3138.93</v>
      </c>
      <c r="K17" s="27">
        <f t="shared" si="5"/>
        <v>12923.07</v>
      </c>
      <c r="L17" s="27">
        <f>C17-(J17/5.2*26.2)</f>
        <v>246.62192307692385</v>
      </c>
      <c r="M17" s="38"/>
      <c r="N17" s="41"/>
    </row>
    <row r="18" spans="1:14" ht="24.75" customHeight="1">
      <c r="A18" s="75" t="s">
        <v>37</v>
      </c>
      <c r="B18" s="76"/>
      <c r="C18" s="49">
        <f>SUM(C15:C17)</f>
        <v>36675</v>
      </c>
      <c r="D18" s="49">
        <f aca="true" t="shared" si="6" ref="D18:L18">SUM(D15:D17)</f>
        <v>753.36</v>
      </c>
      <c r="E18" s="49">
        <f t="shared" si="6"/>
        <v>19.56</v>
      </c>
      <c r="F18" s="49">
        <f t="shared" si="6"/>
        <v>0</v>
      </c>
      <c r="G18" s="49">
        <f t="shared" si="6"/>
        <v>0</v>
      </c>
      <c r="H18" s="49">
        <f t="shared" si="6"/>
        <v>4723.33</v>
      </c>
      <c r="I18" s="49">
        <f t="shared" si="6"/>
        <v>171.14</v>
      </c>
      <c r="J18" s="49">
        <f t="shared" si="6"/>
        <v>4894.469999999999</v>
      </c>
      <c r="K18" s="49">
        <f t="shared" si="6"/>
        <v>31780.53</v>
      </c>
      <c r="L18" s="49">
        <f t="shared" si="6"/>
        <v>12014.401153846155</v>
      </c>
      <c r="M18" s="38"/>
      <c r="N18" s="41"/>
    </row>
    <row r="19" spans="1:14" ht="11.25" customHeight="1">
      <c r="A19" s="28"/>
      <c r="B19" s="28"/>
      <c r="C19" s="8"/>
      <c r="D19" s="8"/>
      <c r="E19" s="8"/>
      <c r="F19" s="8"/>
      <c r="G19" s="8"/>
      <c r="H19" s="8"/>
      <c r="I19" s="8"/>
      <c r="J19" s="8"/>
      <c r="K19" s="8"/>
      <c r="L19" s="8"/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ht="11.25" customHeight="1">
      <c r="A21" s="31" t="s">
        <v>21</v>
      </c>
      <c r="B21" s="32">
        <v>55090100</v>
      </c>
      <c r="C21" s="33">
        <v>26923</v>
      </c>
      <c r="D21" s="33">
        <v>216.96</v>
      </c>
      <c r="E21" s="33">
        <v>5.63</v>
      </c>
      <c r="F21" s="33">
        <v>571.78</v>
      </c>
      <c r="G21" s="33">
        <v>30.87</v>
      </c>
      <c r="H21" s="27">
        <f>'08-27-15'!H21+D21+F21</f>
        <v>9289.06</v>
      </c>
      <c r="I21" s="27">
        <f>'08-27-15'!I21+E21+G21</f>
        <v>380.63</v>
      </c>
      <c r="J21" s="33">
        <f t="shared" si="4"/>
        <v>9669.689999999999</v>
      </c>
      <c r="K21" s="33">
        <f t="shared" si="5"/>
        <v>17253.31</v>
      </c>
      <c r="L21" s="27">
        <f>C21-(J21/5.2*26.2)</f>
        <v>-21797.36115384614</v>
      </c>
      <c r="M21" s="38"/>
      <c r="N21" s="41"/>
    </row>
    <row r="22" spans="1:14" ht="11.25" customHeight="1">
      <c r="A22" s="31" t="s">
        <v>22</v>
      </c>
      <c r="B22" s="32">
        <v>55100100</v>
      </c>
      <c r="C22" s="33">
        <v>2026</v>
      </c>
      <c r="D22" s="33">
        <v>0</v>
      </c>
      <c r="E22" s="33">
        <v>0</v>
      </c>
      <c r="F22" s="33">
        <v>0</v>
      </c>
      <c r="G22" s="33">
        <v>0</v>
      </c>
      <c r="H22" s="27">
        <f>'08-27-15'!H22+D22+F22</f>
        <v>0</v>
      </c>
      <c r="I22" s="27">
        <f>'08-27-15'!I22+E22+G22</f>
        <v>0</v>
      </c>
      <c r="J22" s="33">
        <f t="shared" si="4"/>
        <v>0</v>
      </c>
      <c r="K22" s="33">
        <f t="shared" si="5"/>
        <v>2026</v>
      </c>
      <c r="L22" s="27">
        <f>C22-(J22/5.2*26.2)</f>
        <v>2026</v>
      </c>
      <c r="M22" s="38"/>
      <c r="N22" s="41"/>
    </row>
    <row r="23" spans="1:14" ht="24.75" customHeight="1">
      <c r="A23" s="75" t="s">
        <v>38</v>
      </c>
      <c r="B23" s="76"/>
      <c r="C23" s="49">
        <f>SUM(C21:C22)</f>
        <v>28949</v>
      </c>
      <c r="D23" s="49">
        <f aca="true" t="shared" si="7" ref="D23:L23">SUM(D21:D22)</f>
        <v>216.96</v>
      </c>
      <c r="E23" s="49">
        <f t="shared" si="7"/>
        <v>5.63</v>
      </c>
      <c r="F23" s="49">
        <f t="shared" si="7"/>
        <v>571.78</v>
      </c>
      <c r="G23" s="49">
        <f t="shared" si="7"/>
        <v>30.87</v>
      </c>
      <c r="H23" s="49">
        <f t="shared" si="7"/>
        <v>9289.06</v>
      </c>
      <c r="I23" s="49">
        <f t="shared" si="7"/>
        <v>380.63</v>
      </c>
      <c r="J23" s="49">
        <f t="shared" si="7"/>
        <v>9669.689999999999</v>
      </c>
      <c r="K23" s="49">
        <f t="shared" si="7"/>
        <v>19279.31</v>
      </c>
      <c r="L23" s="49">
        <f t="shared" si="7"/>
        <v>-19771.36115384614</v>
      </c>
      <c r="M23" s="38"/>
      <c r="N23" s="41"/>
    </row>
    <row r="24" spans="1:14" ht="11.25" customHeight="1">
      <c r="A24" s="2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8"/>
      <c r="N24" s="39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3" s="44" customFormat="1" ht="11.25" customHeight="1">
      <c r="A26" s="31" t="s">
        <v>26</v>
      </c>
      <c r="B26" s="32">
        <v>55130100</v>
      </c>
      <c r="C26" s="33">
        <v>4523</v>
      </c>
      <c r="D26" s="33">
        <v>64.72</v>
      </c>
      <c r="E26" s="33">
        <v>1.67</v>
      </c>
      <c r="F26" s="33">
        <v>0</v>
      </c>
      <c r="G26" s="33">
        <v>0</v>
      </c>
      <c r="H26" s="27">
        <f>'08-27-15'!H26+D26+F26</f>
        <v>1136.3400000000001</v>
      </c>
      <c r="I26" s="27">
        <f>'08-27-15'!I26+E26+G26</f>
        <v>29.5</v>
      </c>
      <c r="J26" s="33">
        <f>H26+I26</f>
        <v>1165.8400000000001</v>
      </c>
      <c r="K26" s="33">
        <f>C26-J26</f>
        <v>3357.16</v>
      </c>
      <c r="L26" s="27">
        <f>C26-(J26/5.2*26.2)</f>
        <v>-1351.04</v>
      </c>
      <c r="M26" s="45"/>
    </row>
    <row r="27" spans="1:13" s="44" customFormat="1" ht="11.25" customHeight="1">
      <c r="A27" s="31" t="s">
        <v>30</v>
      </c>
      <c r="B27" s="32">
        <v>55140100</v>
      </c>
      <c r="C27" s="33">
        <v>2995</v>
      </c>
      <c r="D27" s="33">
        <v>0</v>
      </c>
      <c r="E27" s="33">
        <v>0</v>
      </c>
      <c r="F27" s="33">
        <v>102.72</v>
      </c>
      <c r="G27" s="33">
        <v>5.53</v>
      </c>
      <c r="H27" s="27">
        <f>'08-27-15'!H27+D27+F27</f>
        <v>787.52</v>
      </c>
      <c r="I27" s="27">
        <f>'08-27-15'!I27+E27+G27</f>
        <v>42.48</v>
      </c>
      <c r="J27" s="33">
        <f>H27+I27</f>
        <v>830</v>
      </c>
      <c r="K27" s="33">
        <f>C27-J27</f>
        <v>2165</v>
      </c>
      <c r="L27" s="27">
        <f>C27-(J27/5.2*26.2)</f>
        <v>-1186.9230769230771</v>
      </c>
      <c r="M27" s="45"/>
    </row>
    <row r="28" spans="1:14" s="44" customFormat="1" ht="24.75" customHeight="1">
      <c r="A28" s="75" t="s">
        <v>39</v>
      </c>
      <c r="B28" s="76"/>
      <c r="C28" s="49">
        <f aca="true" t="shared" si="8" ref="C28:L28">SUM(C26:C27)</f>
        <v>7518</v>
      </c>
      <c r="D28" s="49">
        <f t="shared" si="8"/>
        <v>64.72</v>
      </c>
      <c r="E28" s="49">
        <f t="shared" si="8"/>
        <v>1.67</v>
      </c>
      <c r="F28" s="49">
        <f t="shared" si="8"/>
        <v>102.72</v>
      </c>
      <c r="G28" s="49">
        <f t="shared" si="8"/>
        <v>5.53</v>
      </c>
      <c r="H28" s="49">
        <f t="shared" si="8"/>
        <v>1923.8600000000001</v>
      </c>
      <c r="I28" s="49">
        <f t="shared" si="8"/>
        <v>71.97999999999999</v>
      </c>
      <c r="J28" s="49">
        <f t="shared" si="8"/>
        <v>1995.8400000000001</v>
      </c>
      <c r="K28" s="49">
        <f t="shared" si="8"/>
        <v>5522.16</v>
      </c>
      <c r="L28" s="49">
        <f t="shared" si="8"/>
        <v>-2537.963076923077</v>
      </c>
      <c r="M28" s="42"/>
      <c r="N28" s="43"/>
    </row>
    <row r="29" spans="1:14" ht="11.25" customHeight="1">
      <c r="A29" s="2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8"/>
      <c r="N29" s="39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ht="11.25" customHeight="1">
      <c r="A31" s="31" t="s">
        <v>34</v>
      </c>
      <c r="B31" s="32">
        <v>55010000</v>
      </c>
      <c r="C31" s="33">
        <f>24725-15347</f>
        <v>9378</v>
      </c>
      <c r="D31" s="33">
        <v>0</v>
      </c>
      <c r="E31" s="33">
        <v>0</v>
      </c>
      <c r="F31" s="33">
        <v>0</v>
      </c>
      <c r="G31" s="33">
        <v>0</v>
      </c>
      <c r="H31" s="27">
        <f>'08-27-15'!H31+D31+F31</f>
        <v>0</v>
      </c>
      <c r="I31" s="27">
        <f>'08-27-15'!I31+E31+G31</f>
        <v>0</v>
      </c>
      <c r="J31" s="33">
        <f>H31+I31</f>
        <v>0</v>
      </c>
      <c r="K31" s="33">
        <f>C31-J31</f>
        <v>9378</v>
      </c>
      <c r="L31" s="27">
        <f>C31-(J31/5.2*26.2)</f>
        <v>9378</v>
      </c>
      <c r="M31" s="38"/>
      <c r="N31" s="39"/>
    </row>
    <row r="32" spans="1:12" ht="11.25" customHeight="1">
      <c r="A32" s="6" t="s">
        <v>31</v>
      </c>
      <c r="B32" s="26">
        <v>55080500</v>
      </c>
      <c r="C32" s="27">
        <v>10000</v>
      </c>
      <c r="D32" s="27">
        <v>0</v>
      </c>
      <c r="E32" s="27">
        <v>0</v>
      </c>
      <c r="F32" s="27">
        <v>0</v>
      </c>
      <c r="G32" s="27">
        <v>0</v>
      </c>
      <c r="H32" s="27">
        <f>'08-27-15'!H32+D32+F32</f>
        <v>129.6</v>
      </c>
      <c r="I32" s="27">
        <f>'08-27-15'!I32+E32+G32</f>
        <v>6.99</v>
      </c>
      <c r="J32" s="27">
        <f>H32+I32</f>
        <v>136.59</v>
      </c>
      <c r="K32" s="27">
        <f>C32-J32</f>
        <v>9863.41</v>
      </c>
      <c r="L32" s="27">
        <f>C32-(J32/5.2*26.2)</f>
        <v>9311.796538461538</v>
      </c>
    </row>
    <row r="33" spans="1:12" ht="11.25" customHeight="1">
      <c r="A33" s="6" t="s">
        <v>32</v>
      </c>
      <c r="B33" s="26">
        <v>55050300</v>
      </c>
      <c r="C33" s="27">
        <v>15347</v>
      </c>
      <c r="D33" s="27">
        <v>0</v>
      </c>
      <c r="E33" s="27">
        <v>0</v>
      </c>
      <c r="F33" s="27">
        <v>896</v>
      </c>
      <c r="G33" s="27">
        <v>48.37</v>
      </c>
      <c r="H33" s="27">
        <f>'08-27-15'!H33+D33+F33</f>
        <v>3423</v>
      </c>
      <c r="I33" s="27">
        <f>'08-27-15'!I33+E33+G33</f>
        <v>184.82</v>
      </c>
      <c r="J33" s="27">
        <f>H33+I33</f>
        <v>3607.82</v>
      </c>
      <c r="K33" s="27">
        <f>C33-J33</f>
        <v>11739.18</v>
      </c>
      <c r="L33" s="27">
        <f>C33-(J33/5.2*26.2)</f>
        <v>-2830.862307692307</v>
      </c>
    </row>
    <row r="34" spans="1:12" ht="11.25" customHeight="1">
      <c r="A34" s="6" t="s">
        <v>43</v>
      </c>
      <c r="B34" s="26">
        <v>55160300</v>
      </c>
      <c r="C34" s="27">
        <v>43385.81</v>
      </c>
      <c r="D34" s="27">
        <v>0</v>
      </c>
      <c r="E34" s="27">
        <v>0</v>
      </c>
      <c r="F34" s="27">
        <v>3154.26</v>
      </c>
      <c r="G34" s="27">
        <v>170.32</v>
      </c>
      <c r="H34" s="27">
        <f>'08-27-15'!H34+D34+F34</f>
        <v>16402.120000000003</v>
      </c>
      <c r="I34" s="27">
        <f>'08-27-15'!I34+E34+G34</f>
        <v>885.6699999999998</v>
      </c>
      <c r="J34" s="27">
        <f>H34+I34</f>
        <v>17287.79</v>
      </c>
      <c r="K34" s="27">
        <f>C34-J34</f>
        <v>26098.019999999997</v>
      </c>
      <c r="L34" s="27">
        <f>C34-(J34/5.2*26.2)</f>
        <v>-43718.05500000001</v>
      </c>
    </row>
    <row r="35" spans="1:12" ht="11.25" customHeight="1">
      <c r="A35" s="6" t="s">
        <v>24</v>
      </c>
      <c r="B35" s="26" t="s">
        <v>25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f>'08-27-15'!H35+D35+F35</f>
        <v>0</v>
      </c>
      <c r="I35" s="27">
        <f>'08-27-15'!I35+E35+G35</f>
        <v>0</v>
      </c>
      <c r="J35" s="27">
        <f>H35+I35</f>
        <v>0</v>
      </c>
      <c r="K35" s="27">
        <f>C35-J35</f>
        <v>0</v>
      </c>
      <c r="L35" s="27">
        <f>C35-(J35/5.2*26.2)</f>
        <v>0</v>
      </c>
    </row>
    <row r="36" spans="1:14" ht="24.75" customHeight="1">
      <c r="A36" s="75" t="s">
        <v>40</v>
      </c>
      <c r="B36" s="76"/>
      <c r="C36" s="49">
        <f>SUM(C31:C35)</f>
        <v>78110.81</v>
      </c>
      <c r="D36" s="49">
        <f aca="true" t="shared" si="9" ref="D36:L36">SUM(D31:D35)</f>
        <v>0</v>
      </c>
      <c r="E36" s="49">
        <f t="shared" si="9"/>
        <v>0</v>
      </c>
      <c r="F36" s="49">
        <f t="shared" si="9"/>
        <v>4050.26</v>
      </c>
      <c r="G36" s="49">
        <f t="shared" si="9"/>
        <v>218.69</v>
      </c>
      <c r="H36" s="49">
        <f t="shared" si="9"/>
        <v>19954.72</v>
      </c>
      <c r="I36" s="49">
        <f t="shared" si="9"/>
        <v>1077.4799999999998</v>
      </c>
      <c r="J36" s="49">
        <f t="shared" si="9"/>
        <v>21032.2</v>
      </c>
      <c r="K36" s="49">
        <f t="shared" si="9"/>
        <v>57078.61</v>
      </c>
      <c r="L36" s="49">
        <f t="shared" si="9"/>
        <v>-27859.120769230776</v>
      </c>
      <c r="M36" s="38"/>
      <c r="N36" s="39"/>
    </row>
    <row r="37" spans="1:14" ht="11.25" customHeight="1">
      <c r="A37" s="28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8"/>
      <c r="N37" s="39"/>
    </row>
    <row r="38" spans="1:14" ht="11.25" customHeight="1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8"/>
      <c r="N38" s="39"/>
    </row>
    <row r="39" spans="1:14" ht="24.75" customHeight="1">
      <c r="A39" s="76" t="s">
        <v>42</v>
      </c>
      <c r="B39" s="76"/>
      <c r="C39" s="49">
        <f>C12+C18+C23+C28+C36</f>
        <v>352600.81</v>
      </c>
      <c r="D39" s="49">
        <f aca="true" t="shared" si="10" ref="D39:L39">D12+D18+D23+D28+D36</f>
        <v>6810.56</v>
      </c>
      <c r="E39" s="49">
        <f t="shared" si="10"/>
        <v>176.92</v>
      </c>
      <c r="F39" s="49">
        <f t="shared" si="10"/>
        <v>6038.58</v>
      </c>
      <c r="G39" s="49">
        <f t="shared" si="10"/>
        <v>326</v>
      </c>
      <c r="H39" s="49">
        <f t="shared" si="10"/>
        <v>71304.20000000001</v>
      </c>
      <c r="I39" s="49">
        <f t="shared" si="10"/>
        <v>2880.29</v>
      </c>
      <c r="J39" s="49">
        <f t="shared" si="10"/>
        <v>74184.48999999999</v>
      </c>
      <c r="K39" s="49">
        <f t="shared" si="10"/>
        <v>278416.32</v>
      </c>
      <c r="L39" s="49">
        <f t="shared" si="10"/>
        <v>-21174.889615384593</v>
      </c>
      <c r="M39" s="38"/>
      <c r="N39" s="39"/>
    </row>
    <row r="40" spans="1:14" ht="11.25" customHeight="1">
      <c r="A40" s="54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38"/>
      <c r="N40" s="39"/>
    </row>
    <row r="41" spans="1:14" ht="11.25" customHeight="1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38"/>
      <c r="N41" s="39"/>
    </row>
    <row r="42" spans="1:14" ht="12" customHeight="1">
      <c r="A42" s="6" t="s">
        <v>27</v>
      </c>
      <c r="B42" s="6" t="s">
        <v>28</v>
      </c>
      <c r="C42" s="27">
        <v>61829</v>
      </c>
      <c r="D42" s="27">
        <f>42.26+1574.86</f>
        <v>1617.12</v>
      </c>
      <c r="E42" s="27">
        <f>1.09+40.94</f>
        <v>42.03</v>
      </c>
      <c r="F42" s="27">
        <v>630</v>
      </c>
      <c r="G42" s="27">
        <v>34.02</v>
      </c>
      <c r="H42" s="27">
        <f>'08-27-15'!H42+D42+F42</f>
        <v>16079.329999999998</v>
      </c>
      <c r="I42" s="27">
        <f>'08-27-15'!I42+E42+G42</f>
        <v>593.86</v>
      </c>
      <c r="J42" s="27">
        <f>H42+I42</f>
        <v>16673.19</v>
      </c>
      <c r="K42" s="27">
        <f>C42-J42</f>
        <v>45155.81</v>
      </c>
      <c r="L42" s="27">
        <f>C42-(J42/5.2*26.2)</f>
        <v>-22178.226538461517</v>
      </c>
      <c r="M42" s="38"/>
      <c r="N42" s="39"/>
    </row>
    <row r="43" spans="1:14" ht="12" customHeight="1">
      <c r="A43" s="6"/>
      <c r="B43" s="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38"/>
      <c r="N43" s="39"/>
    </row>
    <row r="44" spans="1:14" ht="12" customHeight="1">
      <c r="A44" s="6" t="s">
        <v>29</v>
      </c>
      <c r="B44" s="6" t="s">
        <v>35</v>
      </c>
      <c r="C44" s="27">
        <v>15000</v>
      </c>
      <c r="D44" s="27">
        <v>0</v>
      </c>
      <c r="E44" s="27">
        <v>0</v>
      </c>
      <c r="F44" s="27">
        <v>529.97</v>
      </c>
      <c r="G44" s="27">
        <v>28.61</v>
      </c>
      <c r="H44" s="27">
        <f>'08-27-15'!H44+D44+F44</f>
        <v>3087.5299999999997</v>
      </c>
      <c r="I44" s="27">
        <f>'08-27-15'!I44+E44+G44</f>
        <v>166.69</v>
      </c>
      <c r="J44" s="27">
        <f>H44+I44</f>
        <v>3254.22</v>
      </c>
      <c r="K44" s="27">
        <f>C44-J44</f>
        <v>11745.78</v>
      </c>
      <c r="L44" s="27">
        <f>C44-(J44/5.2*26.2)</f>
        <v>-1396.2623076923046</v>
      </c>
      <c r="M44" s="38"/>
      <c r="N44" s="39"/>
    </row>
    <row r="45" spans="1:14" ht="12" customHeight="1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38"/>
      <c r="N45" s="39"/>
    </row>
    <row r="46" spans="1:14" ht="12" customHeight="1">
      <c r="A46" s="50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38"/>
      <c r="N46" s="39"/>
    </row>
    <row r="47" spans="1:14" ht="24.75" customHeight="1">
      <c r="A47" s="51" t="s">
        <v>41</v>
      </c>
      <c r="B47" s="52"/>
      <c r="C47" s="53">
        <f>C42+C44</f>
        <v>76829</v>
      </c>
      <c r="D47" s="53">
        <f aca="true" t="shared" si="11" ref="D47:L47">D42+D44</f>
        <v>1617.12</v>
      </c>
      <c r="E47" s="53">
        <f t="shared" si="11"/>
        <v>42.03</v>
      </c>
      <c r="F47" s="53">
        <f t="shared" si="11"/>
        <v>1159.97</v>
      </c>
      <c r="G47" s="53">
        <f t="shared" si="11"/>
        <v>62.63</v>
      </c>
      <c r="H47" s="53">
        <f t="shared" si="11"/>
        <v>19166.859999999997</v>
      </c>
      <c r="I47" s="53">
        <f t="shared" si="11"/>
        <v>760.55</v>
      </c>
      <c r="J47" s="53">
        <f t="shared" si="11"/>
        <v>19927.41</v>
      </c>
      <c r="K47" s="53">
        <f t="shared" si="11"/>
        <v>56901.59</v>
      </c>
      <c r="L47" s="53">
        <f t="shared" si="11"/>
        <v>-23574.48884615382</v>
      </c>
      <c r="M47" s="38"/>
      <c r="N47" s="12"/>
    </row>
    <row r="48" spans="1:14" ht="24" customHeight="1">
      <c r="A48" s="9"/>
      <c r="B48" s="10"/>
      <c r="C48" s="11"/>
      <c r="H48" s="11"/>
      <c r="I48" s="11"/>
      <c r="J48" s="11"/>
      <c r="K48" s="11"/>
      <c r="L48" s="11"/>
      <c r="M48" s="38"/>
      <c r="N48" s="12"/>
    </row>
    <row r="49" spans="1:14" ht="33.75">
      <c r="A49" s="57" t="s">
        <v>44</v>
      </c>
      <c r="B49" s="58">
        <v>43385.81</v>
      </c>
      <c r="C49" s="13"/>
      <c r="D49" s="13"/>
      <c r="E49" s="13"/>
      <c r="F49" s="13"/>
      <c r="G49" s="13"/>
      <c r="H49" s="46"/>
      <c r="I49" s="46"/>
      <c r="J49" s="46"/>
      <c r="K49" s="46"/>
      <c r="L49" s="46"/>
      <c r="M49" s="38"/>
      <c r="N49" s="12"/>
    </row>
    <row r="50" spans="1:14" ht="33.75">
      <c r="A50" s="9" t="s">
        <v>45</v>
      </c>
      <c r="B50" s="58">
        <v>10000</v>
      </c>
      <c r="C50" s="16"/>
      <c r="D50" s="11"/>
      <c r="E50" s="11"/>
      <c r="F50" s="11"/>
      <c r="G50" s="11"/>
      <c r="H50" s="11"/>
      <c r="I50" s="2"/>
      <c r="J50" s="11"/>
      <c r="K50" s="11"/>
      <c r="L50" s="11"/>
      <c r="M50" s="38"/>
      <c r="N50" s="12"/>
    </row>
    <row r="51" spans="1:14" ht="22.5">
      <c r="A51" s="14" t="s">
        <v>46</v>
      </c>
      <c r="B51" s="58">
        <v>15347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8"/>
      <c r="N51" s="12"/>
    </row>
    <row r="52" spans="1:14" ht="15" customHeight="1">
      <c r="A52" s="14"/>
      <c r="B52" s="1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8"/>
      <c r="N52" s="17"/>
    </row>
    <row r="53" spans="1:14" ht="15">
      <c r="A53" s="14"/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2"/>
    </row>
    <row r="54" spans="1:14" ht="22.5" customHeight="1">
      <c r="A54" s="14"/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2"/>
    </row>
    <row r="55" spans="1:14" ht="15">
      <c r="A55" s="18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N55" s="12"/>
    </row>
    <row r="56" spans="1:14" ht="15" customHeight="1">
      <c r="A56" s="18"/>
      <c r="B56" s="10"/>
      <c r="C56" s="21"/>
      <c r="D56" s="21"/>
      <c r="E56" s="21"/>
      <c r="F56" s="21"/>
      <c r="G56" s="21"/>
      <c r="H56" s="21"/>
      <c r="I56" s="21"/>
      <c r="J56" s="21"/>
      <c r="K56" s="21"/>
      <c r="L56" s="21"/>
      <c r="N56" s="12"/>
    </row>
    <row r="57" spans="1:14" ht="15" customHeight="1">
      <c r="A57" s="19"/>
      <c r="B57" s="10"/>
      <c r="C57" s="21"/>
      <c r="D57" s="21"/>
      <c r="E57" s="21"/>
      <c r="F57" s="21"/>
      <c r="G57" s="21"/>
      <c r="H57" s="21"/>
      <c r="I57" s="21"/>
      <c r="J57" s="21"/>
      <c r="K57" s="21"/>
      <c r="L57" s="21"/>
      <c r="N57" s="12"/>
    </row>
    <row r="58" spans="1:14" ht="15">
      <c r="A58" s="19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>
      <c r="A59" s="18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8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25.5" customHeight="1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 customHeight="1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 customHeight="1">
      <c r="A63" s="20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47"/>
      <c r="N63" s="12"/>
    </row>
    <row r="64" spans="1:14" ht="15" customHeight="1">
      <c r="A64" s="22"/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47"/>
      <c r="N64" s="24"/>
    </row>
    <row r="65" spans="1:14" ht="11.25" customHeight="1">
      <c r="A65" s="23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24"/>
    </row>
    <row r="66" spans="1:14" ht="11.25" customHeight="1">
      <c r="A66" s="25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2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2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N71" s="24"/>
    </row>
    <row r="72" spans="1:13" ht="15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36"/>
    </row>
    <row r="73" spans="1:13" ht="15">
      <c r="A73" s="2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36"/>
    </row>
    <row r="74" spans="1:12" ht="15">
      <c r="A74" s="22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">
      <c r="A75" s="24"/>
      <c r="B75" s="24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5">
      <c r="A76" s="24"/>
      <c r="B76" s="24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4" s="35" customFormat="1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  <c r="N80" s="36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</sheetData>
  <sheetProtection/>
  <mergeCells count="6">
    <mergeCell ref="A12:B12"/>
    <mergeCell ref="A18:B18"/>
    <mergeCell ref="A23:B23"/>
    <mergeCell ref="A28:B28"/>
    <mergeCell ref="A36:B36"/>
    <mergeCell ref="A39:B3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F44" sqref="F44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7.5742187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8.42187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s="44" customFormat="1" ht="11.25" customHeight="1">
      <c r="A3" s="31" t="s">
        <v>11</v>
      </c>
      <c r="B3" s="32">
        <v>55010500</v>
      </c>
      <c r="C3" s="33">
        <v>9670</v>
      </c>
      <c r="D3" s="33">
        <v>0</v>
      </c>
      <c r="E3" s="33">
        <v>0</v>
      </c>
      <c r="F3" s="33">
        <v>0</v>
      </c>
      <c r="G3" s="33">
        <v>0</v>
      </c>
      <c r="H3" s="33">
        <f>'09-10-15'!H3+D3+F3</f>
        <v>604.8</v>
      </c>
      <c r="I3" s="33">
        <f>'09-10-15'!I3+E3+G3</f>
        <v>32.629999999999995</v>
      </c>
      <c r="J3" s="33">
        <f>H3+I3</f>
        <v>637.43</v>
      </c>
      <c r="K3" s="33">
        <f>C3-J3</f>
        <v>9032.57</v>
      </c>
      <c r="L3" s="33">
        <f>C3-(J3/6.2*26.2)</f>
        <v>6976.344193548388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v>32649</v>
      </c>
      <c r="D4" s="33">
        <v>571.64</v>
      </c>
      <c r="E4" s="33">
        <v>14.85</v>
      </c>
      <c r="F4" s="33">
        <v>270.3</v>
      </c>
      <c r="G4" s="33">
        <v>14.59</v>
      </c>
      <c r="H4" s="33">
        <f>'09-10-15'!H4+D4+F4</f>
        <v>3130.1</v>
      </c>
      <c r="I4" s="33">
        <f>'09-10-15'!I4+E4+G4</f>
        <v>126.69</v>
      </c>
      <c r="J4" s="33">
        <f>H4+I4</f>
        <v>3256.79</v>
      </c>
      <c r="K4" s="33">
        <f>C4-J4</f>
        <v>29392.21</v>
      </c>
      <c r="L4" s="33">
        <f aca="true" t="shared" si="0" ref="L4:L11">C4-(J4/6.2*26.2)</f>
        <v>18886.435806451613</v>
      </c>
      <c r="M4" s="45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401.35</v>
      </c>
      <c r="E5" s="33">
        <v>10.43</v>
      </c>
      <c r="F5" s="33">
        <v>0</v>
      </c>
      <c r="G5" s="33">
        <v>0</v>
      </c>
      <c r="H5" s="33">
        <f>'09-10-15'!H5+D5+F5</f>
        <v>3532.81</v>
      </c>
      <c r="I5" s="33">
        <f>'09-10-15'!I5+E5+G5</f>
        <v>91.80000000000001</v>
      </c>
      <c r="J5" s="33">
        <f aca="true" t="shared" si="1" ref="J5:J10">H5+I5</f>
        <v>3624.61</v>
      </c>
      <c r="K5" s="33">
        <f aca="true" t="shared" si="2" ref="K5:K10">C5-J5</f>
        <v>14349.39</v>
      </c>
      <c r="L5" s="33">
        <f t="shared" si="0"/>
        <v>2657.0996774193554</v>
      </c>
      <c r="M5" s="45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543.94</v>
      </c>
      <c r="E6" s="33">
        <v>14.13</v>
      </c>
      <c r="F6" s="33">
        <v>0</v>
      </c>
      <c r="G6" s="33">
        <v>0</v>
      </c>
      <c r="H6" s="33">
        <f>'09-10-15'!H6+D6+F6</f>
        <v>2116.53</v>
      </c>
      <c r="I6" s="33">
        <f>'09-10-15'!I6+E6+G6</f>
        <v>54.98</v>
      </c>
      <c r="J6" s="33">
        <f>H6+I6</f>
        <v>2171.51</v>
      </c>
      <c r="K6" s="33">
        <f t="shared" si="2"/>
        <v>15802.49</v>
      </c>
      <c r="L6" s="33">
        <f t="shared" si="0"/>
        <v>8797.619032258064</v>
      </c>
      <c r="M6" s="45"/>
      <c r="N6" s="61"/>
    </row>
    <row r="7" spans="1:13" s="44" customFormat="1" ht="11.25" customHeight="1">
      <c r="A7" s="31" t="s">
        <v>15</v>
      </c>
      <c r="B7" s="32">
        <v>55030200</v>
      </c>
      <c r="C7" s="33">
        <v>24330</v>
      </c>
      <c r="D7" s="33">
        <v>877.02</v>
      </c>
      <c r="E7" s="33">
        <v>22.79</v>
      </c>
      <c r="F7" s="33">
        <v>0</v>
      </c>
      <c r="G7" s="33">
        <v>0</v>
      </c>
      <c r="H7" s="33">
        <f>'09-10-15'!H7+D7+F7</f>
        <v>5797.299999999999</v>
      </c>
      <c r="I7" s="33">
        <f>'09-10-15'!I7+E7+G7</f>
        <v>150.67000000000002</v>
      </c>
      <c r="J7" s="33">
        <f t="shared" si="1"/>
        <v>5947.969999999999</v>
      </c>
      <c r="K7" s="33">
        <f t="shared" si="2"/>
        <v>18382.03</v>
      </c>
      <c r="L7" s="33">
        <f t="shared" si="0"/>
        <v>-804.9699999999975</v>
      </c>
      <c r="M7" s="45"/>
    </row>
    <row r="8" spans="1:13" s="44" customFormat="1" ht="11.25" customHeight="1">
      <c r="A8" s="31" t="s">
        <v>16</v>
      </c>
      <c r="B8" s="32">
        <v>55050200</v>
      </c>
      <c r="C8" s="33">
        <v>29837</v>
      </c>
      <c r="D8" s="33">
        <v>1212.48</v>
      </c>
      <c r="E8" s="33">
        <v>31.51</v>
      </c>
      <c r="F8" s="33">
        <v>269.32</v>
      </c>
      <c r="G8" s="33">
        <v>14.54</v>
      </c>
      <c r="H8" s="33">
        <f>'09-10-15'!H8+D8+F8</f>
        <v>6902.790000000001</v>
      </c>
      <c r="I8" s="33">
        <f>'09-10-15'!I8+E8+G8</f>
        <v>270.52</v>
      </c>
      <c r="J8" s="33">
        <f t="shared" si="1"/>
        <v>7173.310000000001</v>
      </c>
      <c r="K8" s="33">
        <f t="shared" si="2"/>
        <v>22663.69</v>
      </c>
      <c r="L8" s="33">
        <f t="shared" si="0"/>
        <v>-476.01967741936096</v>
      </c>
      <c r="M8" s="45"/>
    </row>
    <row r="9" spans="1:13" s="44" customFormat="1" ht="11.25" customHeight="1">
      <c r="A9" s="31" t="s">
        <v>17</v>
      </c>
      <c r="B9" s="32">
        <v>55070100</v>
      </c>
      <c r="C9" s="33">
        <f>26873+10510+5358</f>
        <v>42741</v>
      </c>
      <c r="D9" s="33">
        <v>2448.26</v>
      </c>
      <c r="E9" s="33">
        <v>63.64</v>
      </c>
      <c r="F9" s="33">
        <v>71.04</v>
      </c>
      <c r="G9" s="33">
        <v>3.83</v>
      </c>
      <c r="H9" s="33">
        <f>'09-10-15'!H9+D9+F9</f>
        <v>15044.5</v>
      </c>
      <c r="I9" s="33">
        <f>'09-10-15'!I9+E9+G9</f>
        <v>490.02</v>
      </c>
      <c r="J9" s="33">
        <f t="shared" si="1"/>
        <v>15534.52</v>
      </c>
      <c r="K9" s="33">
        <f t="shared" si="2"/>
        <v>27206.48</v>
      </c>
      <c r="L9" s="33">
        <f t="shared" si="0"/>
        <v>-22904.87483870967</v>
      </c>
      <c r="M9" s="45"/>
    </row>
    <row r="10" spans="1:13" s="44" customFormat="1" ht="11.25" customHeight="1">
      <c r="A10" s="31" t="s">
        <v>18</v>
      </c>
      <c r="B10" s="32">
        <v>55070400</v>
      </c>
      <c r="C10" s="33">
        <v>3000</v>
      </c>
      <c r="D10" s="33">
        <v>0</v>
      </c>
      <c r="E10" s="33">
        <v>0</v>
      </c>
      <c r="F10" s="33">
        <v>0</v>
      </c>
      <c r="G10" s="33">
        <v>0</v>
      </c>
      <c r="H10" s="33">
        <f>'09-10-15'!H10+D10+F10</f>
        <v>0</v>
      </c>
      <c r="I10" s="33">
        <f>'09-10-15'!I10+E10+G10</f>
        <v>0</v>
      </c>
      <c r="J10" s="33">
        <f t="shared" si="1"/>
        <v>0</v>
      </c>
      <c r="K10" s="33">
        <f t="shared" si="2"/>
        <v>3000</v>
      </c>
      <c r="L10" s="33">
        <f t="shared" si="0"/>
        <v>3000</v>
      </c>
      <c r="M10" s="45"/>
    </row>
    <row r="11" spans="1:13" s="44" customFormat="1" ht="11.25" customHeight="1">
      <c r="A11" s="31" t="s">
        <v>20</v>
      </c>
      <c r="B11" s="32">
        <v>55080100</v>
      </c>
      <c r="C11" s="33">
        <v>23173</v>
      </c>
      <c r="D11" s="33">
        <v>1008.58</v>
      </c>
      <c r="E11" s="33">
        <v>26.22</v>
      </c>
      <c r="F11" s="33">
        <v>185.02</v>
      </c>
      <c r="G11" s="33">
        <v>9.99</v>
      </c>
      <c r="H11" s="33">
        <f>'09-10-15'!H11+D11+F11</f>
        <v>6143.35</v>
      </c>
      <c r="I11" s="33">
        <f>'09-10-15'!I11+E11+G11</f>
        <v>188.27</v>
      </c>
      <c r="J11" s="33">
        <f>H11+I11</f>
        <v>6331.620000000001</v>
      </c>
      <c r="K11" s="33">
        <f>C11-J11</f>
        <v>16841.379999999997</v>
      </c>
      <c r="L11" s="33">
        <f t="shared" si="0"/>
        <v>-3583.2006451612942</v>
      </c>
      <c r="M11" s="45"/>
    </row>
    <row r="12" spans="1:14" ht="24.75" customHeight="1">
      <c r="A12" s="75" t="s">
        <v>36</v>
      </c>
      <c r="B12" s="76"/>
      <c r="C12" s="49">
        <f>SUM(C3:C11)</f>
        <v>201348</v>
      </c>
      <c r="D12" s="49">
        <f aca="true" t="shared" si="3" ref="D12:L12">SUM(D3:D11)</f>
        <v>7063.27</v>
      </c>
      <c r="E12" s="49">
        <f t="shared" si="3"/>
        <v>183.57000000000002</v>
      </c>
      <c r="F12" s="49">
        <f t="shared" si="3"/>
        <v>795.68</v>
      </c>
      <c r="G12" s="49">
        <f t="shared" si="3"/>
        <v>42.95</v>
      </c>
      <c r="H12" s="49">
        <f t="shared" si="3"/>
        <v>43272.18</v>
      </c>
      <c r="I12" s="49">
        <f t="shared" si="3"/>
        <v>1405.58</v>
      </c>
      <c r="J12" s="49">
        <f t="shared" si="3"/>
        <v>44677.76</v>
      </c>
      <c r="K12" s="49">
        <f t="shared" si="3"/>
        <v>156670.24000000002</v>
      </c>
      <c r="L12" s="49">
        <f t="shared" si="3"/>
        <v>12548.4335483871</v>
      </c>
      <c r="M12" s="38"/>
      <c r="N12" s="39"/>
    </row>
    <row r="13" spans="1:14" ht="11.25" customHeight="1">
      <c r="A13" s="28"/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s="44" customFormat="1" ht="11.25" customHeight="1">
      <c r="A15" s="31" t="s">
        <v>19</v>
      </c>
      <c r="B15" s="32">
        <v>55030100</v>
      </c>
      <c r="C15" s="33">
        <v>13540</v>
      </c>
      <c r="D15" s="33">
        <v>416.07</v>
      </c>
      <c r="E15" s="33">
        <v>10.81</v>
      </c>
      <c r="F15" s="33">
        <v>0</v>
      </c>
      <c r="G15" s="33">
        <v>0</v>
      </c>
      <c r="H15" s="33">
        <f>'09-10-15'!H15+D15+F15</f>
        <v>2049.6800000000003</v>
      </c>
      <c r="I15" s="33">
        <f>'09-10-15'!I15+E15+G15</f>
        <v>68.88</v>
      </c>
      <c r="J15" s="33">
        <f aca="true" t="shared" si="4" ref="J15:J22">H15+I15</f>
        <v>2118.5600000000004</v>
      </c>
      <c r="K15" s="33">
        <f aca="true" t="shared" si="5" ref="K15:K22">C15-J15</f>
        <v>11421.439999999999</v>
      </c>
      <c r="L15" s="33">
        <f>C15-(J15/6.2*26.2)</f>
        <v>4587.3754838709665</v>
      </c>
      <c r="M15" s="42"/>
      <c r="N15" s="43"/>
    </row>
    <row r="16" spans="1:14" s="44" customFormat="1" ht="11.25" customHeight="1">
      <c r="A16" s="31" t="s">
        <v>33</v>
      </c>
      <c r="B16" s="32">
        <v>55110100</v>
      </c>
      <c r="C16" s="33">
        <v>7073</v>
      </c>
      <c r="D16" s="33">
        <v>74.7</v>
      </c>
      <c r="E16" s="33">
        <v>1.94</v>
      </c>
      <c r="F16" s="33">
        <v>0</v>
      </c>
      <c r="G16" s="33">
        <v>0</v>
      </c>
      <c r="H16" s="33">
        <f>'09-10-15'!H16+D16+F16</f>
        <v>136.95</v>
      </c>
      <c r="I16" s="33">
        <f>'09-10-15'!I16+E16+G16</f>
        <v>3.55</v>
      </c>
      <c r="J16" s="33">
        <f t="shared" si="4"/>
        <v>140.5</v>
      </c>
      <c r="K16" s="33">
        <f t="shared" si="5"/>
        <v>6932.5</v>
      </c>
      <c r="L16" s="33">
        <f>C16-(J16/6.2*26.2)</f>
        <v>6479.274193548387</v>
      </c>
      <c r="M16" s="42"/>
      <c r="N16" s="43"/>
    </row>
    <row r="17" spans="1:14" s="44" customFormat="1" ht="11.25" customHeight="1">
      <c r="A17" s="31" t="s">
        <v>23</v>
      </c>
      <c r="B17" s="32">
        <v>55160100</v>
      </c>
      <c r="C17" s="33">
        <v>16062</v>
      </c>
      <c r="D17" s="33">
        <v>336.04</v>
      </c>
      <c r="E17" s="33">
        <v>8.73</v>
      </c>
      <c r="F17" s="33">
        <v>44.05</v>
      </c>
      <c r="G17" s="33">
        <v>2.37</v>
      </c>
      <c r="H17" s="33">
        <f>'09-10-15'!H17+D17+F17</f>
        <v>3407.56</v>
      </c>
      <c r="I17" s="33">
        <f>'09-10-15'!I17+E17+G17</f>
        <v>122.56</v>
      </c>
      <c r="J17" s="33">
        <f t="shared" si="4"/>
        <v>3530.12</v>
      </c>
      <c r="K17" s="33">
        <f t="shared" si="5"/>
        <v>12531.880000000001</v>
      </c>
      <c r="L17" s="33">
        <f>C17-(J17/6.2*26.2)</f>
        <v>1144.3961290322586</v>
      </c>
      <c r="M17" s="42"/>
      <c r="N17" s="60"/>
    </row>
    <row r="18" spans="1:14" ht="24.75" customHeight="1">
      <c r="A18" s="75" t="s">
        <v>37</v>
      </c>
      <c r="B18" s="76"/>
      <c r="C18" s="49">
        <f>SUM(C15:C17)</f>
        <v>36675</v>
      </c>
      <c r="D18" s="49">
        <f aca="true" t="shared" si="6" ref="D18:L18">SUM(D15:D17)</f>
        <v>826.81</v>
      </c>
      <c r="E18" s="49">
        <f t="shared" si="6"/>
        <v>21.48</v>
      </c>
      <c r="F18" s="49">
        <f t="shared" si="6"/>
        <v>44.05</v>
      </c>
      <c r="G18" s="49">
        <f t="shared" si="6"/>
        <v>2.37</v>
      </c>
      <c r="H18" s="49">
        <f t="shared" si="6"/>
        <v>5594.1900000000005</v>
      </c>
      <c r="I18" s="49">
        <f t="shared" si="6"/>
        <v>194.99</v>
      </c>
      <c r="J18" s="49">
        <f t="shared" si="6"/>
        <v>5789.18</v>
      </c>
      <c r="K18" s="49">
        <f t="shared" si="6"/>
        <v>30885.82</v>
      </c>
      <c r="L18" s="49">
        <f t="shared" si="6"/>
        <v>12211.045806451613</v>
      </c>
      <c r="M18" s="38"/>
      <c r="N18" s="41"/>
    </row>
    <row r="19" spans="1:14" ht="11.25" customHeight="1">
      <c r="A19" s="28"/>
      <c r="B19" s="28"/>
      <c r="C19" s="8"/>
      <c r="D19" s="8"/>
      <c r="E19" s="8"/>
      <c r="F19" s="8"/>
      <c r="G19" s="8"/>
      <c r="H19" s="8"/>
      <c r="I19" s="8"/>
      <c r="J19" s="8"/>
      <c r="K19" s="8"/>
      <c r="L19" s="8"/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s="44" customFormat="1" ht="11.25" customHeight="1">
      <c r="A21" s="31" t="s">
        <v>21</v>
      </c>
      <c r="B21" s="32">
        <v>55090100</v>
      </c>
      <c r="C21" s="33">
        <v>26923</v>
      </c>
      <c r="D21" s="33">
        <v>361.6</v>
      </c>
      <c r="E21" s="33">
        <v>9.4</v>
      </c>
      <c r="F21" s="33">
        <f>122.88+1925.12</f>
        <v>2048</v>
      </c>
      <c r="G21" s="33">
        <f>6.63+103.95</f>
        <v>110.58</v>
      </c>
      <c r="H21" s="33">
        <f>'09-10-15'!H21+D21+F21</f>
        <v>11698.66</v>
      </c>
      <c r="I21" s="33">
        <f>'09-10-15'!I21+E21+G21</f>
        <v>500.60999999999996</v>
      </c>
      <c r="J21" s="33">
        <f t="shared" si="4"/>
        <v>12199.27</v>
      </c>
      <c r="K21" s="33">
        <f t="shared" si="5"/>
        <v>14723.73</v>
      </c>
      <c r="L21" s="33">
        <f>C21-(J21/6.2*26.2)</f>
        <v>-24628.753870967746</v>
      </c>
      <c r="M21" s="42"/>
      <c r="N21" s="60"/>
    </row>
    <row r="22" spans="1:14" s="44" customFormat="1" ht="11.25" customHeight="1">
      <c r="A22" s="31" t="s">
        <v>22</v>
      </c>
      <c r="B22" s="32">
        <v>55100100</v>
      </c>
      <c r="C22" s="33">
        <v>2026</v>
      </c>
      <c r="D22" s="33">
        <v>0</v>
      </c>
      <c r="E22" s="33">
        <v>0</v>
      </c>
      <c r="F22" s="33">
        <v>0</v>
      </c>
      <c r="G22" s="33">
        <v>0</v>
      </c>
      <c r="H22" s="33">
        <f>'09-10-15'!H22+D22+F22</f>
        <v>0</v>
      </c>
      <c r="I22" s="33">
        <f>'09-10-15'!I22+E22+G22</f>
        <v>0</v>
      </c>
      <c r="J22" s="33">
        <f t="shared" si="4"/>
        <v>0</v>
      </c>
      <c r="K22" s="33">
        <f t="shared" si="5"/>
        <v>2026</v>
      </c>
      <c r="L22" s="33">
        <f>C22-(J22/6.2*26.2)</f>
        <v>2026</v>
      </c>
      <c r="M22" s="42"/>
      <c r="N22" s="60"/>
    </row>
    <row r="23" spans="1:14" ht="24.75" customHeight="1">
      <c r="A23" s="75" t="s">
        <v>38</v>
      </c>
      <c r="B23" s="76"/>
      <c r="C23" s="49">
        <f>SUM(C21:C22)</f>
        <v>28949</v>
      </c>
      <c r="D23" s="49">
        <f aca="true" t="shared" si="7" ref="D23:L23">SUM(D21:D22)</f>
        <v>361.6</v>
      </c>
      <c r="E23" s="49">
        <f t="shared" si="7"/>
        <v>9.4</v>
      </c>
      <c r="F23" s="49">
        <f t="shared" si="7"/>
        <v>2048</v>
      </c>
      <c r="G23" s="49">
        <f t="shared" si="7"/>
        <v>110.58</v>
      </c>
      <c r="H23" s="49">
        <f t="shared" si="7"/>
        <v>11698.66</v>
      </c>
      <c r="I23" s="49">
        <f t="shared" si="7"/>
        <v>500.60999999999996</v>
      </c>
      <c r="J23" s="49">
        <f t="shared" si="7"/>
        <v>12199.27</v>
      </c>
      <c r="K23" s="49">
        <f t="shared" si="7"/>
        <v>16749.73</v>
      </c>
      <c r="L23" s="49">
        <f t="shared" si="7"/>
        <v>-22602.753870967746</v>
      </c>
      <c r="M23" s="38"/>
      <c r="N23" s="41"/>
    </row>
    <row r="24" spans="1:14" ht="11.25" customHeight="1">
      <c r="A24" s="2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8"/>
      <c r="N24" s="39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3" s="44" customFormat="1" ht="11.25" customHeight="1">
      <c r="A26" s="31" t="s">
        <v>26</v>
      </c>
      <c r="B26" s="32">
        <v>55130100</v>
      </c>
      <c r="C26" s="33">
        <v>4523</v>
      </c>
      <c r="D26" s="33">
        <v>32.1</v>
      </c>
      <c r="E26" s="33">
        <v>0.83</v>
      </c>
      <c r="F26" s="33">
        <v>0</v>
      </c>
      <c r="G26" s="33">
        <v>0</v>
      </c>
      <c r="H26" s="33">
        <f>'09-10-15'!H26+D26+F26</f>
        <v>1168.44</v>
      </c>
      <c r="I26" s="33">
        <f>'09-10-15'!I26+E26+G26</f>
        <v>30.33</v>
      </c>
      <c r="J26" s="33">
        <f>H26+I26</f>
        <v>1198.77</v>
      </c>
      <c r="K26" s="33">
        <f>C26-J26</f>
        <v>3324.23</v>
      </c>
      <c r="L26" s="33">
        <f>C26-(J26/6.2*26.2)</f>
        <v>-542.7699999999995</v>
      </c>
      <c r="M26" s="45"/>
    </row>
    <row r="27" spans="1:13" s="44" customFormat="1" ht="11.25" customHeight="1">
      <c r="A27" s="31" t="s">
        <v>30</v>
      </c>
      <c r="B27" s="32">
        <v>55140100</v>
      </c>
      <c r="C27" s="33">
        <v>2995</v>
      </c>
      <c r="D27" s="33">
        <v>0</v>
      </c>
      <c r="E27" s="33">
        <v>0</v>
      </c>
      <c r="F27" s="33">
        <v>136.96</v>
      </c>
      <c r="G27" s="33">
        <v>7.39</v>
      </c>
      <c r="H27" s="33">
        <f>'09-10-15'!H27+D27+F27</f>
        <v>924.48</v>
      </c>
      <c r="I27" s="33">
        <f>'09-10-15'!I27+E27+G27</f>
        <v>49.87</v>
      </c>
      <c r="J27" s="33">
        <f>H27+I27</f>
        <v>974.35</v>
      </c>
      <c r="K27" s="33">
        <f>C27-J27</f>
        <v>2020.65</v>
      </c>
      <c r="L27" s="33">
        <f>C27-(J27/6.2*26.2)</f>
        <v>-1122.4145161290326</v>
      </c>
      <c r="M27" s="45"/>
    </row>
    <row r="28" spans="1:14" s="44" customFormat="1" ht="24.75" customHeight="1">
      <c r="A28" s="75" t="s">
        <v>39</v>
      </c>
      <c r="B28" s="76"/>
      <c r="C28" s="49">
        <f aca="true" t="shared" si="8" ref="C28:L28">SUM(C26:C27)</f>
        <v>7518</v>
      </c>
      <c r="D28" s="49">
        <f t="shared" si="8"/>
        <v>32.1</v>
      </c>
      <c r="E28" s="49">
        <f t="shared" si="8"/>
        <v>0.83</v>
      </c>
      <c r="F28" s="49">
        <f t="shared" si="8"/>
        <v>136.96</v>
      </c>
      <c r="G28" s="49">
        <f t="shared" si="8"/>
        <v>7.39</v>
      </c>
      <c r="H28" s="49">
        <f t="shared" si="8"/>
        <v>2092.92</v>
      </c>
      <c r="I28" s="49">
        <f t="shared" si="8"/>
        <v>80.19999999999999</v>
      </c>
      <c r="J28" s="49">
        <f t="shared" si="8"/>
        <v>2173.12</v>
      </c>
      <c r="K28" s="49">
        <f t="shared" si="8"/>
        <v>5344.88</v>
      </c>
      <c r="L28" s="49">
        <f t="shared" si="8"/>
        <v>-1665.184516129032</v>
      </c>
      <c r="M28" s="42"/>
      <c r="N28" s="43"/>
    </row>
    <row r="29" spans="1:14" ht="11.25" customHeight="1">
      <c r="A29" s="2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8"/>
      <c r="N29" s="39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s="44" customFormat="1" ht="11.25" customHeight="1">
      <c r="A31" s="31" t="s">
        <v>34</v>
      </c>
      <c r="B31" s="32">
        <v>55010000</v>
      </c>
      <c r="C31" s="33">
        <f>24725-15347</f>
        <v>9378</v>
      </c>
      <c r="D31" s="33">
        <v>0</v>
      </c>
      <c r="E31" s="33">
        <v>0</v>
      </c>
      <c r="F31" s="33">
        <v>0</v>
      </c>
      <c r="G31" s="33">
        <v>0</v>
      </c>
      <c r="H31" s="33">
        <f>'09-10-15'!H31+D31+F31</f>
        <v>0</v>
      </c>
      <c r="I31" s="33">
        <f>'09-10-15'!I31+E31+G31</f>
        <v>0</v>
      </c>
      <c r="J31" s="33">
        <f>H31+I31</f>
        <v>0</v>
      </c>
      <c r="K31" s="33">
        <f>C31-J31</f>
        <v>9378</v>
      </c>
      <c r="L31" s="33">
        <f>C31-(J31/6.2*26.2)</f>
        <v>9378</v>
      </c>
      <c r="M31" s="42"/>
      <c r="N31" s="43"/>
    </row>
    <row r="32" spans="1:13" s="44" customFormat="1" ht="11.25" customHeight="1">
      <c r="A32" s="31" t="s">
        <v>31</v>
      </c>
      <c r="B32" s="32">
        <v>55080500</v>
      </c>
      <c r="C32" s="33">
        <v>10000</v>
      </c>
      <c r="D32" s="33">
        <v>0</v>
      </c>
      <c r="E32" s="33">
        <v>0</v>
      </c>
      <c r="F32" s="33">
        <v>0</v>
      </c>
      <c r="G32" s="33">
        <v>0</v>
      </c>
      <c r="H32" s="33">
        <f>'09-10-15'!H32+D32+F32</f>
        <v>129.6</v>
      </c>
      <c r="I32" s="33">
        <f>'09-10-15'!I32+E32+G32</f>
        <v>6.99</v>
      </c>
      <c r="J32" s="33">
        <f>H32+I32</f>
        <v>136.59</v>
      </c>
      <c r="K32" s="33">
        <f>C32-J32</f>
        <v>9863.41</v>
      </c>
      <c r="L32" s="33">
        <f>C32-(J32/6.2*26.2)</f>
        <v>9422.797096774193</v>
      </c>
      <c r="M32" s="45"/>
    </row>
    <row r="33" spans="1:13" s="44" customFormat="1" ht="11.25" customHeight="1">
      <c r="A33" s="31" t="s">
        <v>32</v>
      </c>
      <c r="B33" s="32">
        <v>55050300</v>
      </c>
      <c r="C33" s="33">
        <v>15347</v>
      </c>
      <c r="D33" s="33">
        <v>0</v>
      </c>
      <c r="E33" s="33">
        <v>0</v>
      </c>
      <c r="F33" s="33">
        <v>1120</v>
      </c>
      <c r="G33" s="33">
        <v>60.48</v>
      </c>
      <c r="H33" s="33">
        <f>'09-10-15'!H33+D33+F33</f>
        <v>4543</v>
      </c>
      <c r="I33" s="33">
        <f>'09-10-15'!I33+E33+G33</f>
        <v>245.29999999999998</v>
      </c>
      <c r="J33" s="33">
        <f>H33+I33</f>
        <v>4788.3</v>
      </c>
      <c r="K33" s="33">
        <f>C33-J33</f>
        <v>10558.7</v>
      </c>
      <c r="L33" s="33">
        <f>C33-(J33/6.2*26.2)</f>
        <v>-4887.429032258067</v>
      </c>
      <c r="M33" s="45"/>
    </row>
    <row r="34" spans="1:13" s="44" customFormat="1" ht="11.25" customHeight="1">
      <c r="A34" s="31" t="s">
        <v>43</v>
      </c>
      <c r="B34" s="32">
        <v>55160300</v>
      </c>
      <c r="C34" s="33">
        <v>43385.81</v>
      </c>
      <c r="D34" s="33">
        <v>0</v>
      </c>
      <c r="E34" s="33">
        <v>0</v>
      </c>
      <c r="F34" s="33">
        <v>3154.25</v>
      </c>
      <c r="G34" s="33">
        <v>170.32</v>
      </c>
      <c r="H34" s="33">
        <f>'09-10-15'!H34+D34+F34</f>
        <v>19556.370000000003</v>
      </c>
      <c r="I34" s="33">
        <f>'09-10-15'!I34+E34+G34</f>
        <v>1055.9899999999998</v>
      </c>
      <c r="J34" s="33">
        <f>H34+I34</f>
        <v>20612.36</v>
      </c>
      <c r="K34" s="33">
        <f>C34-J34</f>
        <v>22773.449999999997</v>
      </c>
      <c r="L34" s="33">
        <f>C34-(J34/6.2*26.2)</f>
        <v>-43718.033870967745</v>
      </c>
      <c r="M34" s="45"/>
    </row>
    <row r="35" spans="1:13" s="44" customFormat="1" ht="11.25" customHeight="1">
      <c r="A35" s="31" t="s">
        <v>24</v>
      </c>
      <c r="B35" s="32" t="s">
        <v>25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f>'09-10-15'!H35+D35+F35</f>
        <v>0</v>
      </c>
      <c r="I35" s="33">
        <f>'09-10-15'!I35+E35+G35</f>
        <v>0</v>
      </c>
      <c r="J35" s="33">
        <f>H35+I35</f>
        <v>0</v>
      </c>
      <c r="K35" s="33">
        <f>C35-J35</f>
        <v>0</v>
      </c>
      <c r="L35" s="33">
        <f>C35-(J35/6.2*26.2)</f>
        <v>0</v>
      </c>
      <c r="M35" s="45"/>
    </row>
    <row r="36" spans="1:14" ht="24.75" customHeight="1">
      <c r="A36" s="75" t="s">
        <v>40</v>
      </c>
      <c r="B36" s="76"/>
      <c r="C36" s="49">
        <f>SUM(C31:C35)</f>
        <v>78110.81</v>
      </c>
      <c r="D36" s="49">
        <f aca="true" t="shared" si="9" ref="D36:L36">SUM(D31:D35)</f>
        <v>0</v>
      </c>
      <c r="E36" s="49">
        <f t="shared" si="9"/>
        <v>0</v>
      </c>
      <c r="F36" s="49">
        <f t="shared" si="9"/>
        <v>4274.25</v>
      </c>
      <c r="G36" s="49">
        <f t="shared" si="9"/>
        <v>230.79999999999998</v>
      </c>
      <c r="H36" s="49">
        <f t="shared" si="9"/>
        <v>24228.97</v>
      </c>
      <c r="I36" s="49">
        <f t="shared" si="9"/>
        <v>1308.2799999999997</v>
      </c>
      <c r="J36" s="49">
        <f t="shared" si="9"/>
        <v>25537.25</v>
      </c>
      <c r="K36" s="49">
        <f t="shared" si="9"/>
        <v>52573.56</v>
      </c>
      <c r="L36" s="49">
        <f t="shared" si="9"/>
        <v>-29804.66580645162</v>
      </c>
      <c r="M36" s="38"/>
      <c r="N36" s="39"/>
    </row>
    <row r="37" spans="1:14" ht="11.25" customHeight="1">
      <c r="A37" s="28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8"/>
      <c r="N37" s="39"/>
    </row>
    <row r="38" spans="1:14" ht="11.25" customHeight="1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8"/>
      <c r="N38" s="39"/>
    </row>
    <row r="39" spans="1:14" ht="24.75" customHeight="1">
      <c r="A39" s="76" t="s">
        <v>42</v>
      </c>
      <c r="B39" s="76"/>
      <c r="C39" s="49">
        <f>C12+C18+C23+C28+C36</f>
        <v>352600.81</v>
      </c>
      <c r="D39" s="49">
        <f aca="true" t="shared" si="10" ref="D39:L39">D12+D18+D23+D28+D36</f>
        <v>8283.78</v>
      </c>
      <c r="E39" s="49">
        <f t="shared" si="10"/>
        <v>215.28000000000003</v>
      </c>
      <c r="F39" s="49">
        <f t="shared" si="10"/>
        <v>7298.9400000000005</v>
      </c>
      <c r="G39" s="49">
        <f t="shared" si="10"/>
        <v>394.09</v>
      </c>
      <c r="H39" s="49">
        <f t="shared" si="10"/>
        <v>86886.92</v>
      </c>
      <c r="I39" s="49">
        <f t="shared" si="10"/>
        <v>3489.6599999999994</v>
      </c>
      <c r="J39" s="49">
        <f t="shared" si="10"/>
        <v>90376.58000000002</v>
      </c>
      <c r="K39" s="49">
        <f t="shared" si="10"/>
        <v>262224.23000000004</v>
      </c>
      <c r="L39" s="49">
        <f t="shared" si="10"/>
        <v>-29313.124838709686</v>
      </c>
      <c r="M39" s="38"/>
      <c r="N39" s="39"/>
    </row>
    <row r="40" spans="1:14" ht="11.25" customHeight="1">
      <c r="A40" s="54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38"/>
      <c r="N40" s="39"/>
    </row>
    <row r="41" spans="1:14" ht="11.25" customHeight="1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38"/>
      <c r="N41" s="39"/>
    </row>
    <row r="42" spans="1:14" s="44" customFormat="1" ht="12" customHeight="1">
      <c r="A42" s="31" t="s">
        <v>27</v>
      </c>
      <c r="B42" s="31" t="s">
        <v>28</v>
      </c>
      <c r="C42" s="33">
        <v>61829</v>
      </c>
      <c r="D42" s="33">
        <v>1688.19</v>
      </c>
      <c r="E42" s="33">
        <v>43.89</v>
      </c>
      <c r="F42" s="33">
        <v>0</v>
      </c>
      <c r="G42" s="33">
        <v>0</v>
      </c>
      <c r="H42" s="33">
        <f>'09-10-15'!H42+D42+F42</f>
        <v>17767.519999999997</v>
      </c>
      <c r="I42" s="33">
        <f>'09-10-15'!I42+E42+G42</f>
        <v>637.75</v>
      </c>
      <c r="J42" s="33">
        <f>H42+I42</f>
        <v>18405.269999999997</v>
      </c>
      <c r="K42" s="33">
        <f>C42-J42</f>
        <v>43423.73</v>
      </c>
      <c r="L42" s="33">
        <f>C42-(J42/6.2*26.2)</f>
        <v>-15948.108709677399</v>
      </c>
      <c r="M42" s="42"/>
      <c r="N42" s="43"/>
    </row>
    <row r="43" spans="1:14" ht="12" customHeight="1">
      <c r="A43" s="6"/>
      <c r="B43" s="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38"/>
      <c r="N43" s="39"/>
    </row>
    <row r="44" spans="1:14" ht="12" customHeight="1">
      <c r="A44" s="6" t="s">
        <v>29</v>
      </c>
      <c r="B44" s="6" t="s">
        <v>35</v>
      </c>
      <c r="C44" s="27">
        <v>15000</v>
      </c>
      <c r="D44" s="27">
        <v>0</v>
      </c>
      <c r="E44" s="27">
        <v>0</v>
      </c>
      <c r="F44" s="27">
        <v>673.2</v>
      </c>
      <c r="G44" s="27">
        <v>36.35</v>
      </c>
      <c r="H44" s="27">
        <f>'09-10-15'!H44+D44+F44</f>
        <v>3760.7299999999996</v>
      </c>
      <c r="I44" s="27">
        <f>'09-10-15'!I44+E44+G44</f>
        <v>203.04</v>
      </c>
      <c r="J44" s="27">
        <f>H44+I44</f>
        <v>3963.7699999999995</v>
      </c>
      <c r="K44" s="27">
        <f>C44-J44</f>
        <v>11036.23</v>
      </c>
      <c r="L44" s="27">
        <f>C44-(J44/6.2*26.2)</f>
        <v>-1750.1248387096748</v>
      </c>
      <c r="M44" s="38"/>
      <c r="N44" s="39"/>
    </row>
    <row r="45" spans="1:14" ht="12" customHeight="1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38"/>
      <c r="N45" s="39"/>
    </row>
    <row r="46" spans="1:14" ht="12" customHeight="1">
      <c r="A46" s="50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38"/>
      <c r="N46" s="39"/>
    </row>
    <row r="47" spans="1:14" ht="24.75" customHeight="1">
      <c r="A47" s="51" t="s">
        <v>41</v>
      </c>
      <c r="B47" s="52"/>
      <c r="C47" s="53">
        <f>C42+C44</f>
        <v>76829</v>
      </c>
      <c r="D47" s="53">
        <f aca="true" t="shared" si="11" ref="D47:L47">D42+D44</f>
        <v>1688.19</v>
      </c>
      <c r="E47" s="53">
        <f t="shared" si="11"/>
        <v>43.89</v>
      </c>
      <c r="F47" s="53">
        <f t="shared" si="11"/>
        <v>673.2</v>
      </c>
      <c r="G47" s="53">
        <f t="shared" si="11"/>
        <v>36.35</v>
      </c>
      <c r="H47" s="53">
        <f t="shared" si="11"/>
        <v>21528.249999999996</v>
      </c>
      <c r="I47" s="53">
        <f t="shared" si="11"/>
        <v>840.79</v>
      </c>
      <c r="J47" s="53">
        <f t="shared" si="11"/>
        <v>22369.039999999997</v>
      </c>
      <c r="K47" s="53">
        <f t="shared" si="11"/>
        <v>54459.96000000001</v>
      </c>
      <c r="L47" s="53">
        <f t="shared" si="11"/>
        <v>-17698.233548387074</v>
      </c>
      <c r="M47" s="38"/>
      <c r="N47" s="12"/>
    </row>
    <row r="48" spans="1:14" ht="24" customHeight="1">
      <c r="A48" s="9"/>
      <c r="B48" s="10"/>
      <c r="C48" s="11"/>
      <c r="H48" s="11"/>
      <c r="I48" s="11"/>
      <c r="J48" s="11"/>
      <c r="K48" s="11"/>
      <c r="L48" s="11"/>
      <c r="M48" s="38"/>
      <c r="N48" s="12"/>
    </row>
    <row r="49" spans="1:14" ht="33.75">
      <c r="A49" s="57" t="s">
        <v>44</v>
      </c>
      <c r="B49" s="58">
        <v>43385.81</v>
      </c>
      <c r="C49" s="13"/>
      <c r="D49" s="13"/>
      <c r="E49" s="13"/>
      <c r="F49" s="13"/>
      <c r="G49" s="13"/>
      <c r="H49" s="46"/>
      <c r="I49" s="46"/>
      <c r="J49" s="46"/>
      <c r="K49" s="46"/>
      <c r="L49" s="46"/>
      <c r="M49" s="38"/>
      <c r="N49" s="12"/>
    </row>
    <row r="50" spans="1:14" ht="33.75">
      <c r="A50" s="9" t="s">
        <v>45</v>
      </c>
      <c r="B50" s="58">
        <v>10000</v>
      </c>
      <c r="C50" s="16"/>
      <c r="D50" s="11"/>
      <c r="E50" s="11"/>
      <c r="F50" s="11"/>
      <c r="G50" s="11"/>
      <c r="H50" s="11"/>
      <c r="I50" s="2"/>
      <c r="J50" s="11"/>
      <c r="K50" s="11"/>
      <c r="L50" s="11"/>
      <c r="M50" s="38"/>
      <c r="N50" s="12"/>
    </row>
    <row r="51" spans="1:14" ht="22.5">
      <c r="A51" s="14" t="s">
        <v>46</v>
      </c>
      <c r="B51" s="58">
        <v>15347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8"/>
      <c r="N51" s="12"/>
    </row>
    <row r="52" spans="1:14" ht="15" customHeight="1">
      <c r="A52" s="14"/>
      <c r="B52" s="1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8"/>
      <c r="N52" s="17"/>
    </row>
    <row r="53" spans="1:14" ht="15">
      <c r="A53" s="14"/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2"/>
    </row>
    <row r="54" spans="1:14" ht="22.5" customHeight="1">
      <c r="A54" s="14"/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2"/>
    </row>
    <row r="55" spans="1:14" ht="15">
      <c r="A55" s="18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N55" s="12"/>
    </row>
    <row r="56" spans="1:14" ht="15" customHeight="1">
      <c r="A56" s="18"/>
      <c r="B56" s="10"/>
      <c r="C56" s="21"/>
      <c r="D56" s="21"/>
      <c r="E56" s="21"/>
      <c r="F56" s="21"/>
      <c r="G56" s="21"/>
      <c r="H56" s="21"/>
      <c r="I56" s="21"/>
      <c r="J56" s="21"/>
      <c r="K56" s="21"/>
      <c r="L56" s="21"/>
      <c r="N56" s="12"/>
    </row>
    <row r="57" spans="1:14" ht="15" customHeight="1">
      <c r="A57" s="19"/>
      <c r="B57" s="10"/>
      <c r="C57" s="21"/>
      <c r="D57" s="21"/>
      <c r="E57" s="21"/>
      <c r="F57" s="21"/>
      <c r="G57" s="21"/>
      <c r="H57" s="21"/>
      <c r="I57" s="21"/>
      <c r="J57" s="21"/>
      <c r="K57" s="21"/>
      <c r="L57" s="21"/>
      <c r="N57" s="12"/>
    </row>
    <row r="58" spans="1:14" ht="15">
      <c r="A58" s="19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>
      <c r="A59" s="18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8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25.5" customHeight="1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15" customHeight="1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 customHeight="1">
      <c r="A63" s="20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47"/>
      <c r="N63" s="12"/>
    </row>
    <row r="64" spans="1:14" ht="15" customHeight="1">
      <c r="A64" s="22"/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47"/>
      <c r="N64" s="24"/>
    </row>
    <row r="65" spans="1:14" ht="11.25" customHeight="1">
      <c r="A65" s="23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24"/>
    </row>
    <row r="66" spans="1:14" ht="11.25" customHeight="1">
      <c r="A66" s="25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2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2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N71" s="24"/>
    </row>
    <row r="72" spans="1:13" ht="15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36"/>
    </row>
    <row r="73" spans="1:13" ht="15">
      <c r="A73" s="2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36"/>
    </row>
    <row r="74" spans="1:12" ht="15">
      <c r="A74" s="22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">
      <c r="A75" s="24"/>
      <c r="B75" s="24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5">
      <c r="A76" s="24"/>
      <c r="B76" s="24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4" s="35" customFormat="1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  <c r="N80" s="36"/>
    </row>
    <row r="81" spans="1:12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</row>
  </sheetData>
  <sheetProtection/>
  <mergeCells count="6">
    <mergeCell ref="A12:B12"/>
    <mergeCell ref="A18:B18"/>
    <mergeCell ref="A23:B23"/>
    <mergeCell ref="A28:B28"/>
    <mergeCell ref="A36:B36"/>
    <mergeCell ref="A39:B3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L4" sqref="L4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7.5742187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s="44" customFormat="1" ht="11.25" customHeight="1">
      <c r="A3" s="31" t="s">
        <v>11</v>
      </c>
      <c r="B3" s="32">
        <v>55010500</v>
      </c>
      <c r="C3" s="33">
        <v>9670</v>
      </c>
      <c r="D3" s="33">
        <v>0</v>
      </c>
      <c r="E3" s="33">
        <v>0</v>
      </c>
      <c r="F3" s="33">
        <v>0</v>
      </c>
      <c r="G3" s="33">
        <v>0</v>
      </c>
      <c r="H3" s="33">
        <f>'09-24-15'!H3+D3+F3</f>
        <v>604.8</v>
      </c>
      <c r="I3" s="33">
        <f>'09-24-15'!I3+E3+G3</f>
        <v>32.629999999999995</v>
      </c>
      <c r="J3" s="33">
        <f>H3+I3</f>
        <v>637.43</v>
      </c>
      <c r="K3" s="33">
        <f>C3-J3</f>
        <v>9032.57</v>
      </c>
      <c r="L3" s="33">
        <f>C3-(J3/7.2*26.2)</f>
        <v>7350.463055555556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v>32649</v>
      </c>
      <c r="D4" s="33">
        <v>525.38</v>
      </c>
      <c r="E4" s="33">
        <v>13.65</v>
      </c>
      <c r="F4" s="33">
        <v>270.3</v>
      </c>
      <c r="G4" s="33">
        <v>14.58</v>
      </c>
      <c r="H4" s="33">
        <f>'09-24-15'!H4+D4+F4</f>
        <v>3925.78</v>
      </c>
      <c r="I4" s="33">
        <f>'09-24-15'!I4+E4+G4</f>
        <v>154.92000000000002</v>
      </c>
      <c r="J4" s="33">
        <f>H4+I4</f>
        <v>4080.7000000000003</v>
      </c>
      <c r="K4" s="33">
        <f>C4-J4</f>
        <v>28568.3</v>
      </c>
      <c r="L4" s="33">
        <f aca="true" t="shared" si="0" ref="L4:L11">C4-(J4/7.2*26.2)</f>
        <v>17799.786111111112</v>
      </c>
      <c r="M4" s="45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457.61</v>
      </c>
      <c r="E5" s="33">
        <v>11.88</v>
      </c>
      <c r="F5" s="33">
        <v>0</v>
      </c>
      <c r="G5" s="33">
        <v>0</v>
      </c>
      <c r="H5" s="33">
        <f>'09-24-15'!H5+D5+F5</f>
        <v>3990.42</v>
      </c>
      <c r="I5" s="33">
        <f>'09-24-15'!I5+E5+G5</f>
        <v>103.68</v>
      </c>
      <c r="J5" s="33">
        <f aca="true" t="shared" si="1" ref="J5:J10">H5+I5</f>
        <v>4094.1</v>
      </c>
      <c r="K5" s="33">
        <f aca="true" t="shared" si="2" ref="K5:K10">C5-J5</f>
        <v>13879.9</v>
      </c>
      <c r="L5" s="33">
        <f t="shared" si="0"/>
        <v>3076.0249999999996</v>
      </c>
      <c r="M5" s="45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621.46</v>
      </c>
      <c r="E6" s="33">
        <v>16.13</v>
      </c>
      <c r="F6" s="33">
        <v>0</v>
      </c>
      <c r="G6" s="33">
        <v>0</v>
      </c>
      <c r="H6" s="33">
        <f>'09-24-15'!H6+D6+F6</f>
        <v>2737.9900000000002</v>
      </c>
      <c r="I6" s="33">
        <f>'09-24-15'!I6+E6+G6</f>
        <v>71.11</v>
      </c>
      <c r="J6" s="33">
        <f>H6+I6</f>
        <v>2809.1000000000004</v>
      </c>
      <c r="K6" s="33">
        <f t="shared" si="2"/>
        <v>15164.9</v>
      </c>
      <c r="L6" s="33">
        <f t="shared" si="0"/>
        <v>7751.99722222222</v>
      </c>
      <c r="M6" s="45"/>
      <c r="N6" s="61"/>
    </row>
    <row r="7" spans="1:13" s="44" customFormat="1" ht="11.25" customHeight="1">
      <c r="A7" s="31" t="s">
        <v>15</v>
      </c>
      <c r="B7" s="32">
        <v>55030200</v>
      </c>
      <c r="C7" s="33">
        <v>24330</v>
      </c>
      <c r="D7" s="33">
        <f>(-356.82)+(697.75)</f>
        <v>340.93</v>
      </c>
      <c r="E7" s="33">
        <f>(-9.27)+(18.13)</f>
        <v>8.86</v>
      </c>
      <c r="F7" s="33">
        <v>0</v>
      </c>
      <c r="G7" s="33">
        <v>0</v>
      </c>
      <c r="H7" s="33">
        <f>'09-24-15'!H7+D7+F7</f>
        <v>6138.23</v>
      </c>
      <c r="I7" s="33">
        <f>'09-24-15'!I7+E7+G7</f>
        <v>159.53000000000003</v>
      </c>
      <c r="J7" s="33">
        <f t="shared" si="1"/>
        <v>6297.759999999999</v>
      </c>
      <c r="K7" s="33">
        <f t="shared" si="2"/>
        <v>18032.24</v>
      </c>
      <c r="L7" s="33">
        <f t="shared" si="0"/>
        <v>1413.151111111114</v>
      </c>
      <c r="M7" s="45"/>
    </row>
    <row r="8" spans="1:13" s="44" customFormat="1" ht="11.25" customHeight="1">
      <c r="A8" s="31" t="s">
        <v>16</v>
      </c>
      <c r="B8" s="32">
        <v>55050200</v>
      </c>
      <c r="C8" s="33">
        <v>29837</v>
      </c>
      <c r="D8" s="33">
        <v>1041.96</v>
      </c>
      <c r="E8" s="33">
        <v>27.08</v>
      </c>
      <c r="F8" s="33">
        <v>285.89</v>
      </c>
      <c r="G8" s="33">
        <v>15.43</v>
      </c>
      <c r="H8" s="33">
        <f>'09-24-15'!H8+D8+F8</f>
        <v>8230.640000000001</v>
      </c>
      <c r="I8" s="33">
        <f>'09-24-15'!I8+E8+G8</f>
        <v>313.03</v>
      </c>
      <c r="J8" s="33">
        <f t="shared" si="1"/>
        <v>8543.670000000002</v>
      </c>
      <c r="K8" s="33">
        <f t="shared" si="2"/>
        <v>21293.329999999998</v>
      </c>
      <c r="L8" s="33">
        <f t="shared" si="0"/>
        <v>-1252.465833333339</v>
      </c>
      <c r="M8" s="45"/>
    </row>
    <row r="9" spans="1:13" s="44" customFormat="1" ht="11.25" customHeight="1">
      <c r="A9" s="31" t="s">
        <v>17</v>
      </c>
      <c r="B9" s="32">
        <v>55070100</v>
      </c>
      <c r="C9" s="33">
        <f>26873+10510+5358</f>
        <v>42741</v>
      </c>
      <c r="D9" s="33">
        <f>(-282.48)+(1576.04)</f>
        <v>1293.56</v>
      </c>
      <c r="E9" s="33">
        <f>(-7.34)+(40.96)</f>
        <v>33.620000000000005</v>
      </c>
      <c r="F9" s="33">
        <v>339.64</v>
      </c>
      <c r="G9" s="33">
        <v>18.33</v>
      </c>
      <c r="H9" s="33">
        <f>'09-24-15'!H9+D9+F9</f>
        <v>16677.7</v>
      </c>
      <c r="I9" s="33">
        <f>'09-24-15'!I9+E9+G9</f>
        <v>541.97</v>
      </c>
      <c r="J9" s="33">
        <f t="shared" si="1"/>
        <v>17219.670000000002</v>
      </c>
      <c r="K9" s="33">
        <f t="shared" si="2"/>
        <v>25521.329999999998</v>
      </c>
      <c r="L9" s="33">
        <f t="shared" si="0"/>
        <v>-19919.465833333335</v>
      </c>
      <c r="M9" s="45"/>
    </row>
    <row r="10" spans="1:13" s="44" customFormat="1" ht="11.25" customHeight="1">
      <c r="A10" s="31" t="s">
        <v>18</v>
      </c>
      <c r="B10" s="32">
        <v>55070400</v>
      </c>
      <c r="C10" s="33">
        <v>3000</v>
      </c>
      <c r="D10" s="33">
        <v>0</v>
      </c>
      <c r="E10" s="33">
        <v>0</v>
      </c>
      <c r="F10" s="33">
        <v>0</v>
      </c>
      <c r="G10" s="33">
        <v>0</v>
      </c>
      <c r="H10" s="33">
        <f>'09-24-15'!H10+D10+F10</f>
        <v>0</v>
      </c>
      <c r="I10" s="33">
        <f>'09-24-15'!I10+E10+G10</f>
        <v>0</v>
      </c>
      <c r="J10" s="33">
        <f t="shared" si="1"/>
        <v>0</v>
      </c>
      <c r="K10" s="33">
        <f t="shared" si="2"/>
        <v>3000</v>
      </c>
      <c r="L10" s="33">
        <f t="shared" si="0"/>
        <v>3000</v>
      </c>
      <c r="M10" s="45"/>
    </row>
    <row r="11" spans="1:13" s="44" customFormat="1" ht="11.25" customHeight="1">
      <c r="A11" s="31" t="s">
        <v>20</v>
      </c>
      <c r="B11" s="32">
        <v>55080100</v>
      </c>
      <c r="C11" s="33">
        <v>23173</v>
      </c>
      <c r="D11" s="33">
        <v>1031.69</v>
      </c>
      <c r="E11" s="33">
        <v>26.82</v>
      </c>
      <c r="F11" s="33">
        <v>185.02</v>
      </c>
      <c r="G11" s="33">
        <v>9.98</v>
      </c>
      <c r="H11" s="33">
        <f>'09-24-15'!H11+D11+F11</f>
        <v>7360.060000000001</v>
      </c>
      <c r="I11" s="33">
        <f>'09-24-15'!I11+E11+G11</f>
        <v>225.07</v>
      </c>
      <c r="J11" s="33">
        <f>H11+I11</f>
        <v>7585.130000000001</v>
      </c>
      <c r="K11" s="33">
        <f>C11-J11</f>
        <v>15587.869999999999</v>
      </c>
      <c r="L11" s="33">
        <f t="shared" si="0"/>
        <v>-4428.445277777781</v>
      </c>
      <c r="M11" s="45"/>
    </row>
    <row r="12" spans="1:14" ht="24.75" customHeight="1">
      <c r="A12" s="75" t="s">
        <v>36</v>
      </c>
      <c r="B12" s="76"/>
      <c r="C12" s="49">
        <f>SUM(C3:C11)</f>
        <v>201348</v>
      </c>
      <c r="D12" s="49">
        <f aca="true" t="shared" si="3" ref="D12:L12">SUM(D3:D11)</f>
        <v>5312.59</v>
      </c>
      <c r="E12" s="49">
        <f t="shared" si="3"/>
        <v>138.04</v>
      </c>
      <c r="F12" s="49">
        <f t="shared" si="3"/>
        <v>1080.8500000000001</v>
      </c>
      <c r="G12" s="49">
        <f t="shared" si="3"/>
        <v>58.31999999999999</v>
      </c>
      <c r="H12" s="49">
        <f t="shared" si="3"/>
        <v>49665.619999999995</v>
      </c>
      <c r="I12" s="49">
        <f t="shared" si="3"/>
        <v>1601.94</v>
      </c>
      <c r="J12" s="49">
        <f t="shared" si="3"/>
        <v>51267.56000000001</v>
      </c>
      <c r="K12" s="49">
        <f t="shared" si="3"/>
        <v>150080.44</v>
      </c>
      <c r="L12" s="49">
        <f t="shared" si="3"/>
        <v>14791.045555555549</v>
      </c>
      <c r="M12" s="38"/>
      <c r="N12" s="39"/>
    </row>
    <row r="13" spans="1:14" ht="11.25" customHeight="1">
      <c r="A13" s="28"/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s="44" customFormat="1" ht="11.25" customHeight="1">
      <c r="A15" s="31" t="s">
        <v>19</v>
      </c>
      <c r="B15" s="32">
        <v>55030100</v>
      </c>
      <c r="C15" s="33">
        <v>13540</v>
      </c>
      <c r="D15" s="33">
        <v>370.02</v>
      </c>
      <c r="E15" s="33">
        <v>9.61</v>
      </c>
      <c r="F15" s="33">
        <v>0</v>
      </c>
      <c r="G15" s="33">
        <v>0</v>
      </c>
      <c r="H15" s="33">
        <f>'09-24-15'!H15+D15+F15</f>
        <v>2419.7000000000003</v>
      </c>
      <c r="I15" s="33">
        <f>'09-24-15'!I15+E15+G15</f>
        <v>78.49</v>
      </c>
      <c r="J15" s="33">
        <f aca="true" t="shared" si="4" ref="J15:J22">H15+I15</f>
        <v>2498.19</v>
      </c>
      <c r="K15" s="33">
        <f aca="true" t="shared" si="5" ref="K15:K22">C15-J15</f>
        <v>11041.81</v>
      </c>
      <c r="L15" s="33">
        <f>C15-(J15/7.2*26.2)</f>
        <v>4449.364166666666</v>
      </c>
      <c r="M15" s="42"/>
      <c r="N15" s="43"/>
    </row>
    <row r="16" spans="1:14" s="44" customFormat="1" ht="11.25" customHeight="1">
      <c r="A16" s="31" t="s">
        <v>33</v>
      </c>
      <c r="B16" s="32">
        <v>55110100</v>
      </c>
      <c r="C16" s="33">
        <v>7073</v>
      </c>
      <c r="D16" s="33">
        <v>70.03</v>
      </c>
      <c r="E16" s="33">
        <v>1.81</v>
      </c>
      <c r="F16" s="33">
        <v>0</v>
      </c>
      <c r="G16" s="33">
        <v>0</v>
      </c>
      <c r="H16" s="33">
        <f>'09-24-15'!H16+D16+F16</f>
        <v>206.98</v>
      </c>
      <c r="I16" s="33">
        <f>'09-24-15'!I16+E16+G16</f>
        <v>5.359999999999999</v>
      </c>
      <c r="J16" s="33">
        <f t="shared" si="4"/>
        <v>212.33999999999997</v>
      </c>
      <c r="K16" s="33">
        <f t="shared" si="5"/>
        <v>6860.66</v>
      </c>
      <c r="L16" s="33">
        <f>C16-(J16/7.2*26.2)</f>
        <v>6300.318333333334</v>
      </c>
      <c r="M16" s="42"/>
      <c r="N16" s="43"/>
    </row>
    <row r="17" spans="1:14" s="44" customFormat="1" ht="11.25" customHeight="1">
      <c r="A17" s="31" t="s">
        <v>23</v>
      </c>
      <c r="B17" s="32">
        <v>55160100</v>
      </c>
      <c r="C17" s="33">
        <v>16062</v>
      </c>
      <c r="D17" s="33">
        <v>284.06</v>
      </c>
      <c r="E17" s="33">
        <v>7.38</v>
      </c>
      <c r="F17" s="33">
        <v>564.94</v>
      </c>
      <c r="G17" s="33">
        <v>30.49</v>
      </c>
      <c r="H17" s="33">
        <f>'09-24-15'!H17+D17+F17</f>
        <v>4256.5599999999995</v>
      </c>
      <c r="I17" s="33">
        <f>'09-24-15'!I17+E17+G17</f>
        <v>160.43</v>
      </c>
      <c r="J17" s="33">
        <f t="shared" si="4"/>
        <v>4416.99</v>
      </c>
      <c r="K17" s="33">
        <f t="shared" si="5"/>
        <v>11645.01</v>
      </c>
      <c r="L17" s="33">
        <f>C17-(J17/7.2*26.2)</f>
        <v>-10.935833333332994</v>
      </c>
      <c r="M17" s="42"/>
      <c r="N17" s="60"/>
    </row>
    <row r="18" spans="1:14" ht="24.75" customHeight="1">
      <c r="A18" s="75" t="s">
        <v>37</v>
      </c>
      <c r="B18" s="76"/>
      <c r="C18" s="49">
        <f>SUM(C15:C17)</f>
        <v>36675</v>
      </c>
      <c r="D18" s="49">
        <f aca="true" t="shared" si="6" ref="D18:L18">SUM(D15:D17)</f>
        <v>724.1099999999999</v>
      </c>
      <c r="E18" s="49">
        <f t="shared" si="6"/>
        <v>18.8</v>
      </c>
      <c r="F18" s="49">
        <f t="shared" si="6"/>
        <v>564.94</v>
      </c>
      <c r="G18" s="49">
        <f t="shared" si="6"/>
        <v>30.49</v>
      </c>
      <c r="H18" s="49">
        <f t="shared" si="6"/>
        <v>6883.24</v>
      </c>
      <c r="I18" s="49">
        <f t="shared" si="6"/>
        <v>244.28</v>
      </c>
      <c r="J18" s="49">
        <f t="shared" si="6"/>
        <v>7127.52</v>
      </c>
      <c r="K18" s="49">
        <f t="shared" si="6"/>
        <v>29547.480000000003</v>
      </c>
      <c r="L18" s="49">
        <f t="shared" si="6"/>
        <v>10738.746666666666</v>
      </c>
      <c r="M18" s="38"/>
      <c r="N18" s="41"/>
    </row>
    <row r="19" spans="1:14" ht="11.25" customHeight="1">
      <c r="A19" s="28"/>
      <c r="B19" s="28"/>
      <c r="C19" s="8"/>
      <c r="D19" s="8"/>
      <c r="E19" s="8"/>
      <c r="F19" s="8"/>
      <c r="G19" s="8"/>
      <c r="H19" s="8"/>
      <c r="I19" s="8"/>
      <c r="J19" s="8"/>
      <c r="K19" s="8"/>
      <c r="L19" s="8"/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s="44" customFormat="1" ht="11.25" customHeight="1">
      <c r="A21" s="31" t="s">
        <v>21</v>
      </c>
      <c r="B21" s="32">
        <v>55090100</v>
      </c>
      <c r="C21" s="33">
        <v>26923</v>
      </c>
      <c r="D21" s="33">
        <v>361.6</v>
      </c>
      <c r="E21" s="33">
        <v>9.4</v>
      </c>
      <c r="F21" s="33">
        <v>2209.92</v>
      </c>
      <c r="G21" s="33">
        <v>119.33</v>
      </c>
      <c r="H21" s="33">
        <f>'09-24-15'!H21+D21+F21</f>
        <v>14270.18</v>
      </c>
      <c r="I21" s="33">
        <f>'09-24-15'!I21+E21+G21</f>
        <v>629.3399999999999</v>
      </c>
      <c r="J21" s="33">
        <f t="shared" si="4"/>
        <v>14899.52</v>
      </c>
      <c r="K21" s="33">
        <f t="shared" si="5"/>
        <v>12023.48</v>
      </c>
      <c r="L21" s="33">
        <f>C21-(J21/7.2*26.2)</f>
        <v>-27294.697777777772</v>
      </c>
      <c r="M21" s="42"/>
      <c r="N21" s="60"/>
    </row>
    <row r="22" spans="1:14" s="44" customFormat="1" ht="11.25" customHeight="1">
      <c r="A22" s="31" t="s">
        <v>22</v>
      </c>
      <c r="B22" s="32">
        <v>55100100</v>
      </c>
      <c r="C22" s="33">
        <v>2026</v>
      </c>
      <c r="D22" s="33">
        <v>0</v>
      </c>
      <c r="E22" s="33">
        <v>0</v>
      </c>
      <c r="F22" s="33">
        <v>108.48</v>
      </c>
      <c r="G22" s="33">
        <v>5.85</v>
      </c>
      <c r="H22" s="33">
        <f>'09-24-15'!H22+D22+F22</f>
        <v>108.48</v>
      </c>
      <c r="I22" s="33">
        <f>'09-24-15'!I22+E22+G22</f>
        <v>5.85</v>
      </c>
      <c r="J22" s="33">
        <f t="shared" si="4"/>
        <v>114.33</v>
      </c>
      <c r="K22" s="33">
        <f t="shared" si="5"/>
        <v>1911.67</v>
      </c>
      <c r="L22" s="33">
        <f>C22-(J22/7.2*26.2)</f>
        <v>1609.9658333333334</v>
      </c>
      <c r="M22" s="42"/>
      <c r="N22" s="60"/>
    </row>
    <row r="23" spans="1:14" ht="24.75" customHeight="1">
      <c r="A23" s="75" t="s">
        <v>38</v>
      </c>
      <c r="B23" s="76"/>
      <c r="C23" s="49">
        <f>SUM(C21:C22)</f>
        <v>28949</v>
      </c>
      <c r="D23" s="49">
        <f aca="true" t="shared" si="7" ref="D23:L23">SUM(D21:D22)</f>
        <v>361.6</v>
      </c>
      <c r="E23" s="49">
        <f t="shared" si="7"/>
        <v>9.4</v>
      </c>
      <c r="F23" s="49">
        <f t="shared" si="7"/>
        <v>2318.4</v>
      </c>
      <c r="G23" s="49">
        <f t="shared" si="7"/>
        <v>125.17999999999999</v>
      </c>
      <c r="H23" s="49">
        <f t="shared" si="7"/>
        <v>14378.66</v>
      </c>
      <c r="I23" s="49">
        <f t="shared" si="7"/>
        <v>635.1899999999999</v>
      </c>
      <c r="J23" s="49">
        <f t="shared" si="7"/>
        <v>15013.85</v>
      </c>
      <c r="K23" s="49">
        <f t="shared" si="7"/>
        <v>13935.15</v>
      </c>
      <c r="L23" s="49">
        <f t="shared" si="7"/>
        <v>-25684.73194444444</v>
      </c>
      <c r="M23" s="38"/>
      <c r="N23" s="41"/>
    </row>
    <row r="24" spans="1:14" ht="11.25" customHeight="1">
      <c r="A24" s="2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8"/>
      <c r="N24" s="39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3" s="44" customFormat="1" ht="11.25" customHeight="1">
      <c r="A26" s="31" t="s">
        <v>26</v>
      </c>
      <c r="B26" s="32">
        <v>55130100</v>
      </c>
      <c r="C26" s="33">
        <v>4523</v>
      </c>
      <c r="D26" s="33">
        <v>51.89</v>
      </c>
      <c r="E26" s="33">
        <v>1.34</v>
      </c>
      <c r="F26" s="33">
        <v>0</v>
      </c>
      <c r="G26" s="33">
        <v>0</v>
      </c>
      <c r="H26" s="33">
        <f>'09-24-15'!H26+D26+F26</f>
        <v>1220.3300000000002</v>
      </c>
      <c r="I26" s="33">
        <f>'09-24-15'!I26+E26+G26</f>
        <v>31.669999999999998</v>
      </c>
      <c r="J26" s="33">
        <f>H26+I26</f>
        <v>1252.0000000000002</v>
      </c>
      <c r="K26" s="33">
        <f>C26-J26</f>
        <v>3271</v>
      </c>
      <c r="L26" s="33">
        <f>C26-(J26/7.2*26.2)</f>
        <v>-32.888888888889596</v>
      </c>
      <c r="M26" s="45"/>
    </row>
    <row r="27" spans="1:13" s="44" customFormat="1" ht="11.25" customHeight="1">
      <c r="A27" s="31" t="s">
        <v>30</v>
      </c>
      <c r="B27" s="32">
        <v>55140100</v>
      </c>
      <c r="C27" s="33">
        <v>2995</v>
      </c>
      <c r="D27" s="33">
        <v>0</v>
      </c>
      <c r="E27" s="33">
        <v>0</v>
      </c>
      <c r="F27" s="33">
        <v>136.96</v>
      </c>
      <c r="G27" s="33">
        <v>7.38</v>
      </c>
      <c r="H27" s="33">
        <f>'09-24-15'!H27+D27+F27</f>
        <v>1061.44</v>
      </c>
      <c r="I27" s="33">
        <f>'09-24-15'!I27+E27+G27</f>
        <v>57.25</v>
      </c>
      <c r="J27" s="33">
        <f>H27+I27</f>
        <v>1118.69</v>
      </c>
      <c r="K27" s="33">
        <f>C27-J27</f>
        <v>1876.31</v>
      </c>
      <c r="L27" s="33">
        <f>C27-(J27/7.2*26.2)</f>
        <v>-1075.7886111111106</v>
      </c>
      <c r="M27" s="45"/>
    </row>
    <row r="28" spans="1:14" s="44" customFormat="1" ht="24.75" customHeight="1">
      <c r="A28" s="75" t="s">
        <v>39</v>
      </c>
      <c r="B28" s="76"/>
      <c r="C28" s="49">
        <f aca="true" t="shared" si="8" ref="C28:L28">SUM(C26:C27)</f>
        <v>7518</v>
      </c>
      <c r="D28" s="49">
        <f t="shared" si="8"/>
        <v>51.89</v>
      </c>
      <c r="E28" s="49">
        <f t="shared" si="8"/>
        <v>1.34</v>
      </c>
      <c r="F28" s="49">
        <f t="shared" si="8"/>
        <v>136.96</v>
      </c>
      <c r="G28" s="49">
        <f t="shared" si="8"/>
        <v>7.38</v>
      </c>
      <c r="H28" s="49">
        <f t="shared" si="8"/>
        <v>2281.7700000000004</v>
      </c>
      <c r="I28" s="49">
        <f t="shared" si="8"/>
        <v>88.92</v>
      </c>
      <c r="J28" s="49">
        <f t="shared" si="8"/>
        <v>2370.6900000000005</v>
      </c>
      <c r="K28" s="49">
        <f t="shared" si="8"/>
        <v>5147.3099999999995</v>
      </c>
      <c r="L28" s="49">
        <f t="shared" si="8"/>
        <v>-1108.6775000000002</v>
      </c>
      <c r="M28" s="42"/>
      <c r="N28" s="43"/>
    </row>
    <row r="29" spans="1:14" ht="11.25" customHeight="1">
      <c r="A29" s="2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8"/>
      <c r="N29" s="39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s="44" customFormat="1" ht="11.25" customHeight="1">
      <c r="A31" s="31" t="s">
        <v>34</v>
      </c>
      <c r="B31" s="32">
        <v>55010000</v>
      </c>
      <c r="C31" s="33">
        <f>24725-15347</f>
        <v>9378</v>
      </c>
      <c r="D31" s="33">
        <v>0</v>
      </c>
      <c r="E31" s="33">
        <v>0</v>
      </c>
      <c r="F31" s="33">
        <v>0</v>
      </c>
      <c r="G31" s="33">
        <v>0</v>
      </c>
      <c r="H31" s="33">
        <f>'09-24-15'!H31+D31+F31</f>
        <v>0</v>
      </c>
      <c r="I31" s="33">
        <f>'09-24-15'!I31+E31+G31</f>
        <v>0</v>
      </c>
      <c r="J31" s="33">
        <f aca="true" t="shared" si="9" ref="J31:J36">H31+I31</f>
        <v>0</v>
      </c>
      <c r="K31" s="33">
        <f aca="true" t="shared" si="10" ref="K31:K36">C31-J31</f>
        <v>9378</v>
      </c>
      <c r="L31" s="33">
        <f aca="true" t="shared" si="11" ref="L31:L36">C31-(J31/7.2*26.2)</f>
        <v>9378</v>
      </c>
      <c r="M31" s="42"/>
      <c r="N31" s="43"/>
    </row>
    <row r="32" spans="1:13" s="44" customFormat="1" ht="11.25" customHeight="1">
      <c r="A32" s="31" t="s">
        <v>31</v>
      </c>
      <c r="B32" s="32">
        <v>55080500</v>
      </c>
      <c r="C32" s="33">
        <v>10000</v>
      </c>
      <c r="D32" s="33">
        <v>0</v>
      </c>
      <c r="E32" s="33">
        <v>0</v>
      </c>
      <c r="F32" s="33">
        <v>0</v>
      </c>
      <c r="G32" s="33">
        <v>0</v>
      </c>
      <c r="H32" s="33">
        <f>'09-24-15'!H32+D32+F32</f>
        <v>129.6</v>
      </c>
      <c r="I32" s="33">
        <f>'09-24-15'!I32+E32+G32</f>
        <v>6.99</v>
      </c>
      <c r="J32" s="33">
        <f t="shared" si="9"/>
        <v>136.59</v>
      </c>
      <c r="K32" s="33">
        <f t="shared" si="10"/>
        <v>9863.41</v>
      </c>
      <c r="L32" s="33">
        <f t="shared" si="11"/>
        <v>9502.964166666667</v>
      </c>
      <c r="M32" s="45"/>
    </row>
    <row r="33" spans="1:13" s="44" customFormat="1" ht="11.25" customHeight="1">
      <c r="A33" s="31" t="s">
        <v>32</v>
      </c>
      <c r="B33" s="32">
        <v>55050300</v>
      </c>
      <c r="C33" s="33">
        <v>15347</v>
      </c>
      <c r="D33" s="33">
        <v>0</v>
      </c>
      <c r="E33" s="33">
        <v>0</v>
      </c>
      <c r="F33" s="33">
        <v>980</v>
      </c>
      <c r="G33" s="33">
        <v>52.91</v>
      </c>
      <c r="H33" s="33">
        <f>'09-24-15'!H33+D33+F33</f>
        <v>5523</v>
      </c>
      <c r="I33" s="33">
        <f>'09-24-15'!I33+E33+G33</f>
        <v>298.21</v>
      </c>
      <c r="J33" s="33">
        <f t="shared" si="9"/>
        <v>5821.21</v>
      </c>
      <c r="K33" s="33">
        <f t="shared" si="10"/>
        <v>9525.79</v>
      </c>
      <c r="L33" s="33">
        <f t="shared" si="11"/>
        <v>-5835.736388888887</v>
      </c>
      <c r="M33" s="45"/>
    </row>
    <row r="34" spans="1:13" s="44" customFormat="1" ht="11.25" customHeight="1">
      <c r="A34" s="31" t="s">
        <v>43</v>
      </c>
      <c r="B34" s="32">
        <v>55160300</v>
      </c>
      <c r="C34" s="33">
        <v>43385.81</v>
      </c>
      <c r="D34" s="33">
        <v>0</v>
      </c>
      <c r="E34" s="33">
        <v>0</v>
      </c>
      <c r="F34" s="33">
        <v>3154.25</v>
      </c>
      <c r="G34" s="33">
        <v>170.32</v>
      </c>
      <c r="H34" s="33">
        <f>'09-24-15'!H34+D34+F34</f>
        <v>22710.620000000003</v>
      </c>
      <c r="I34" s="33">
        <f>'09-24-15'!I34+E34+G34</f>
        <v>1226.3099999999997</v>
      </c>
      <c r="J34" s="33">
        <f t="shared" si="9"/>
        <v>23936.930000000004</v>
      </c>
      <c r="K34" s="33">
        <f t="shared" si="10"/>
        <v>19448.879999999994</v>
      </c>
      <c r="L34" s="33">
        <f t="shared" si="11"/>
        <v>-43718.018611111125</v>
      </c>
      <c r="M34" s="45"/>
    </row>
    <row r="35" spans="1:13" s="44" customFormat="1" ht="11.25" customHeight="1" hidden="1">
      <c r="A35" s="31" t="s">
        <v>47</v>
      </c>
      <c r="B35" s="32">
        <v>55010100</v>
      </c>
      <c r="C35" s="33"/>
      <c r="D35" s="33">
        <v>32.1</v>
      </c>
      <c r="E35" s="33">
        <v>0.82</v>
      </c>
      <c r="F35" s="33"/>
      <c r="G35" s="33"/>
      <c r="H35" s="33">
        <f>'09-24-15'!H35+D35+F35</f>
        <v>32.1</v>
      </c>
      <c r="I35" s="33">
        <f>'09-24-15'!I35+E35+G35</f>
        <v>0.82</v>
      </c>
      <c r="J35" s="33">
        <f t="shared" si="9"/>
        <v>32.92</v>
      </c>
      <c r="K35" s="33">
        <f t="shared" si="10"/>
        <v>-32.92</v>
      </c>
      <c r="L35" s="33">
        <f t="shared" si="11"/>
        <v>-119.79222222222221</v>
      </c>
      <c r="M35" s="45"/>
    </row>
    <row r="36" spans="1:13" s="44" customFormat="1" ht="11.25" customHeight="1">
      <c r="A36" s="31" t="s">
        <v>24</v>
      </c>
      <c r="B36" s="32" t="s">
        <v>25</v>
      </c>
      <c r="C36" s="33">
        <v>0</v>
      </c>
      <c r="D36" s="33"/>
      <c r="E36" s="33"/>
      <c r="F36" s="33"/>
      <c r="G36" s="33"/>
      <c r="H36" s="33">
        <f>'09-24-15'!H35+D36+F36</f>
        <v>0</v>
      </c>
      <c r="I36" s="33">
        <f>'09-24-15'!I35+E36+G36</f>
        <v>0</v>
      </c>
      <c r="J36" s="33">
        <f t="shared" si="9"/>
        <v>0</v>
      </c>
      <c r="K36" s="33">
        <f t="shared" si="10"/>
        <v>0</v>
      </c>
      <c r="L36" s="33">
        <f t="shared" si="11"/>
        <v>0</v>
      </c>
      <c r="M36" s="45"/>
    </row>
    <row r="37" spans="1:14" ht="24.75" customHeight="1">
      <c r="A37" s="75" t="s">
        <v>40</v>
      </c>
      <c r="B37" s="76"/>
      <c r="C37" s="49">
        <f>SUM(C31:C36)</f>
        <v>78110.81</v>
      </c>
      <c r="D37" s="49">
        <f aca="true" t="shared" si="12" ref="D37:L37">SUM(D31:D36)</f>
        <v>32.1</v>
      </c>
      <c r="E37" s="49">
        <f t="shared" si="12"/>
        <v>0.82</v>
      </c>
      <c r="F37" s="49">
        <f t="shared" si="12"/>
        <v>4134.25</v>
      </c>
      <c r="G37" s="49">
        <f t="shared" si="12"/>
        <v>223.23</v>
      </c>
      <c r="H37" s="49">
        <f t="shared" si="12"/>
        <v>28395.32</v>
      </c>
      <c r="I37" s="49">
        <f t="shared" si="12"/>
        <v>1532.3299999999997</v>
      </c>
      <c r="J37" s="49">
        <f t="shared" si="12"/>
        <v>29927.65</v>
      </c>
      <c r="K37" s="49">
        <f t="shared" si="12"/>
        <v>48183.159999999996</v>
      </c>
      <c r="L37" s="49">
        <f t="shared" si="12"/>
        <v>-30792.58305555557</v>
      </c>
      <c r="M37" s="38"/>
      <c r="N37" s="39"/>
    </row>
    <row r="38" spans="1:14" ht="11.25" customHeight="1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8"/>
      <c r="N38" s="39"/>
    </row>
    <row r="39" spans="1:14" ht="11.25" customHeight="1">
      <c r="A39" s="28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8"/>
      <c r="N39" s="39"/>
    </row>
    <row r="40" spans="1:14" ht="24.75" customHeight="1">
      <c r="A40" s="76" t="s">
        <v>42</v>
      </c>
      <c r="B40" s="76"/>
      <c r="C40" s="49">
        <f>C12+C18+C23+C28+C37</f>
        <v>352600.81</v>
      </c>
      <c r="D40" s="49">
        <f aca="true" t="shared" si="13" ref="D40:L40">D12+D18+D23+D28+D37</f>
        <v>6482.290000000001</v>
      </c>
      <c r="E40" s="49">
        <f t="shared" si="13"/>
        <v>168.4</v>
      </c>
      <c r="F40" s="49">
        <f t="shared" si="13"/>
        <v>8235.400000000001</v>
      </c>
      <c r="G40" s="49">
        <f t="shared" si="13"/>
        <v>444.59999999999997</v>
      </c>
      <c r="H40" s="49">
        <f t="shared" si="13"/>
        <v>101604.60999999999</v>
      </c>
      <c r="I40" s="49">
        <f t="shared" si="13"/>
        <v>4102.66</v>
      </c>
      <c r="J40" s="49">
        <f t="shared" si="13"/>
        <v>105707.27000000002</v>
      </c>
      <c r="K40" s="49">
        <f t="shared" si="13"/>
        <v>246893.54</v>
      </c>
      <c r="L40" s="49">
        <f t="shared" si="13"/>
        <v>-32056.200277777796</v>
      </c>
      <c r="M40" s="38"/>
      <c r="N40" s="39"/>
    </row>
    <row r="41" spans="1:14" ht="11.25" customHeight="1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38"/>
      <c r="N41" s="39"/>
    </row>
    <row r="42" spans="1:14" ht="11.25" customHeight="1">
      <c r="A42" s="54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38"/>
      <c r="N42" s="39"/>
    </row>
    <row r="43" spans="1:14" s="44" customFormat="1" ht="12" customHeight="1">
      <c r="A43" s="31" t="s">
        <v>27</v>
      </c>
      <c r="B43" s="31" t="s">
        <v>28</v>
      </c>
      <c r="C43" s="33">
        <v>61829</v>
      </c>
      <c r="D43" s="33">
        <v>1037.36</v>
      </c>
      <c r="E43" s="33">
        <v>26.96</v>
      </c>
      <c r="F43" s="33">
        <v>0</v>
      </c>
      <c r="G43" s="33">
        <v>0</v>
      </c>
      <c r="H43" s="33">
        <f>'09-24-15'!H42+D43+F43</f>
        <v>18804.879999999997</v>
      </c>
      <c r="I43" s="33">
        <f>'09-24-15'!I42+E43+G43</f>
        <v>664.71</v>
      </c>
      <c r="J43" s="33">
        <f>H43+I43</f>
        <v>19469.589999999997</v>
      </c>
      <c r="K43" s="33">
        <f>C43-J43</f>
        <v>42359.41</v>
      </c>
      <c r="L43" s="33">
        <f>C43-(J43/7.2*26.2)</f>
        <v>-9018.674722222204</v>
      </c>
      <c r="M43" s="42"/>
      <c r="N43" s="43"/>
    </row>
    <row r="44" spans="1:14" ht="12" customHeight="1">
      <c r="A44" s="6"/>
      <c r="B44" s="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38"/>
      <c r="N44" s="39"/>
    </row>
    <row r="45" spans="1:14" ht="12" customHeight="1">
      <c r="A45" s="6" t="s">
        <v>29</v>
      </c>
      <c r="B45" s="6" t="s">
        <v>35</v>
      </c>
      <c r="C45" s="27">
        <v>15000</v>
      </c>
      <c r="D45" s="27">
        <v>0</v>
      </c>
      <c r="E45" s="27">
        <v>0</v>
      </c>
      <c r="F45" s="27">
        <v>673.2</v>
      </c>
      <c r="G45" s="27">
        <v>36.35</v>
      </c>
      <c r="H45" s="33">
        <f>'09-24-15'!H44+D45+F45</f>
        <v>4433.929999999999</v>
      </c>
      <c r="I45" s="33">
        <f>'09-24-15'!I44+E45+G45</f>
        <v>239.39</v>
      </c>
      <c r="J45" s="27">
        <f>H45+I45</f>
        <v>4673.32</v>
      </c>
      <c r="K45" s="27">
        <f>C45-J45</f>
        <v>10326.68</v>
      </c>
      <c r="L45" s="33">
        <f>C45-(J45/7.2*26.2)</f>
        <v>-2005.6922222222202</v>
      </c>
      <c r="M45" s="38"/>
      <c r="N45" s="39"/>
    </row>
    <row r="46" spans="1:14" ht="12" customHeight="1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38"/>
      <c r="N46" s="39"/>
    </row>
    <row r="47" spans="1:14" ht="12" customHeight="1">
      <c r="A47" s="50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38"/>
      <c r="N47" s="39"/>
    </row>
    <row r="48" spans="1:14" ht="24.75" customHeight="1">
      <c r="A48" s="51" t="s">
        <v>41</v>
      </c>
      <c r="B48" s="52"/>
      <c r="C48" s="53">
        <f>C43+C45</f>
        <v>76829</v>
      </c>
      <c r="D48" s="53">
        <f aca="true" t="shared" si="14" ref="D48:L48">D43+D45</f>
        <v>1037.36</v>
      </c>
      <c r="E48" s="53">
        <f t="shared" si="14"/>
        <v>26.96</v>
      </c>
      <c r="F48" s="53">
        <f t="shared" si="14"/>
        <v>673.2</v>
      </c>
      <c r="G48" s="53">
        <f t="shared" si="14"/>
        <v>36.35</v>
      </c>
      <c r="H48" s="53">
        <f t="shared" si="14"/>
        <v>23238.809999999998</v>
      </c>
      <c r="I48" s="53">
        <f t="shared" si="14"/>
        <v>904.1</v>
      </c>
      <c r="J48" s="53">
        <f t="shared" si="14"/>
        <v>24142.909999999996</v>
      </c>
      <c r="K48" s="53">
        <f t="shared" si="14"/>
        <v>52686.090000000004</v>
      </c>
      <c r="L48" s="53">
        <f t="shared" si="14"/>
        <v>-11024.366944444424</v>
      </c>
      <c r="M48" s="38"/>
      <c r="N48" s="12"/>
    </row>
    <row r="49" spans="1:14" ht="24" customHeight="1">
      <c r="A49" s="9"/>
      <c r="B49" s="10"/>
      <c r="C49" s="11"/>
      <c r="H49" s="11"/>
      <c r="I49" s="11"/>
      <c r="J49" s="11"/>
      <c r="K49" s="11"/>
      <c r="L49" s="11"/>
      <c r="M49" s="38"/>
      <c r="N49" s="12"/>
    </row>
    <row r="50" spans="1:14" ht="33.75">
      <c r="A50" s="57" t="s">
        <v>44</v>
      </c>
      <c r="B50" s="58">
        <v>43385.81</v>
      </c>
      <c r="C50" s="13"/>
      <c r="D50" s="13"/>
      <c r="E50" s="13"/>
      <c r="F50" s="13"/>
      <c r="G50" s="13"/>
      <c r="H50" s="46"/>
      <c r="I50" s="46"/>
      <c r="J50" s="46"/>
      <c r="K50" s="46"/>
      <c r="L50" s="46"/>
      <c r="M50" s="38"/>
      <c r="N50" s="12"/>
    </row>
    <row r="51" spans="1:14" ht="33.75">
      <c r="A51" s="9" t="s">
        <v>45</v>
      </c>
      <c r="B51" s="58">
        <v>10000</v>
      </c>
      <c r="C51" s="16"/>
      <c r="D51" s="11"/>
      <c r="E51" s="11"/>
      <c r="F51" s="11"/>
      <c r="G51" s="11"/>
      <c r="H51" s="11"/>
      <c r="I51" s="2"/>
      <c r="J51" s="11"/>
      <c r="K51" s="11"/>
      <c r="L51" s="11"/>
      <c r="M51" s="38"/>
      <c r="N51" s="12"/>
    </row>
    <row r="52" spans="1:14" ht="22.5">
      <c r="A52" s="14" t="s">
        <v>46</v>
      </c>
      <c r="B52" s="58">
        <v>15347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8"/>
      <c r="N52" s="12"/>
    </row>
    <row r="53" spans="1:14" ht="15" customHeight="1">
      <c r="A53" s="14"/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7"/>
    </row>
    <row r="54" spans="1:14" ht="15">
      <c r="A54" s="14"/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2"/>
    </row>
    <row r="55" spans="1:14" ht="22.5" customHeight="1">
      <c r="A55" s="14"/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  <c r="N55" s="12"/>
    </row>
    <row r="56" spans="1:14" ht="15">
      <c r="A56" s="18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N56" s="12"/>
    </row>
    <row r="57" spans="1:14" ht="15" customHeight="1">
      <c r="A57" s="18"/>
      <c r="B57" s="10"/>
      <c r="C57" s="21"/>
      <c r="D57" s="21"/>
      <c r="E57" s="21"/>
      <c r="F57" s="21"/>
      <c r="G57" s="21"/>
      <c r="H57" s="21"/>
      <c r="I57" s="21"/>
      <c r="J57" s="21"/>
      <c r="K57" s="21"/>
      <c r="L57" s="21"/>
      <c r="N57" s="12"/>
    </row>
    <row r="58" spans="1:14" ht="15" customHeight="1">
      <c r="A58" s="19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>
      <c r="A59" s="19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8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15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25.5" customHeight="1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 customHeight="1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15" customHeight="1">
      <c r="A64" s="20"/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47"/>
      <c r="N64" s="12"/>
    </row>
    <row r="65" spans="1:14" ht="15" customHeight="1">
      <c r="A65" s="22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24"/>
    </row>
    <row r="66" spans="1:14" ht="11.25" customHeight="1">
      <c r="A66" s="23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5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2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7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N72" s="24"/>
    </row>
    <row r="73" spans="1:13" ht="15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36"/>
    </row>
    <row r="74" spans="1:13" ht="15">
      <c r="A74" s="22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36"/>
    </row>
    <row r="75" spans="1:12" ht="15">
      <c r="A75" s="22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5">
      <c r="A76" s="24"/>
      <c r="B76" s="24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4" s="35" customFormat="1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  <c r="N81" s="36"/>
    </row>
    <row r="82" spans="1:12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</row>
  </sheetData>
  <sheetProtection/>
  <mergeCells count="6">
    <mergeCell ref="A12:B12"/>
    <mergeCell ref="A18:B18"/>
    <mergeCell ref="A23:B23"/>
    <mergeCell ref="A28:B28"/>
    <mergeCell ref="A37:B37"/>
    <mergeCell ref="A40:B4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F45" sqref="F45"/>
    </sheetView>
  </sheetViews>
  <sheetFormatPr defaultColWidth="28.00390625" defaultRowHeight="15"/>
  <cols>
    <col min="1" max="1" width="23.7109375" style="36" bestFit="1" customWidth="1"/>
    <col min="2" max="2" width="15.00390625" style="36" bestFit="1" customWidth="1"/>
    <col min="3" max="3" width="11.57421875" style="40" bestFit="1" customWidth="1"/>
    <col min="4" max="4" width="8.140625" style="40" bestFit="1" customWidth="1"/>
    <col min="5" max="5" width="6.28125" style="40" bestFit="1" customWidth="1"/>
    <col min="6" max="6" width="12.00390625" style="40" bestFit="1" customWidth="1"/>
    <col min="7" max="7" width="6.28125" style="40" bestFit="1" customWidth="1"/>
    <col min="8" max="8" width="9.28125" style="40" bestFit="1" customWidth="1"/>
    <col min="9" max="9" width="9.421875" style="40" bestFit="1" customWidth="1"/>
    <col min="10" max="10" width="9.7109375" style="40" customWidth="1"/>
    <col min="11" max="11" width="9.28125" style="40" bestFit="1" customWidth="1"/>
    <col min="12" max="12" width="13.421875" style="40" bestFit="1" customWidth="1"/>
    <col min="13" max="13" width="28.00390625" style="35" customWidth="1"/>
    <col min="14" max="16384" width="28.00390625" style="36" customWidth="1"/>
  </cols>
  <sheetData>
    <row r="1" spans="1:12" ht="11.25" customHeight="1">
      <c r="A1" s="1"/>
      <c r="B1" s="3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7" customFormat="1" ht="23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4" s="44" customFormat="1" ht="11.25" customHeight="1">
      <c r="A3" s="31" t="s">
        <v>11</v>
      </c>
      <c r="B3" s="32">
        <v>55010500</v>
      </c>
      <c r="C3" s="33">
        <v>9670</v>
      </c>
      <c r="D3" s="33">
        <v>0</v>
      </c>
      <c r="E3" s="33">
        <v>0</v>
      </c>
      <c r="F3" s="33">
        <v>0</v>
      </c>
      <c r="G3" s="33">
        <v>0</v>
      </c>
      <c r="H3" s="33">
        <f>'10-08-15'!H3+D3+F3</f>
        <v>604.8</v>
      </c>
      <c r="I3" s="33">
        <f>'10-08-15'!I3+E3+G3</f>
        <v>32.629999999999995</v>
      </c>
      <c r="J3" s="33">
        <f>H3+I3</f>
        <v>637.43</v>
      </c>
      <c r="K3" s="33">
        <f>C3-J3</f>
        <v>9032.57</v>
      </c>
      <c r="L3" s="33">
        <f>C3-(J3/8.2*26.2)</f>
        <v>7633.333414634147</v>
      </c>
      <c r="M3" s="42"/>
      <c r="N3" s="43"/>
    </row>
    <row r="4" spans="1:14" s="44" customFormat="1" ht="11.25" customHeight="1">
      <c r="A4" s="31" t="s">
        <v>12</v>
      </c>
      <c r="B4" s="32">
        <v>55020200</v>
      </c>
      <c r="C4" s="33">
        <v>32649</v>
      </c>
      <c r="D4" s="33">
        <f>(-808)+354.88</f>
        <v>-453.12</v>
      </c>
      <c r="E4" s="33">
        <f>(-21)+9.22</f>
        <v>-11.78</v>
      </c>
      <c r="F4" s="33">
        <v>144.16</v>
      </c>
      <c r="G4" s="33">
        <v>7.78</v>
      </c>
      <c r="H4" s="33">
        <f>'10-08-15'!H4+D4+F4</f>
        <v>3616.82</v>
      </c>
      <c r="I4" s="33">
        <f>'10-08-15'!I4+E4+G4</f>
        <v>150.92000000000002</v>
      </c>
      <c r="J4" s="33">
        <f>H4+I4</f>
        <v>3767.7400000000002</v>
      </c>
      <c r="K4" s="33">
        <f>C4-J4</f>
        <v>28881.26</v>
      </c>
      <c r="L4" s="33">
        <f aca="true" t="shared" si="0" ref="L4:L11">C4-(J4/8.2*26.2)</f>
        <v>20610.611219512193</v>
      </c>
      <c r="M4" s="45"/>
      <c r="N4" s="61"/>
    </row>
    <row r="5" spans="1:14" s="44" customFormat="1" ht="11.25" customHeight="1">
      <c r="A5" s="31" t="s">
        <v>13</v>
      </c>
      <c r="B5" s="32">
        <v>55020300</v>
      </c>
      <c r="C5" s="33">
        <v>17974</v>
      </c>
      <c r="D5" s="33">
        <v>429.09</v>
      </c>
      <c r="E5" s="33">
        <v>11.15</v>
      </c>
      <c r="F5" s="33">
        <v>0</v>
      </c>
      <c r="G5" s="33">
        <v>0</v>
      </c>
      <c r="H5" s="33">
        <f>'10-08-15'!H5+D5+F5</f>
        <v>4419.51</v>
      </c>
      <c r="I5" s="33">
        <f>'10-08-15'!I5+E5+G5</f>
        <v>114.83000000000001</v>
      </c>
      <c r="J5" s="33">
        <f aca="true" t="shared" si="1" ref="J5:J10">H5+I5</f>
        <v>4534.34</v>
      </c>
      <c r="K5" s="33">
        <f aca="true" t="shared" si="2" ref="K5:K10">C5-J5</f>
        <v>13439.66</v>
      </c>
      <c r="L5" s="33">
        <f t="shared" si="0"/>
        <v>3486.2307317073173</v>
      </c>
      <c r="M5" s="45"/>
      <c r="N5" s="61"/>
    </row>
    <row r="6" spans="1:14" s="44" customFormat="1" ht="11.25" customHeight="1">
      <c r="A6" s="31" t="s">
        <v>14</v>
      </c>
      <c r="B6" s="32">
        <v>55020400</v>
      </c>
      <c r="C6" s="33">
        <v>17974</v>
      </c>
      <c r="D6" s="33">
        <v>617.43</v>
      </c>
      <c r="E6" s="33">
        <v>16.04</v>
      </c>
      <c r="F6" s="33">
        <v>0</v>
      </c>
      <c r="G6" s="33">
        <v>0</v>
      </c>
      <c r="H6" s="33">
        <f>'10-08-15'!H6+D6+F6</f>
        <v>3355.42</v>
      </c>
      <c r="I6" s="33">
        <f>'10-08-15'!I6+E6+G6</f>
        <v>87.15</v>
      </c>
      <c r="J6" s="33">
        <f>H6+I6</f>
        <v>3442.57</v>
      </c>
      <c r="K6" s="33">
        <f t="shared" si="2"/>
        <v>14531.43</v>
      </c>
      <c r="L6" s="33">
        <f t="shared" si="0"/>
        <v>6974.569024390243</v>
      </c>
      <c r="M6" s="45"/>
      <c r="N6" s="61"/>
    </row>
    <row r="7" spans="1:13" s="44" customFormat="1" ht="11.25" customHeight="1">
      <c r="A7" s="31" t="s">
        <v>15</v>
      </c>
      <c r="B7" s="32">
        <v>55030200</v>
      </c>
      <c r="C7" s="33">
        <v>24330</v>
      </c>
      <c r="D7" s="33">
        <v>734.54</v>
      </c>
      <c r="E7" s="33">
        <v>19.09</v>
      </c>
      <c r="F7" s="33">
        <v>0</v>
      </c>
      <c r="G7" s="33">
        <v>0</v>
      </c>
      <c r="H7" s="33">
        <f>'10-08-15'!H7+D7+F7</f>
        <v>6872.7699999999995</v>
      </c>
      <c r="I7" s="33">
        <f>'10-08-15'!I7+E7+G7</f>
        <v>178.62000000000003</v>
      </c>
      <c r="J7" s="33">
        <f t="shared" si="1"/>
        <v>7051.389999999999</v>
      </c>
      <c r="K7" s="33">
        <f t="shared" si="2"/>
        <v>17278.61</v>
      </c>
      <c r="L7" s="33">
        <f t="shared" si="0"/>
        <v>1799.9490243902474</v>
      </c>
      <c r="M7" s="45"/>
    </row>
    <row r="8" spans="1:13" s="44" customFormat="1" ht="11.25" customHeight="1">
      <c r="A8" s="31" t="s">
        <v>16</v>
      </c>
      <c r="B8" s="32">
        <v>55050200</v>
      </c>
      <c r="C8" s="33">
        <v>29837</v>
      </c>
      <c r="D8" s="33">
        <f>1068.15+(-1124.72)</f>
        <v>-56.569999999999936</v>
      </c>
      <c r="E8" s="33">
        <f>27.76+(-29.24)</f>
        <v>-1.4799999999999969</v>
      </c>
      <c r="F8" s="33">
        <v>373.31</v>
      </c>
      <c r="G8" s="33">
        <v>20.15</v>
      </c>
      <c r="H8" s="33">
        <f>'10-08-15'!H8+D8+F8</f>
        <v>8547.380000000001</v>
      </c>
      <c r="I8" s="33">
        <f>'10-08-15'!I8+E8+G8</f>
        <v>331.69999999999993</v>
      </c>
      <c r="J8" s="33">
        <f t="shared" si="1"/>
        <v>8879.080000000002</v>
      </c>
      <c r="K8" s="33">
        <f t="shared" si="2"/>
        <v>20957.92</v>
      </c>
      <c r="L8" s="33">
        <f t="shared" si="0"/>
        <v>1467.2565853658452</v>
      </c>
      <c r="M8" s="45"/>
    </row>
    <row r="9" spans="1:13" s="44" customFormat="1" ht="11.25" customHeight="1">
      <c r="A9" s="31" t="s">
        <v>17</v>
      </c>
      <c r="B9" s="32">
        <v>55070100</v>
      </c>
      <c r="C9" s="33">
        <f>26873+10510+5358</f>
        <v>42741</v>
      </c>
      <c r="D9" s="33">
        <f>(-250.39)+1325.75</f>
        <v>1075.3600000000001</v>
      </c>
      <c r="E9" s="33">
        <f>(-6.51)+34.46</f>
        <v>27.950000000000003</v>
      </c>
      <c r="F9" s="33">
        <v>713.89</v>
      </c>
      <c r="G9" s="33">
        <v>38.55</v>
      </c>
      <c r="H9" s="33">
        <f>'10-08-15'!H9+D9+F9</f>
        <v>18466.95</v>
      </c>
      <c r="I9" s="33">
        <f>'10-08-15'!I9+E9+G9</f>
        <v>608.47</v>
      </c>
      <c r="J9" s="33">
        <f t="shared" si="1"/>
        <v>19075.420000000002</v>
      </c>
      <c r="K9" s="33">
        <f t="shared" si="2"/>
        <v>23665.579999999998</v>
      </c>
      <c r="L9" s="33">
        <f t="shared" si="0"/>
        <v>-18207.29317073171</v>
      </c>
      <c r="M9" s="45"/>
    </row>
    <row r="10" spans="1:13" s="44" customFormat="1" ht="11.25" customHeight="1">
      <c r="A10" s="31" t="s">
        <v>18</v>
      </c>
      <c r="B10" s="32">
        <v>55070400</v>
      </c>
      <c r="C10" s="33">
        <v>3000</v>
      </c>
      <c r="D10" s="33">
        <v>0</v>
      </c>
      <c r="E10" s="33">
        <v>0</v>
      </c>
      <c r="F10" s="33">
        <v>0</v>
      </c>
      <c r="G10" s="33">
        <v>0</v>
      </c>
      <c r="H10" s="33">
        <f>'10-08-15'!H10+D10+F10</f>
        <v>0</v>
      </c>
      <c r="I10" s="33">
        <f>'10-08-15'!I10+E10+G10</f>
        <v>0</v>
      </c>
      <c r="J10" s="33">
        <f t="shared" si="1"/>
        <v>0</v>
      </c>
      <c r="K10" s="33">
        <f t="shared" si="2"/>
        <v>3000</v>
      </c>
      <c r="L10" s="33">
        <f t="shared" si="0"/>
        <v>3000</v>
      </c>
      <c r="M10" s="45"/>
    </row>
    <row r="11" spans="1:13" s="44" customFormat="1" ht="11.25" customHeight="1">
      <c r="A11" s="31" t="s">
        <v>20</v>
      </c>
      <c r="B11" s="32">
        <v>55080100</v>
      </c>
      <c r="C11" s="33">
        <v>23173</v>
      </c>
      <c r="D11" s="33">
        <v>967.27</v>
      </c>
      <c r="E11" s="33">
        <v>25.14</v>
      </c>
      <c r="F11" s="33">
        <v>187.22</v>
      </c>
      <c r="G11" s="33">
        <v>10.1</v>
      </c>
      <c r="H11" s="33">
        <f>'10-08-15'!H11+D11+F11</f>
        <v>8514.550000000001</v>
      </c>
      <c r="I11" s="33">
        <f>'10-08-15'!I11+E11+G11</f>
        <v>260.31</v>
      </c>
      <c r="J11" s="33">
        <f>H11+I11</f>
        <v>8774.86</v>
      </c>
      <c r="K11" s="33">
        <f>C11-J11</f>
        <v>14398.14</v>
      </c>
      <c r="L11" s="33">
        <f t="shared" si="0"/>
        <v>-4863.74780487805</v>
      </c>
      <c r="M11" s="45"/>
    </row>
    <row r="12" spans="1:14" ht="24.75" customHeight="1">
      <c r="A12" s="75" t="s">
        <v>36</v>
      </c>
      <c r="B12" s="76"/>
      <c r="C12" s="49">
        <f>SUM(C3:C11)</f>
        <v>201348</v>
      </c>
      <c r="D12" s="49">
        <f aca="true" t="shared" si="3" ref="D12:L12">SUM(D3:D11)</f>
        <v>3314</v>
      </c>
      <c r="E12" s="49">
        <f t="shared" si="3"/>
        <v>86.11000000000001</v>
      </c>
      <c r="F12" s="49">
        <f t="shared" si="3"/>
        <v>1418.5800000000002</v>
      </c>
      <c r="G12" s="49">
        <f t="shared" si="3"/>
        <v>76.57999999999998</v>
      </c>
      <c r="H12" s="49">
        <f t="shared" si="3"/>
        <v>54398.200000000004</v>
      </c>
      <c r="I12" s="49">
        <f t="shared" si="3"/>
        <v>1764.6299999999999</v>
      </c>
      <c r="J12" s="49">
        <f t="shared" si="3"/>
        <v>56162.83</v>
      </c>
      <c r="K12" s="49">
        <f t="shared" si="3"/>
        <v>145185.17</v>
      </c>
      <c r="L12" s="49">
        <f t="shared" si="3"/>
        <v>21900.90902439023</v>
      </c>
      <c r="M12" s="38"/>
      <c r="N12" s="39"/>
    </row>
    <row r="13" spans="1:14" ht="11.25" customHeight="1">
      <c r="A13" s="28"/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38"/>
      <c r="N13" s="39"/>
    </row>
    <row r="14" spans="1:14" ht="11.25" customHeight="1">
      <c r="A14" s="28"/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38"/>
      <c r="N14" s="39"/>
    </row>
    <row r="15" spans="1:14" s="44" customFormat="1" ht="11.25" customHeight="1">
      <c r="A15" s="31" t="s">
        <v>19</v>
      </c>
      <c r="B15" s="32">
        <v>55030100</v>
      </c>
      <c r="C15" s="33">
        <v>13540</v>
      </c>
      <c r="D15" s="33">
        <v>409.66</v>
      </c>
      <c r="E15" s="33">
        <v>10.65</v>
      </c>
      <c r="F15" s="33">
        <v>0</v>
      </c>
      <c r="G15" s="33">
        <v>0</v>
      </c>
      <c r="H15" s="33">
        <f>'10-08-15'!H15+D15+F15</f>
        <v>2829.36</v>
      </c>
      <c r="I15" s="33">
        <f>'10-08-15'!I15+E15+G15</f>
        <v>89.14</v>
      </c>
      <c r="J15" s="33">
        <f aca="true" t="shared" si="4" ref="J15:J22">H15+I15</f>
        <v>2918.5</v>
      </c>
      <c r="K15" s="33">
        <f aca="true" t="shared" si="5" ref="K15:K22">C15-J15</f>
        <v>10621.5</v>
      </c>
      <c r="L15" s="33">
        <f>C15-(J15/8.2*26.2)</f>
        <v>4215.036585365853</v>
      </c>
      <c r="M15" s="42"/>
      <c r="N15" s="43"/>
    </row>
    <row r="16" spans="1:14" s="44" customFormat="1" ht="11.25" customHeight="1">
      <c r="A16" s="31" t="s">
        <v>33</v>
      </c>
      <c r="B16" s="32">
        <v>55110100</v>
      </c>
      <c r="C16" s="33">
        <v>7073</v>
      </c>
      <c r="D16" s="33">
        <v>43.57</v>
      </c>
      <c r="E16" s="33">
        <v>1.13</v>
      </c>
      <c r="F16" s="33">
        <v>0</v>
      </c>
      <c r="G16" s="33">
        <v>0</v>
      </c>
      <c r="H16" s="33">
        <f>'10-08-15'!H16+D16+F16</f>
        <v>250.54999999999998</v>
      </c>
      <c r="I16" s="33">
        <f>'10-08-15'!I16+E16+G16</f>
        <v>6.489999999999999</v>
      </c>
      <c r="J16" s="33">
        <f t="shared" si="4"/>
        <v>257.03999999999996</v>
      </c>
      <c r="K16" s="33">
        <f t="shared" si="5"/>
        <v>6815.96</v>
      </c>
      <c r="L16" s="33">
        <f>C16-(J16/8.2*26.2)</f>
        <v>6251.725853658537</v>
      </c>
      <c r="M16" s="42"/>
      <c r="N16" s="43"/>
    </row>
    <row r="17" spans="1:14" s="44" customFormat="1" ht="11.25" customHeight="1">
      <c r="A17" s="31" t="s">
        <v>23</v>
      </c>
      <c r="B17" s="32">
        <v>55160100</v>
      </c>
      <c r="C17" s="33">
        <v>16062</v>
      </c>
      <c r="D17" s="33">
        <v>334.48</v>
      </c>
      <c r="E17" s="33">
        <v>8.69</v>
      </c>
      <c r="F17" s="33">
        <v>88.1</v>
      </c>
      <c r="G17" s="33">
        <v>4.75</v>
      </c>
      <c r="H17" s="33">
        <f>'10-08-15'!H17+D17+F17</f>
        <v>4679.139999999999</v>
      </c>
      <c r="I17" s="33">
        <f>'10-08-15'!I17+E17+G17</f>
        <v>173.87</v>
      </c>
      <c r="J17" s="33">
        <f t="shared" si="4"/>
        <v>4853.009999999999</v>
      </c>
      <c r="K17" s="33">
        <f t="shared" si="5"/>
        <v>11208.990000000002</v>
      </c>
      <c r="L17" s="33">
        <f>C17-(J17/8.2*26.2)</f>
        <v>556.0412195121971</v>
      </c>
      <c r="M17" s="42"/>
      <c r="N17" s="60"/>
    </row>
    <row r="18" spans="1:14" ht="24.75" customHeight="1">
      <c r="A18" s="75" t="s">
        <v>37</v>
      </c>
      <c r="B18" s="76"/>
      <c r="C18" s="49">
        <f>SUM(C15:C17)</f>
        <v>36675</v>
      </c>
      <c r="D18" s="49">
        <f aca="true" t="shared" si="6" ref="D18:L18">SUM(D15:D17)</f>
        <v>787.71</v>
      </c>
      <c r="E18" s="49">
        <f t="shared" si="6"/>
        <v>20.47</v>
      </c>
      <c r="F18" s="49">
        <f t="shared" si="6"/>
        <v>88.1</v>
      </c>
      <c r="G18" s="49">
        <f t="shared" si="6"/>
        <v>4.75</v>
      </c>
      <c r="H18" s="49">
        <f t="shared" si="6"/>
        <v>7759.049999999999</v>
      </c>
      <c r="I18" s="49">
        <f t="shared" si="6"/>
        <v>269.5</v>
      </c>
      <c r="J18" s="49">
        <f t="shared" si="6"/>
        <v>8028.549999999999</v>
      </c>
      <c r="K18" s="49">
        <f t="shared" si="6"/>
        <v>28646.45</v>
      </c>
      <c r="L18" s="49">
        <f t="shared" si="6"/>
        <v>11022.803658536588</v>
      </c>
      <c r="M18" s="38"/>
      <c r="N18" s="41"/>
    </row>
    <row r="19" spans="1:14" ht="11.25" customHeight="1">
      <c r="A19" s="28"/>
      <c r="B19" s="28"/>
      <c r="C19" s="8"/>
      <c r="D19" s="8"/>
      <c r="E19" s="8"/>
      <c r="F19" s="8"/>
      <c r="G19" s="8"/>
      <c r="H19" s="8"/>
      <c r="I19" s="8"/>
      <c r="J19" s="8"/>
      <c r="K19" s="8"/>
      <c r="L19" s="8"/>
      <c r="M19" s="38"/>
      <c r="N19" s="41"/>
    </row>
    <row r="20" spans="1:14" ht="11.25" customHeight="1">
      <c r="A20" s="2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41"/>
    </row>
    <row r="21" spans="1:14" s="44" customFormat="1" ht="11.25" customHeight="1">
      <c r="A21" s="31" t="s">
        <v>21</v>
      </c>
      <c r="B21" s="32">
        <v>55090100</v>
      </c>
      <c r="C21" s="33">
        <v>26923</v>
      </c>
      <c r="D21" s="33">
        <v>305.1</v>
      </c>
      <c r="E21" s="33">
        <v>7.93</v>
      </c>
      <c r="F21" s="33">
        <f>1631.04+(-1301.76)</f>
        <v>329.28</v>
      </c>
      <c r="G21" s="33">
        <f>88.07+(-70.29)</f>
        <v>17.779999999999987</v>
      </c>
      <c r="H21" s="33">
        <f>'10-08-15'!H21+D21+F21</f>
        <v>14904.560000000001</v>
      </c>
      <c r="I21" s="33">
        <f>'10-08-15'!I21+E21+G21</f>
        <v>655.0499999999998</v>
      </c>
      <c r="J21" s="33">
        <f t="shared" si="4"/>
        <v>15559.61</v>
      </c>
      <c r="K21" s="33">
        <f t="shared" si="5"/>
        <v>11363.39</v>
      </c>
      <c r="L21" s="33">
        <f>C21-(J21/8.2*26.2)</f>
        <v>-22791.85146341464</v>
      </c>
      <c r="M21" s="42"/>
      <c r="N21" s="60"/>
    </row>
    <row r="22" spans="1:14" s="44" customFormat="1" ht="11.25" customHeight="1">
      <c r="A22" s="31" t="s">
        <v>22</v>
      </c>
      <c r="B22" s="32">
        <v>55100100</v>
      </c>
      <c r="C22" s="33">
        <v>2026</v>
      </c>
      <c r="D22" s="33">
        <v>0</v>
      </c>
      <c r="E22" s="33">
        <v>0</v>
      </c>
      <c r="F22" s="33">
        <v>144.64</v>
      </c>
      <c r="G22" s="33">
        <v>7.81</v>
      </c>
      <c r="H22" s="33">
        <f>'10-08-15'!H22+D22+F22</f>
        <v>253.12</v>
      </c>
      <c r="I22" s="33">
        <f>'10-08-15'!I22+E22+G22</f>
        <v>13.66</v>
      </c>
      <c r="J22" s="33">
        <f t="shared" si="4"/>
        <v>266.78000000000003</v>
      </c>
      <c r="K22" s="33">
        <f t="shared" si="5"/>
        <v>1759.22</v>
      </c>
      <c r="L22" s="33">
        <f>C22-(J22/8.2*26.2)</f>
        <v>1173.6053658536584</v>
      </c>
      <c r="M22" s="42"/>
      <c r="N22" s="60"/>
    </row>
    <row r="23" spans="1:14" ht="24.75" customHeight="1">
      <c r="A23" s="75" t="s">
        <v>38</v>
      </c>
      <c r="B23" s="76"/>
      <c r="C23" s="49">
        <f>SUM(C21:C22)</f>
        <v>28949</v>
      </c>
      <c r="D23" s="49">
        <f aca="true" t="shared" si="7" ref="D23:L23">SUM(D21:D22)</f>
        <v>305.1</v>
      </c>
      <c r="E23" s="49">
        <f t="shared" si="7"/>
        <v>7.93</v>
      </c>
      <c r="F23" s="49">
        <f t="shared" si="7"/>
        <v>473.91999999999996</v>
      </c>
      <c r="G23" s="49">
        <f t="shared" si="7"/>
        <v>25.589999999999986</v>
      </c>
      <c r="H23" s="49">
        <f t="shared" si="7"/>
        <v>15157.680000000002</v>
      </c>
      <c r="I23" s="49">
        <f t="shared" si="7"/>
        <v>668.7099999999998</v>
      </c>
      <c r="J23" s="62">
        <f t="shared" si="7"/>
        <v>15826.390000000001</v>
      </c>
      <c r="K23" s="49">
        <f t="shared" si="7"/>
        <v>13122.609999999999</v>
      </c>
      <c r="L23" s="49">
        <f t="shared" si="7"/>
        <v>-21618.246097560983</v>
      </c>
      <c r="M23" s="38"/>
      <c r="N23" s="41"/>
    </row>
    <row r="24" spans="1:14" ht="11.25" customHeight="1">
      <c r="A24" s="2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8"/>
      <c r="N24" s="39"/>
    </row>
    <row r="25" spans="1:14" ht="11.2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9"/>
    </row>
    <row r="26" spans="1:13" s="44" customFormat="1" ht="11.25" customHeight="1">
      <c r="A26" s="31" t="s">
        <v>26</v>
      </c>
      <c r="B26" s="32">
        <v>55130100</v>
      </c>
      <c r="C26" s="33">
        <v>4523</v>
      </c>
      <c r="D26" s="33">
        <f>32.1+68.48</f>
        <v>100.58000000000001</v>
      </c>
      <c r="E26" s="33">
        <f>0.83+1.78</f>
        <v>2.61</v>
      </c>
      <c r="F26" s="33">
        <v>0</v>
      </c>
      <c r="G26" s="33">
        <v>0</v>
      </c>
      <c r="H26" s="33">
        <f>'10-08-15'!H26+D26+F26</f>
        <v>1320.91</v>
      </c>
      <c r="I26" s="33">
        <f>'10-08-15'!I26+E26+G26</f>
        <v>34.28</v>
      </c>
      <c r="J26" s="33">
        <f>H26+I26</f>
        <v>1355.19</v>
      </c>
      <c r="K26" s="33">
        <f>C26-J26</f>
        <v>3167.81</v>
      </c>
      <c r="L26" s="33">
        <f>C26-(J26/8.2*26.2)</f>
        <v>193.00268292682904</v>
      </c>
      <c r="M26" s="45"/>
    </row>
    <row r="27" spans="1:13" s="44" customFormat="1" ht="11.25" customHeight="1">
      <c r="A27" s="31" t="s">
        <v>30</v>
      </c>
      <c r="B27" s="32">
        <v>55140100</v>
      </c>
      <c r="C27" s="33">
        <v>2995</v>
      </c>
      <c r="D27" s="33">
        <v>0</v>
      </c>
      <c r="E27" s="33">
        <v>0</v>
      </c>
      <c r="F27" s="33">
        <v>136.96</v>
      </c>
      <c r="G27" s="33">
        <v>7.39</v>
      </c>
      <c r="H27" s="33">
        <f>'10-08-15'!H27+D27+F27</f>
        <v>1198.4</v>
      </c>
      <c r="I27" s="33">
        <f>'10-08-15'!I27+E27+G27</f>
        <v>64.64</v>
      </c>
      <c r="J27" s="33">
        <f>H27+I27</f>
        <v>1263.0400000000002</v>
      </c>
      <c r="K27" s="33">
        <f>C27-J27</f>
        <v>1731.9599999999998</v>
      </c>
      <c r="L27" s="33">
        <f>C27-(J27/8.2*26.2)</f>
        <v>-1040.5668292682935</v>
      </c>
      <c r="M27" s="45"/>
    </row>
    <row r="28" spans="1:14" s="44" customFormat="1" ht="24.75" customHeight="1">
      <c r="A28" s="75" t="s">
        <v>39</v>
      </c>
      <c r="B28" s="76"/>
      <c r="C28" s="49">
        <f aca="true" t="shared" si="8" ref="C28:L28">SUM(C26:C27)</f>
        <v>7518</v>
      </c>
      <c r="D28" s="49">
        <f t="shared" si="8"/>
        <v>100.58000000000001</v>
      </c>
      <c r="E28" s="49">
        <f t="shared" si="8"/>
        <v>2.61</v>
      </c>
      <c r="F28" s="49">
        <f t="shared" si="8"/>
        <v>136.96</v>
      </c>
      <c r="G28" s="49">
        <f t="shared" si="8"/>
        <v>7.39</v>
      </c>
      <c r="H28" s="49">
        <f t="shared" si="8"/>
        <v>2519.3100000000004</v>
      </c>
      <c r="I28" s="49">
        <f t="shared" si="8"/>
        <v>98.92</v>
      </c>
      <c r="J28" s="49">
        <f t="shared" si="8"/>
        <v>2618.2300000000005</v>
      </c>
      <c r="K28" s="49">
        <f t="shared" si="8"/>
        <v>4899.7699999999995</v>
      </c>
      <c r="L28" s="49">
        <f t="shared" si="8"/>
        <v>-847.5641463414645</v>
      </c>
      <c r="M28" s="42"/>
      <c r="N28" s="43"/>
    </row>
    <row r="29" spans="1:14" ht="11.25" customHeight="1">
      <c r="A29" s="2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8"/>
      <c r="N29" s="39"/>
    </row>
    <row r="30" spans="1:14" ht="11.2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8"/>
      <c r="N30" s="39"/>
    </row>
    <row r="31" spans="1:14" s="44" customFormat="1" ht="11.25" customHeight="1">
      <c r="A31" s="31" t="s">
        <v>34</v>
      </c>
      <c r="B31" s="32">
        <v>55010000</v>
      </c>
      <c r="C31" s="33">
        <f>24725-15347</f>
        <v>9378</v>
      </c>
      <c r="D31" s="33">
        <v>0</v>
      </c>
      <c r="E31" s="33">
        <v>0</v>
      </c>
      <c r="F31" s="33">
        <v>0</v>
      </c>
      <c r="G31" s="33">
        <v>0</v>
      </c>
      <c r="H31" s="33">
        <f>'10-08-15'!H31+D31+F31</f>
        <v>0</v>
      </c>
      <c r="I31" s="33">
        <f>'10-08-15'!I31+E31+G31</f>
        <v>0</v>
      </c>
      <c r="J31" s="33">
        <f aca="true" t="shared" si="9" ref="J31:J36">H31+I31</f>
        <v>0</v>
      </c>
      <c r="K31" s="33">
        <f aca="true" t="shared" si="10" ref="K31:K36">C31-J31</f>
        <v>9378</v>
      </c>
      <c r="L31" s="33">
        <f aca="true" t="shared" si="11" ref="L31:L36">C31-(J31/8.2*26.2)</f>
        <v>9378</v>
      </c>
      <c r="M31" s="42"/>
      <c r="N31" s="43"/>
    </row>
    <row r="32" spans="1:13" s="44" customFormat="1" ht="11.25" customHeight="1">
      <c r="A32" s="31" t="s">
        <v>31</v>
      </c>
      <c r="B32" s="32">
        <v>55080500</v>
      </c>
      <c r="C32" s="33">
        <v>10000</v>
      </c>
      <c r="D32" s="33">
        <v>0</v>
      </c>
      <c r="E32" s="33">
        <v>0</v>
      </c>
      <c r="F32" s="33">
        <f>1124.72</f>
        <v>1124.72</v>
      </c>
      <c r="G32" s="33">
        <f>29.24</f>
        <v>29.24</v>
      </c>
      <c r="H32" s="33">
        <f>'10-08-15'!H32+D32+F32</f>
        <v>1254.32</v>
      </c>
      <c r="I32" s="33">
        <f>'10-08-15'!I32+E32+G32</f>
        <v>36.23</v>
      </c>
      <c r="J32" s="33">
        <f t="shared" si="9"/>
        <v>1290.55</v>
      </c>
      <c r="K32" s="33">
        <f t="shared" si="10"/>
        <v>8709.45</v>
      </c>
      <c r="L32" s="33">
        <f t="shared" si="11"/>
        <v>5876.535365853658</v>
      </c>
      <c r="M32" s="45"/>
    </row>
    <row r="33" spans="1:13" s="44" customFormat="1" ht="11.25" customHeight="1">
      <c r="A33" s="31" t="s">
        <v>32</v>
      </c>
      <c r="B33" s="32">
        <v>55050300</v>
      </c>
      <c r="C33" s="33">
        <v>15347</v>
      </c>
      <c r="D33" s="33">
        <v>0</v>
      </c>
      <c r="E33" s="33">
        <v>0</v>
      </c>
      <c r="F33" s="33">
        <v>756</v>
      </c>
      <c r="G33" s="33">
        <v>40.82</v>
      </c>
      <c r="H33" s="33">
        <f>'10-08-15'!H33+D33+F33</f>
        <v>6279</v>
      </c>
      <c r="I33" s="33">
        <f>'10-08-15'!I33+E33+G33</f>
        <v>339.03</v>
      </c>
      <c r="J33" s="33">
        <f t="shared" si="9"/>
        <v>6618.03</v>
      </c>
      <c r="K33" s="33">
        <f t="shared" si="10"/>
        <v>8728.970000000001</v>
      </c>
      <c r="L33" s="33">
        <f t="shared" si="11"/>
        <v>-5798.412926829267</v>
      </c>
      <c r="M33" s="45"/>
    </row>
    <row r="34" spans="1:13" s="44" customFormat="1" ht="11.25" customHeight="1">
      <c r="A34" s="31" t="s">
        <v>43</v>
      </c>
      <c r="B34" s="32">
        <v>55160300</v>
      </c>
      <c r="C34" s="33">
        <v>43385.81</v>
      </c>
      <c r="D34" s="33">
        <v>0</v>
      </c>
      <c r="E34" s="33">
        <v>0</v>
      </c>
      <c r="F34" s="33">
        <v>3154.25</v>
      </c>
      <c r="G34" s="33">
        <v>170.32</v>
      </c>
      <c r="H34" s="33">
        <f>'10-08-15'!H34+D34+F34</f>
        <v>25864.870000000003</v>
      </c>
      <c r="I34" s="33">
        <f>'10-08-15'!I34+E34+G34</f>
        <v>1396.6299999999997</v>
      </c>
      <c r="J34" s="33">
        <f t="shared" si="9"/>
        <v>27261.500000000004</v>
      </c>
      <c r="K34" s="33">
        <f t="shared" si="10"/>
        <v>16124.309999999994</v>
      </c>
      <c r="L34" s="33">
        <f t="shared" si="11"/>
        <v>-43718.00707317075</v>
      </c>
      <c r="M34" s="45"/>
    </row>
    <row r="35" spans="1:13" s="44" customFormat="1" ht="11.25" customHeight="1" hidden="1">
      <c r="A35" s="31" t="s">
        <v>47</v>
      </c>
      <c r="B35" s="32">
        <v>55010100</v>
      </c>
      <c r="C35" s="33"/>
      <c r="D35" s="33">
        <f>-32.1</f>
        <v>-32.1</v>
      </c>
      <c r="E35" s="33">
        <f>-0.83</f>
        <v>-0.83</v>
      </c>
      <c r="F35" s="33"/>
      <c r="G35" s="33"/>
      <c r="H35" s="33">
        <f>'10-08-15'!H35+D35+F35</f>
        <v>0</v>
      </c>
      <c r="I35" s="33">
        <f>'10-08-15'!I35+E35+G35</f>
        <v>-0.010000000000000009</v>
      </c>
      <c r="J35" s="33">
        <f t="shared" si="9"/>
        <v>-0.010000000000000009</v>
      </c>
      <c r="K35" s="33">
        <f t="shared" si="10"/>
        <v>0.010000000000000009</v>
      </c>
      <c r="L35" s="33">
        <f t="shared" si="11"/>
        <v>0.03195121951219515</v>
      </c>
      <c r="M35" s="45"/>
    </row>
    <row r="36" spans="1:13" s="44" customFormat="1" ht="11.25" customHeight="1">
      <c r="A36" s="31" t="s">
        <v>24</v>
      </c>
      <c r="B36" s="32" t="s">
        <v>25</v>
      </c>
      <c r="C36" s="33">
        <v>0</v>
      </c>
      <c r="D36" s="33"/>
      <c r="E36" s="33"/>
      <c r="F36" s="33"/>
      <c r="G36" s="33"/>
      <c r="H36" s="33">
        <f>'10-08-15'!H36+D36+F36</f>
        <v>0</v>
      </c>
      <c r="I36" s="33">
        <f>'10-08-15'!I36+E36+G36</f>
        <v>0</v>
      </c>
      <c r="J36" s="33">
        <f t="shared" si="9"/>
        <v>0</v>
      </c>
      <c r="K36" s="33">
        <f t="shared" si="10"/>
        <v>0</v>
      </c>
      <c r="L36" s="33">
        <f t="shared" si="11"/>
        <v>0</v>
      </c>
      <c r="M36" s="45"/>
    </row>
    <row r="37" spans="1:14" ht="24.75" customHeight="1">
      <c r="A37" s="75" t="s">
        <v>40</v>
      </c>
      <c r="B37" s="76"/>
      <c r="C37" s="49">
        <f>SUM(C31:C36)</f>
        <v>78110.81</v>
      </c>
      <c r="D37" s="49">
        <f aca="true" t="shared" si="12" ref="D37:L37">SUM(D31:D36)</f>
        <v>-32.1</v>
      </c>
      <c r="E37" s="49">
        <f t="shared" si="12"/>
        <v>-0.83</v>
      </c>
      <c r="F37" s="49">
        <f t="shared" si="12"/>
        <v>5034.97</v>
      </c>
      <c r="G37" s="49">
        <f t="shared" si="12"/>
        <v>240.38</v>
      </c>
      <c r="H37" s="49">
        <f t="shared" si="12"/>
        <v>33398.19</v>
      </c>
      <c r="I37" s="49">
        <f t="shared" si="12"/>
        <v>1771.8799999999997</v>
      </c>
      <c r="J37" s="49">
        <f t="shared" si="12"/>
        <v>35170.07</v>
      </c>
      <c r="K37" s="49">
        <f t="shared" si="12"/>
        <v>42940.74</v>
      </c>
      <c r="L37" s="49">
        <f t="shared" si="12"/>
        <v>-34261.85268292685</v>
      </c>
      <c r="M37" s="38"/>
      <c r="N37" s="39"/>
    </row>
    <row r="38" spans="1:14" ht="11.25" customHeight="1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8"/>
      <c r="N38" s="39"/>
    </row>
    <row r="39" spans="1:14" ht="11.25" customHeight="1">
      <c r="A39" s="28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8"/>
      <c r="N39" s="39"/>
    </row>
    <row r="40" spans="1:14" ht="24.75" customHeight="1">
      <c r="A40" s="76" t="s">
        <v>42</v>
      </c>
      <c r="B40" s="76"/>
      <c r="C40" s="49">
        <f>C12+C18+C23+C28+C37</f>
        <v>352600.81</v>
      </c>
      <c r="D40" s="49">
        <f aca="true" t="shared" si="13" ref="D40:L40">D12+D18+D23+D28+D37</f>
        <v>4475.29</v>
      </c>
      <c r="E40" s="49">
        <f t="shared" si="13"/>
        <v>116.29000000000002</v>
      </c>
      <c r="F40" s="49">
        <f t="shared" si="13"/>
        <v>7152.530000000001</v>
      </c>
      <c r="G40" s="49">
        <f t="shared" si="13"/>
        <v>354.68999999999994</v>
      </c>
      <c r="H40" s="49">
        <f t="shared" si="13"/>
        <v>113232.43000000001</v>
      </c>
      <c r="I40" s="49">
        <f t="shared" si="13"/>
        <v>4573.639999999999</v>
      </c>
      <c r="J40" s="49">
        <f t="shared" si="13"/>
        <v>117806.07</v>
      </c>
      <c r="K40" s="49">
        <f t="shared" si="13"/>
        <v>234794.74</v>
      </c>
      <c r="L40" s="49">
        <f t="shared" si="13"/>
        <v>-23803.950243902484</v>
      </c>
      <c r="M40" s="38"/>
      <c r="N40" s="39"/>
    </row>
    <row r="41" spans="1:14" ht="11.25" customHeight="1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38"/>
      <c r="N41" s="39"/>
    </row>
    <row r="42" spans="1:14" ht="11.25" customHeight="1">
      <c r="A42" s="54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38"/>
      <c r="N42" s="39"/>
    </row>
    <row r="43" spans="1:14" s="44" customFormat="1" ht="12" customHeight="1">
      <c r="A43" s="31" t="s">
        <v>27</v>
      </c>
      <c r="B43" s="31" t="s">
        <v>28</v>
      </c>
      <c r="C43" s="33">
        <v>61829</v>
      </c>
      <c r="D43" s="33">
        <f>(-1746.45)+1471.42</f>
        <v>-275.03</v>
      </c>
      <c r="E43" s="33">
        <f>(-45.4)+38.25</f>
        <v>-7.149999999999999</v>
      </c>
      <c r="F43" s="33">
        <v>0</v>
      </c>
      <c r="G43" s="33">
        <v>0</v>
      </c>
      <c r="H43" s="33">
        <f>'10-08-15'!H43+D43+F43</f>
        <v>18529.85</v>
      </c>
      <c r="I43" s="33">
        <f>'10-08-15'!I43+E43+G43</f>
        <v>657.5600000000001</v>
      </c>
      <c r="J43" s="33">
        <f>H43+I43</f>
        <v>19187.41</v>
      </c>
      <c r="K43" s="33">
        <f>C43-J43</f>
        <v>42641.59</v>
      </c>
      <c r="L43" s="33">
        <f>C43-(J43/8.2*26.2)</f>
        <v>522.8851219512144</v>
      </c>
      <c r="M43" s="42"/>
      <c r="N43" s="43"/>
    </row>
    <row r="44" spans="1:14" ht="12" customHeight="1">
      <c r="A44" s="6"/>
      <c r="B44" s="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38"/>
      <c r="N44" s="39"/>
    </row>
    <row r="45" spans="1:14" ht="12" customHeight="1">
      <c r="A45" s="6" t="s">
        <v>29</v>
      </c>
      <c r="B45" s="6" t="s">
        <v>35</v>
      </c>
      <c r="C45" s="27">
        <v>15000</v>
      </c>
      <c r="D45" s="27">
        <v>0</v>
      </c>
      <c r="E45" s="27">
        <v>0</v>
      </c>
      <c r="F45" s="27">
        <v>639.64</v>
      </c>
      <c r="G45" s="27">
        <v>34.54</v>
      </c>
      <c r="H45" s="33">
        <f>'10-08-15'!H45+D45+F45</f>
        <v>5073.57</v>
      </c>
      <c r="I45" s="33">
        <f>'10-08-15'!I45+E45+G45</f>
        <v>273.93</v>
      </c>
      <c r="J45" s="27">
        <f>H45+I45</f>
        <v>5347.5</v>
      </c>
      <c r="K45" s="27">
        <f>C45-J45</f>
        <v>9652.5</v>
      </c>
      <c r="L45" s="33">
        <f>C45-(J45/8.2*26.2)</f>
        <v>-2085.914634146342</v>
      </c>
      <c r="M45" s="38"/>
      <c r="N45" s="39"/>
    </row>
    <row r="46" spans="1:14" ht="12" customHeight="1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38"/>
      <c r="N46" s="39"/>
    </row>
    <row r="47" spans="1:14" ht="12" customHeight="1">
      <c r="A47" s="50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38"/>
      <c r="N47" s="39"/>
    </row>
    <row r="48" spans="1:14" ht="24.75" customHeight="1">
      <c r="A48" s="51" t="s">
        <v>41</v>
      </c>
      <c r="B48" s="52"/>
      <c r="C48" s="53">
        <f>C43+C45</f>
        <v>76829</v>
      </c>
      <c r="D48" s="53">
        <f aca="true" t="shared" si="14" ref="D48:L48">D43+D45</f>
        <v>-275.03</v>
      </c>
      <c r="E48" s="53">
        <f t="shared" si="14"/>
        <v>-7.149999999999999</v>
      </c>
      <c r="F48" s="53">
        <f t="shared" si="14"/>
        <v>639.64</v>
      </c>
      <c r="G48" s="53">
        <f t="shared" si="14"/>
        <v>34.54</v>
      </c>
      <c r="H48" s="53">
        <f t="shared" si="14"/>
        <v>23603.42</v>
      </c>
      <c r="I48" s="53">
        <f t="shared" si="14"/>
        <v>931.49</v>
      </c>
      <c r="J48" s="53">
        <f t="shared" si="14"/>
        <v>24534.91</v>
      </c>
      <c r="K48" s="53">
        <f t="shared" si="14"/>
        <v>52294.09</v>
      </c>
      <c r="L48" s="53">
        <f t="shared" si="14"/>
        <v>-1563.0295121951276</v>
      </c>
      <c r="M48" s="38"/>
      <c r="N48" s="12"/>
    </row>
    <row r="49" spans="1:14" ht="24" customHeight="1">
      <c r="A49" s="9"/>
      <c r="B49" s="10"/>
      <c r="C49" s="11"/>
      <c r="H49" s="11"/>
      <c r="I49" s="11"/>
      <c r="J49" s="11"/>
      <c r="K49" s="11"/>
      <c r="L49" s="11"/>
      <c r="M49" s="38"/>
      <c r="N49" s="12"/>
    </row>
    <row r="50" spans="1:14" ht="33.75">
      <c r="A50" s="57" t="s">
        <v>44</v>
      </c>
      <c r="B50" s="58">
        <v>43385.81</v>
      </c>
      <c r="C50" s="13"/>
      <c r="D50" s="13"/>
      <c r="E50" s="13"/>
      <c r="F50" s="13"/>
      <c r="G50" s="13"/>
      <c r="H50" s="46"/>
      <c r="I50" s="46"/>
      <c r="J50" s="46"/>
      <c r="K50" s="46"/>
      <c r="L50" s="46"/>
      <c r="M50" s="38"/>
      <c r="N50" s="12"/>
    </row>
    <row r="51" spans="1:14" ht="33.75">
      <c r="A51" s="9" t="s">
        <v>45</v>
      </c>
      <c r="B51" s="58">
        <v>10000</v>
      </c>
      <c r="C51" s="16"/>
      <c r="D51" s="11"/>
      <c r="E51" s="11"/>
      <c r="F51" s="11"/>
      <c r="G51" s="11"/>
      <c r="H51" s="11"/>
      <c r="I51" s="2"/>
      <c r="J51" s="11"/>
      <c r="K51" s="11"/>
      <c r="L51" s="11"/>
      <c r="M51" s="38"/>
      <c r="N51" s="12"/>
    </row>
    <row r="52" spans="1:14" ht="22.5">
      <c r="A52" s="14" t="s">
        <v>46</v>
      </c>
      <c r="B52" s="58">
        <v>15347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8"/>
      <c r="N52" s="12"/>
    </row>
    <row r="53" spans="1:14" ht="15" customHeight="1">
      <c r="A53" s="14"/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8"/>
      <c r="N53" s="17"/>
    </row>
    <row r="54" spans="1:14" ht="15">
      <c r="A54" s="14"/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8"/>
      <c r="N54" s="12"/>
    </row>
    <row r="55" spans="1:14" ht="22.5" customHeight="1">
      <c r="A55" s="14"/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8"/>
      <c r="N55" s="12"/>
    </row>
    <row r="56" spans="1:14" ht="15">
      <c r="A56" s="18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N56" s="12"/>
    </row>
    <row r="57" spans="1:14" ht="15" customHeight="1">
      <c r="A57" s="18"/>
      <c r="B57" s="10"/>
      <c r="C57" s="21"/>
      <c r="D57" s="21"/>
      <c r="E57" s="21"/>
      <c r="F57" s="21"/>
      <c r="G57" s="21"/>
      <c r="H57" s="21"/>
      <c r="I57" s="21"/>
      <c r="J57" s="21"/>
      <c r="K57" s="21"/>
      <c r="L57" s="21"/>
      <c r="N57" s="12"/>
    </row>
    <row r="58" spans="1:14" ht="15" customHeight="1">
      <c r="A58" s="19"/>
      <c r="B58" s="10"/>
      <c r="C58" s="21"/>
      <c r="D58" s="21"/>
      <c r="E58" s="21"/>
      <c r="F58" s="21"/>
      <c r="G58" s="21"/>
      <c r="H58" s="21"/>
      <c r="I58" s="21"/>
      <c r="J58" s="21"/>
      <c r="K58" s="21"/>
      <c r="L58" s="21"/>
      <c r="N58" s="12"/>
    </row>
    <row r="59" spans="1:14" ht="15">
      <c r="A59" s="19"/>
      <c r="B59" s="10"/>
      <c r="C59" s="21"/>
      <c r="D59" s="21"/>
      <c r="E59" s="21"/>
      <c r="F59" s="21"/>
      <c r="G59" s="21"/>
      <c r="H59" s="21"/>
      <c r="I59" s="21"/>
      <c r="J59" s="21"/>
      <c r="K59" s="21"/>
      <c r="L59" s="21"/>
      <c r="N59" s="12"/>
    </row>
    <row r="60" spans="1:14" ht="15">
      <c r="A60" s="18"/>
      <c r="B60" s="10"/>
      <c r="C60" s="21"/>
      <c r="D60" s="21"/>
      <c r="E60" s="21"/>
      <c r="F60" s="21"/>
      <c r="G60" s="21"/>
      <c r="H60" s="21"/>
      <c r="I60" s="21"/>
      <c r="J60" s="21"/>
      <c r="K60" s="21"/>
      <c r="L60" s="21"/>
      <c r="N60" s="12"/>
    </row>
    <row r="61" spans="1:14" ht="15">
      <c r="A61" s="18"/>
      <c r="B61" s="10"/>
      <c r="C61" s="21"/>
      <c r="D61" s="21"/>
      <c r="E61" s="21"/>
      <c r="F61" s="21"/>
      <c r="G61" s="21"/>
      <c r="H61" s="21"/>
      <c r="I61" s="21"/>
      <c r="J61" s="21"/>
      <c r="K61" s="21"/>
      <c r="L61" s="21"/>
      <c r="N61" s="12"/>
    </row>
    <row r="62" spans="1:14" ht="25.5" customHeight="1">
      <c r="A62" s="18"/>
      <c r="B62" s="10"/>
      <c r="C62" s="21"/>
      <c r="D62" s="21"/>
      <c r="E62" s="21"/>
      <c r="F62" s="21"/>
      <c r="G62" s="21"/>
      <c r="H62" s="21"/>
      <c r="I62" s="21"/>
      <c r="J62" s="21"/>
      <c r="K62" s="21"/>
      <c r="L62" s="21"/>
      <c r="N62" s="12"/>
    </row>
    <row r="63" spans="1:14" ht="15" customHeight="1">
      <c r="A63" s="18"/>
      <c r="B63" s="10"/>
      <c r="C63" s="21"/>
      <c r="D63" s="21"/>
      <c r="E63" s="21"/>
      <c r="F63" s="21"/>
      <c r="G63" s="21"/>
      <c r="H63" s="21"/>
      <c r="I63" s="21"/>
      <c r="J63" s="21"/>
      <c r="K63" s="21"/>
      <c r="L63" s="21"/>
      <c r="N63" s="12"/>
    </row>
    <row r="64" spans="1:14" ht="15" customHeight="1">
      <c r="A64" s="20"/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47"/>
      <c r="N64" s="12"/>
    </row>
    <row r="65" spans="1:14" ht="15" customHeight="1">
      <c r="A65" s="22"/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47"/>
      <c r="N65" s="24"/>
    </row>
    <row r="66" spans="1:14" ht="11.25" customHeight="1">
      <c r="A66" s="23"/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47"/>
      <c r="N66" s="24"/>
    </row>
    <row r="67" spans="1:14" ht="11.25" customHeight="1">
      <c r="A67" s="25"/>
      <c r="B67" s="2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47"/>
      <c r="N67" s="24"/>
    </row>
    <row r="68" spans="1:14" ht="11.25" customHeight="1">
      <c r="A68" s="22"/>
      <c r="B68" s="2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47"/>
      <c r="N68" s="24"/>
    </row>
    <row r="69" spans="1:14" ht="11.25" customHeight="1">
      <c r="A69" s="22"/>
      <c r="B69" s="2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47"/>
      <c r="N69" s="24"/>
    </row>
    <row r="70" spans="1:14" ht="11.25" customHeight="1">
      <c r="A70" s="22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47"/>
      <c r="N70" s="24"/>
    </row>
    <row r="71" spans="1:14" ht="11.25" customHeight="1">
      <c r="A71" s="22"/>
      <c r="B71" s="2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47"/>
      <c r="N71" s="24"/>
    </row>
    <row r="72" spans="1:14" ht="11.25" customHeight="1">
      <c r="A72" s="22"/>
      <c r="B72" s="22"/>
      <c r="C72" s="21"/>
      <c r="D72" s="21"/>
      <c r="E72" s="21"/>
      <c r="F72" s="21"/>
      <c r="G72" s="21"/>
      <c r="H72" s="21"/>
      <c r="I72" s="21"/>
      <c r="J72" s="21"/>
      <c r="K72" s="21"/>
      <c r="L72" s="21"/>
      <c r="N72" s="24"/>
    </row>
    <row r="73" spans="1:13" ht="15">
      <c r="A73" s="22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36"/>
    </row>
    <row r="74" spans="1:13" ht="15">
      <c r="A74" s="22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36"/>
    </row>
    <row r="75" spans="1:12" ht="15">
      <c r="A75" s="22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5">
      <c r="A76" s="24"/>
      <c r="B76" s="24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5">
      <c r="A77" s="24"/>
      <c r="B77" s="24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5">
      <c r="A78" s="24"/>
      <c r="B78" s="24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5">
      <c r="A79" s="24"/>
      <c r="B79" s="24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5">
      <c r="A80" s="24"/>
      <c r="B80" s="24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4" s="35" customFormat="1" ht="15">
      <c r="A81" s="24"/>
      <c r="B81" s="24"/>
      <c r="C81" s="48"/>
      <c r="D81" s="48"/>
      <c r="E81" s="48"/>
      <c r="F81" s="48"/>
      <c r="G81" s="48"/>
      <c r="H81" s="48"/>
      <c r="I81" s="48"/>
      <c r="J81" s="48"/>
      <c r="K81" s="48"/>
      <c r="L81" s="48"/>
      <c r="N81" s="36"/>
    </row>
    <row r="82" spans="1:12" ht="15">
      <c r="A82" s="2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</row>
  </sheetData>
  <sheetProtection/>
  <mergeCells count="6">
    <mergeCell ref="A12:B12"/>
    <mergeCell ref="A18:B18"/>
    <mergeCell ref="A23:B23"/>
    <mergeCell ref="A28:B28"/>
    <mergeCell ref="A37:B37"/>
    <mergeCell ref="A40:B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Krueger, Gregory</cp:lastModifiedBy>
  <cp:lastPrinted>2015-09-09T16:07:02Z</cp:lastPrinted>
  <dcterms:created xsi:type="dcterms:W3CDTF">2014-07-03T12:22:48Z</dcterms:created>
  <dcterms:modified xsi:type="dcterms:W3CDTF">2016-07-08T16:03:59Z</dcterms:modified>
  <cp:category/>
  <cp:version/>
  <cp:contentType/>
  <cp:contentStatus/>
</cp:coreProperties>
</file>