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65" windowWidth="19035" windowHeight="10785" firstSheet="24" activeTab="26"/>
  </bookViews>
  <sheets>
    <sheet name="7-9-09" sheetId="1" r:id="rId1"/>
    <sheet name="7-23-09" sheetId="2" r:id="rId2"/>
    <sheet name="8-6-09" sheetId="3" r:id="rId3"/>
    <sheet name="8-20-09" sheetId="4" r:id="rId4"/>
    <sheet name="9-3-09" sheetId="5" r:id="rId5"/>
    <sheet name="9-17-09" sheetId="6" r:id="rId6"/>
    <sheet name="10-1-09" sheetId="7" r:id="rId7"/>
    <sheet name="10-15-09" sheetId="8" r:id="rId8"/>
    <sheet name="10-29-09" sheetId="9" r:id="rId9"/>
    <sheet name="11-12-09" sheetId="10" r:id="rId10"/>
    <sheet name="11-26-09" sheetId="11" r:id="rId11"/>
    <sheet name="12-10-09" sheetId="12" r:id="rId12"/>
    <sheet name="12-24-09" sheetId="13" r:id="rId13"/>
    <sheet name="1-7-10" sheetId="14" r:id="rId14"/>
    <sheet name="1-21-10" sheetId="15" r:id="rId15"/>
    <sheet name="2-4-10" sheetId="16" r:id="rId16"/>
    <sheet name="2-18-10" sheetId="17" r:id="rId17"/>
    <sheet name="3-4-10" sheetId="18" r:id="rId18"/>
    <sheet name="3-18-10" sheetId="19" r:id="rId19"/>
    <sheet name="4-1-10" sheetId="20" r:id="rId20"/>
    <sheet name="4-15-10" sheetId="21" r:id="rId21"/>
    <sheet name="4-29-10" sheetId="22" r:id="rId22"/>
    <sheet name="5-13-10" sheetId="23" r:id="rId23"/>
    <sheet name="5-27-10" sheetId="24" r:id="rId24"/>
    <sheet name="6-10-10" sheetId="25" r:id="rId25"/>
    <sheet name="6-24-10" sheetId="26" r:id="rId26"/>
    <sheet name="6-30-10" sheetId="27" r:id="rId27"/>
  </sheets>
  <definedNames>
    <definedName name="_Hlk149635004" localSheetId="6">'10-1-09'!$L$4</definedName>
    <definedName name="_Hlk149635004" localSheetId="7">'10-15-09'!$L$4</definedName>
    <definedName name="_Hlk149635004" localSheetId="8">'10-29-09'!$L$4</definedName>
    <definedName name="_Hlk149635004" localSheetId="9">'11-12-09'!$L$4</definedName>
    <definedName name="_Hlk149635004" localSheetId="10">'11-26-09'!$L$4</definedName>
    <definedName name="_Hlk149635004" localSheetId="11">'12-10-09'!$L$4</definedName>
    <definedName name="_Hlk149635004" localSheetId="14">'1-21-10'!$L$4</definedName>
    <definedName name="_Hlk149635004" localSheetId="12">'12-24-09'!$L$4</definedName>
    <definedName name="_Hlk149635004" localSheetId="13">'1-7-10'!$L$4</definedName>
    <definedName name="_Hlk149635004" localSheetId="16">'2-18-10'!$L$4</definedName>
    <definedName name="_Hlk149635004" localSheetId="15">'2-4-10'!$L$4</definedName>
    <definedName name="_Hlk149635004" localSheetId="18">'3-18-10'!$L$4</definedName>
    <definedName name="_Hlk149635004" localSheetId="17">'3-4-10'!$L$4</definedName>
    <definedName name="_Hlk149635004" localSheetId="19">'4-1-10'!$L$4</definedName>
    <definedName name="_Hlk149635004" localSheetId="20">'4-15-10'!$L$4</definedName>
    <definedName name="_Hlk149635004" localSheetId="21">'4-29-10'!$L$4</definedName>
    <definedName name="_Hlk149635004" localSheetId="22">'5-13-10'!$L$4</definedName>
    <definedName name="_Hlk149635004" localSheetId="23">'5-27-10'!$L$4</definedName>
    <definedName name="_Hlk149635004" localSheetId="24">'6-10-10'!$L$4</definedName>
    <definedName name="_Hlk149635004" localSheetId="25">'6-24-10'!$L$4</definedName>
    <definedName name="_Hlk149635004" localSheetId="26">'6-30-10'!$L$4</definedName>
    <definedName name="_Hlk149635004" localSheetId="3">'8-20-09'!$L$4</definedName>
    <definedName name="_Hlk149635004" localSheetId="2">'8-6-09'!$L$4</definedName>
    <definedName name="_Hlk149635004" localSheetId="5">'9-17-09'!$L$4</definedName>
    <definedName name="_Hlk149635004" localSheetId="4">'9-3-09'!$L$4</definedName>
  </definedNames>
  <calcPr fullCalcOnLoad="1"/>
</workbook>
</file>

<file path=xl/sharedStrings.xml><?xml version="1.0" encoding="utf-8"?>
<sst xmlns="http://schemas.openxmlformats.org/spreadsheetml/2006/main" count="1126" uniqueCount="52">
  <si>
    <t>DEPARTMENT</t>
  </si>
  <si>
    <t>Department ID</t>
  </si>
  <si>
    <t>ALLOCATION *</t>
  </si>
  <si>
    <t>Current CWSP</t>
  </si>
  <si>
    <t>Current OPS</t>
  </si>
  <si>
    <t>Current FICA</t>
  </si>
  <si>
    <t>YTD CWSP</t>
  </si>
  <si>
    <t>YTD OPS</t>
  </si>
  <si>
    <t>YTD FICA</t>
  </si>
  <si>
    <t>YTD TOTAL</t>
  </si>
  <si>
    <t>Remaining</t>
  </si>
  <si>
    <t>Left at YTD Rate</t>
  </si>
  <si>
    <t>AFA</t>
  </si>
  <si>
    <t>EDUCATION</t>
  </si>
  <si>
    <t>JOURNALISM</t>
  </si>
  <si>
    <t>MUSIC</t>
  </si>
  <si>
    <t>DOCUMENTS</t>
  </si>
  <si>
    <t>MAPS</t>
  </si>
  <si>
    <t>MARSTON</t>
  </si>
  <si>
    <t>AFRICA</t>
  </si>
  <si>
    <t>LATIN AMERICA</t>
  </si>
  <si>
    <t>SPECIAL COLLECTIONS</t>
  </si>
  <si>
    <t>SUBTOTAL COLL &amp; BRANCHES</t>
  </si>
  <si>
    <t>PRESERVATION</t>
  </si>
  <si>
    <t>DIGITAL LIBRARY</t>
  </si>
  <si>
    <t>SYSTEMS</t>
  </si>
  <si>
    <t>SUBTOTAL TECH &amp; SUPP SERVICES</t>
  </si>
  <si>
    <t>ACCESS SVC -ALF</t>
  </si>
  <si>
    <t>PERSONNEL</t>
  </si>
  <si>
    <t>SUBTOTAL ADMINISTRATION</t>
  </si>
  <si>
    <t>HSCL</t>
  </si>
  <si>
    <t>BORLAND LIBRARY</t>
  </si>
  <si>
    <t>SUBTOTAL HEALTH SCIENCE CTR LIB</t>
  </si>
  <si>
    <t>ACCESS SERV</t>
  </si>
  <si>
    <t>CATALOGING</t>
  </si>
  <si>
    <t>ACQUISITIONS</t>
  </si>
  <si>
    <t>LIBRARY WEST-REFERENCE</t>
  </si>
  <si>
    <t>LIBRARY WEST-CIRC/STACKS</t>
  </si>
  <si>
    <t>Journalism-Additional funding from College of Journalism for Fall=$3500 (9/10/09)</t>
  </si>
  <si>
    <t>Access Serv-Reduction used for ILL</t>
  </si>
  <si>
    <t>Interdepartmental transfer-55100100 to 55030400=$4056.00(3/31/10)</t>
  </si>
  <si>
    <t>Interdepartmental transfer-55110100 to 55030400=$2800.00(3/31/10)</t>
  </si>
  <si>
    <t>Journalism-Additional funding from College of Journalism for Spring=$3500 (2/3/10)</t>
  </si>
  <si>
    <t>Interdepartmental transfer-55020500 to 55040100=$800.00(5/3/10)</t>
  </si>
  <si>
    <t>Interdepartmental transfer-55020300 to 55040100=$800.00(5/3/10)</t>
  </si>
  <si>
    <t>Interdepartmental transfer-55020400 to 55040100=$800.00(5/3/10)</t>
  </si>
  <si>
    <t>ILL Transfer-55030100 650000 to 55030500 700000=$563.62(5/7/10)</t>
  </si>
  <si>
    <t>ILL UPS Charges-55160100 650000 to 55030500 700000=$1300.00(5/7/10)</t>
  </si>
  <si>
    <t>Interdepartmental transfer-55070100 to 55070400=$66.00(6/4/10)</t>
  </si>
  <si>
    <t>Interdepartmental transfer-55070100 to 55070400=$44.57(5/28/10)</t>
  </si>
  <si>
    <t>Extended Hours transfer to 55050200=$525.23(6/11/10)</t>
  </si>
  <si>
    <t>YTD FICA includes Fringe charges through 6/30/10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</si>
</sst>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55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 tint="-0.349979996681213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14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39" fontId="4" fillId="0" borderId="0" xfId="55" applyNumberFormat="1" applyFont="1" applyAlignment="1">
      <alignment horizontal="center"/>
      <protection/>
    </xf>
    <xf numFmtId="39" fontId="3" fillId="0" borderId="10" xfId="55" applyNumberFormat="1" applyFont="1" applyBorder="1">
      <alignment/>
      <protection/>
    </xf>
    <xf numFmtId="0" fontId="3" fillId="0" borderId="10" xfId="55" applyFont="1" applyBorder="1">
      <alignment/>
      <protection/>
    </xf>
    <xf numFmtId="5" fontId="3" fillId="0" borderId="10" xfId="55" applyNumberFormat="1" applyFont="1" applyBorder="1">
      <alignment/>
      <protection/>
    </xf>
    <xf numFmtId="5" fontId="3" fillId="33" borderId="10" xfId="55" applyNumberFormat="1" applyFont="1" applyFill="1" applyBorder="1">
      <alignment/>
      <protection/>
    </xf>
    <xf numFmtId="0" fontId="3" fillId="34" borderId="10" xfId="55" applyFont="1" applyFill="1" applyBorder="1">
      <alignment/>
      <protection/>
    </xf>
    <xf numFmtId="5" fontId="3" fillId="34" borderId="10" xfId="55" applyNumberFormat="1" applyFont="1" applyFill="1" applyBorder="1">
      <alignment/>
      <protection/>
    </xf>
    <xf numFmtId="2" fontId="3" fillId="0" borderId="0" xfId="55" applyNumberFormat="1" applyFont="1">
      <alignment/>
      <protection/>
    </xf>
    <xf numFmtId="39" fontId="3" fillId="0" borderId="0" xfId="55" applyNumberFormat="1" applyFont="1" applyBorder="1">
      <alignment/>
      <protection/>
    </xf>
    <xf numFmtId="7" fontId="3" fillId="0" borderId="0" xfId="55" applyNumberFormat="1" applyFont="1">
      <alignment/>
      <protection/>
    </xf>
    <xf numFmtId="0" fontId="3" fillId="0" borderId="1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5" fontId="3" fillId="0" borderId="12" xfId="55" applyNumberFormat="1" applyFont="1" applyFill="1" applyBorder="1">
      <alignment/>
      <protection/>
    </xf>
    <xf numFmtId="5" fontId="3" fillId="33" borderId="13" xfId="55" applyNumberFormat="1" applyFont="1" applyFill="1" applyBorder="1">
      <alignment/>
      <protection/>
    </xf>
    <xf numFmtId="0" fontId="3" fillId="0" borderId="12" xfId="55" applyFont="1" applyBorder="1">
      <alignment/>
      <protection/>
    </xf>
    <xf numFmtId="0" fontId="3" fillId="33" borderId="13" xfId="55" applyFont="1" applyFill="1" applyBorder="1">
      <alignment/>
      <protection/>
    </xf>
    <xf numFmtId="0" fontId="3" fillId="35" borderId="11" xfId="55" applyFont="1" applyFill="1" applyBorder="1">
      <alignment/>
      <protection/>
    </xf>
    <xf numFmtId="0" fontId="3" fillId="0" borderId="12" xfId="55" applyFont="1" applyFill="1" applyBorder="1">
      <alignment/>
      <protection/>
    </xf>
    <xf numFmtId="0" fontId="5" fillId="0" borderId="0" xfId="55" applyFont="1">
      <alignment/>
      <protection/>
    </xf>
    <xf numFmtId="0" fontId="41" fillId="0" borderId="0" xfId="0" applyFont="1" applyAlignment="1">
      <alignment/>
    </xf>
    <xf numFmtId="5" fontId="3" fillId="33" borderId="11" xfId="55" applyNumberFormat="1" applyFont="1" applyFill="1" applyBorder="1">
      <alignment/>
      <protection/>
    </xf>
    <xf numFmtId="39" fontId="3" fillId="0" borderId="14" xfId="55" applyNumberFormat="1" applyFont="1" applyBorder="1">
      <alignment/>
      <protection/>
    </xf>
    <xf numFmtId="0" fontId="3" fillId="33" borderId="0" xfId="55" applyFont="1" applyFill="1" applyBorder="1">
      <alignment/>
      <protection/>
    </xf>
    <xf numFmtId="5" fontId="3" fillId="33" borderId="0" xfId="55" applyNumberFormat="1" applyFont="1" applyFill="1" applyBorder="1">
      <alignment/>
      <protection/>
    </xf>
    <xf numFmtId="39" fontId="3" fillId="33" borderId="0" xfId="55" applyNumberFormat="1" applyFont="1" applyFill="1" applyBorder="1">
      <alignment/>
      <protection/>
    </xf>
    <xf numFmtId="39" fontId="3" fillId="33" borderId="15" xfId="55" applyNumberFormat="1" applyFont="1" applyFill="1" applyBorder="1">
      <alignment/>
      <protection/>
    </xf>
    <xf numFmtId="0" fontId="3" fillId="0" borderId="14" xfId="55" applyFont="1" applyBorder="1">
      <alignment/>
      <protection/>
    </xf>
    <xf numFmtId="5" fontId="3" fillId="0" borderId="14" xfId="55" applyNumberFormat="1" applyFont="1" applyBorder="1">
      <alignment/>
      <protection/>
    </xf>
    <xf numFmtId="0" fontId="3" fillId="33" borderId="16" xfId="55" applyFont="1" applyFill="1" applyBorder="1">
      <alignment/>
      <protection/>
    </xf>
    <xf numFmtId="5" fontId="3" fillId="33" borderId="16" xfId="55" applyNumberFormat="1" applyFont="1" applyFill="1" applyBorder="1">
      <alignment/>
      <protection/>
    </xf>
    <xf numFmtId="39" fontId="3" fillId="33" borderId="16" xfId="55" applyNumberFormat="1" applyFont="1" applyFill="1" applyBorder="1">
      <alignment/>
      <protection/>
    </xf>
    <xf numFmtId="0" fontId="3" fillId="0" borderId="14" xfId="55" applyFont="1" applyFill="1" applyBorder="1">
      <alignment/>
      <protection/>
    </xf>
    <xf numFmtId="5" fontId="3" fillId="0" borderId="14" xfId="55" applyNumberFormat="1" applyFont="1" applyFill="1" applyBorder="1">
      <alignment/>
      <protection/>
    </xf>
    <xf numFmtId="5" fontId="3" fillId="33" borderId="15" xfId="55" applyNumberFormat="1" applyFont="1" applyFill="1" applyBorder="1">
      <alignment/>
      <protection/>
    </xf>
    <xf numFmtId="0" fontId="4" fillId="0" borderId="16" xfId="55" applyFont="1" applyBorder="1" applyAlignment="1">
      <alignment horizontal="center"/>
      <protection/>
    </xf>
    <xf numFmtId="39" fontId="4" fillId="0" borderId="16" xfId="55" applyNumberFormat="1" applyFont="1" applyBorder="1" applyAlignment="1">
      <alignment horizontal="center"/>
      <protection/>
    </xf>
    <xf numFmtId="39" fontId="3" fillId="0" borderId="16" xfId="55" applyNumberFormat="1" applyFont="1" applyBorder="1">
      <alignment/>
      <protection/>
    </xf>
    <xf numFmtId="7" fontId="3" fillId="0" borderId="14" xfId="55" applyNumberFormat="1" applyFont="1" applyFill="1" applyBorder="1">
      <alignment/>
      <protection/>
    </xf>
    <xf numFmtId="7" fontId="3" fillId="0" borderId="12" xfId="55" applyNumberFormat="1" applyFont="1" applyFill="1" applyBorder="1">
      <alignment/>
      <protection/>
    </xf>
    <xf numFmtId="39" fontId="3" fillId="0" borderId="14" xfId="55" applyNumberFormat="1" applyFont="1" applyFill="1" applyBorder="1">
      <alignment/>
      <protection/>
    </xf>
    <xf numFmtId="39" fontId="3" fillId="0" borderId="12" xfId="55" applyNumberFormat="1" applyFont="1" applyFill="1" applyBorder="1">
      <alignment/>
      <protection/>
    </xf>
    <xf numFmtId="39" fontId="3" fillId="0" borderId="10" xfId="55" applyNumberFormat="1" applyFont="1" applyFill="1" applyBorder="1">
      <alignment/>
      <protection/>
    </xf>
    <xf numFmtId="39" fontId="3" fillId="33" borderId="17" xfId="55" applyNumberFormat="1" applyFont="1" applyFill="1" applyBorder="1">
      <alignment/>
      <protection/>
    </xf>
    <xf numFmtId="39" fontId="42" fillId="35" borderId="0" xfId="55" applyNumberFormat="1" applyFont="1" applyFill="1" applyBorder="1">
      <alignment/>
      <protection/>
    </xf>
    <xf numFmtId="5" fontId="3" fillId="35" borderId="11" xfId="55" applyNumberFormat="1" applyFont="1" applyFill="1" applyBorder="1">
      <alignment/>
      <protection/>
    </xf>
    <xf numFmtId="7" fontId="5" fillId="0" borderId="0" xfId="55" applyNumberFormat="1" applyFont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39" fontId="3" fillId="35" borderId="0" xfId="55" applyNumberFormat="1" applyFont="1" applyFill="1" applyBorder="1">
      <alignment/>
      <protection/>
    </xf>
    <xf numFmtId="0" fontId="3" fillId="35" borderId="13" xfId="55" applyFont="1" applyFill="1" applyBorder="1">
      <alignment/>
      <protection/>
    </xf>
    <xf numFmtId="5" fontId="3" fillId="35" borderId="10" xfId="55" applyNumberFormat="1" applyFont="1" applyFill="1" applyBorder="1">
      <alignment/>
      <protection/>
    </xf>
    <xf numFmtId="5" fontId="3" fillId="0" borderId="10" xfId="55" applyNumberFormat="1" applyFont="1" applyBorder="1" applyProtection="1">
      <alignment/>
      <protection locked="0"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76200</xdr:rowOff>
    </xdr:from>
    <xdr:ext cx="133350" cy="142875"/>
    <xdr:sp fLocksText="0">
      <xdr:nvSpPr>
        <xdr:cNvPr id="1" name="TextBox 1"/>
        <xdr:cNvSpPr txBox="1">
          <a:spLocks noChangeArrowheads="1"/>
        </xdr:cNvSpPr>
      </xdr:nvSpPr>
      <xdr:spPr>
        <a:xfrm>
          <a:off x="1571625" y="50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C6" sqref="C6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31.05</v>
      </c>
      <c r="E4" s="26">
        <v>518.21</v>
      </c>
      <c r="F4" s="26">
        <v>0</v>
      </c>
      <c r="G4" s="26">
        <f>D4</f>
        <v>31.05</v>
      </c>
      <c r="H4" s="26">
        <f>E4</f>
        <v>518.21</v>
      </c>
      <c r="I4" s="26">
        <f>F4</f>
        <v>0</v>
      </c>
      <c r="J4" s="26">
        <f>SUM(G4:I4)</f>
        <v>549.26</v>
      </c>
      <c r="K4" s="26">
        <f>C4-J4</f>
        <v>12769.74</v>
      </c>
      <c r="L4" s="26">
        <f>C4-(J4/1*26.1)</f>
        <v>-1016.6859999999997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6">
        <v>166.48</v>
      </c>
      <c r="E5" s="6">
        <v>325.72</v>
      </c>
      <c r="F5" s="6">
        <v>0</v>
      </c>
      <c r="G5" s="6">
        <f aca="true" t="shared" si="0" ref="G5:G15">D5</f>
        <v>166.48</v>
      </c>
      <c r="H5" s="6">
        <f aca="true" t="shared" si="1" ref="H5:H15">E5</f>
        <v>325.72</v>
      </c>
      <c r="I5" s="6">
        <f aca="true" t="shared" si="2" ref="I5:I15">F5</f>
        <v>0</v>
      </c>
      <c r="J5" s="6">
        <f aca="true" t="shared" si="3" ref="J5:J15">SUM(G5:I5)</f>
        <v>492.20000000000005</v>
      </c>
      <c r="K5" s="6">
        <f aca="true" t="shared" si="4" ref="K5:K15">C5-J5</f>
        <v>21556.8</v>
      </c>
      <c r="L5" s="6">
        <f aca="true" t="shared" si="5" ref="L5:L15">C5-(J5/1*26.1)</f>
        <v>9202.579999999998</v>
      </c>
    </row>
    <row r="6" spans="1:12" s="24" customFormat="1" ht="11.25">
      <c r="A6" s="7" t="s">
        <v>14</v>
      </c>
      <c r="B6" s="7">
        <v>55020500</v>
      </c>
      <c r="C6" s="8">
        <v>6601</v>
      </c>
      <c r="D6" s="6">
        <v>35.02</v>
      </c>
      <c r="E6" s="6">
        <v>209.29</v>
      </c>
      <c r="F6" s="6">
        <v>0</v>
      </c>
      <c r="G6" s="6">
        <f t="shared" si="0"/>
        <v>35.02</v>
      </c>
      <c r="H6" s="6">
        <f t="shared" si="1"/>
        <v>209.29</v>
      </c>
      <c r="I6" s="6">
        <f t="shared" si="2"/>
        <v>0</v>
      </c>
      <c r="J6" s="6">
        <f t="shared" si="3"/>
        <v>244.31</v>
      </c>
      <c r="K6" s="6">
        <f t="shared" si="4"/>
        <v>6356.69</v>
      </c>
      <c r="L6" s="6">
        <f t="shared" si="5"/>
        <v>224.50900000000001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6">
        <v>108.52</v>
      </c>
      <c r="E7" s="6">
        <v>35.39</v>
      </c>
      <c r="F7" s="6">
        <v>0</v>
      </c>
      <c r="G7" s="6">
        <f t="shared" si="0"/>
        <v>108.52</v>
      </c>
      <c r="H7" s="6">
        <f t="shared" si="1"/>
        <v>35.39</v>
      </c>
      <c r="I7" s="6">
        <f t="shared" si="2"/>
        <v>0</v>
      </c>
      <c r="J7" s="6">
        <f t="shared" si="3"/>
        <v>143.91</v>
      </c>
      <c r="K7" s="6">
        <f t="shared" si="4"/>
        <v>6406.09</v>
      </c>
      <c r="L7" s="6">
        <f t="shared" si="5"/>
        <v>2793.949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6">
        <v>114.26</v>
      </c>
      <c r="E8" s="6">
        <v>0</v>
      </c>
      <c r="F8" s="6">
        <v>0</v>
      </c>
      <c r="G8" s="6">
        <f t="shared" si="0"/>
        <v>114.26</v>
      </c>
      <c r="H8" s="6">
        <f t="shared" si="1"/>
        <v>0</v>
      </c>
      <c r="I8" s="6">
        <f t="shared" si="2"/>
        <v>0</v>
      </c>
      <c r="J8" s="6">
        <f t="shared" si="3"/>
        <v>114.26</v>
      </c>
      <c r="K8" s="6">
        <f t="shared" si="4"/>
        <v>9668.74</v>
      </c>
      <c r="L8" s="6">
        <f t="shared" si="5"/>
        <v>6800.814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6">
        <v>0</v>
      </c>
      <c r="E9" s="6">
        <v>0</v>
      </c>
      <c r="F9" s="6">
        <v>0</v>
      </c>
      <c r="G9" s="6">
        <f t="shared" si="0"/>
        <v>0</v>
      </c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8006</v>
      </c>
      <c r="L9" s="6">
        <f t="shared" si="5"/>
        <v>8006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6">
        <v>67.75</v>
      </c>
      <c r="E10" s="6">
        <v>847.08</v>
      </c>
      <c r="F10" s="6">
        <v>0</v>
      </c>
      <c r="G10" s="6">
        <f t="shared" si="0"/>
        <v>67.75</v>
      </c>
      <c r="H10" s="6">
        <f t="shared" si="1"/>
        <v>847.08</v>
      </c>
      <c r="I10" s="6">
        <f t="shared" si="2"/>
        <v>0</v>
      </c>
      <c r="J10" s="6">
        <f t="shared" si="3"/>
        <v>914.83</v>
      </c>
      <c r="K10" s="6">
        <f t="shared" si="4"/>
        <v>24281.17</v>
      </c>
      <c r="L10" s="6">
        <f t="shared" si="5"/>
        <v>1318.936999999998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6">
        <v>0</v>
      </c>
      <c r="E11" s="6">
        <v>0</v>
      </c>
      <c r="F11" s="6">
        <v>0</v>
      </c>
      <c r="G11" s="6">
        <f t="shared" si="0"/>
        <v>0</v>
      </c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7500</v>
      </c>
      <c r="L11" s="6">
        <f t="shared" si="5"/>
        <v>7500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6">
        <v>41.1</v>
      </c>
      <c r="E12" s="6">
        <v>54.44</v>
      </c>
      <c r="F12" s="6">
        <v>0</v>
      </c>
      <c r="G12" s="6">
        <f t="shared" si="0"/>
        <v>41.1</v>
      </c>
      <c r="H12" s="6">
        <f t="shared" si="1"/>
        <v>54.44</v>
      </c>
      <c r="I12" s="6">
        <f t="shared" si="2"/>
        <v>0</v>
      </c>
      <c r="J12" s="6">
        <f t="shared" si="3"/>
        <v>95.53999999999999</v>
      </c>
      <c r="K12" s="6">
        <f t="shared" si="4"/>
        <v>4048.46</v>
      </c>
      <c r="L12" s="6">
        <f t="shared" si="5"/>
        <v>1650.406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6">
        <v>0</v>
      </c>
      <c r="E13" s="6">
        <v>267.9</v>
      </c>
      <c r="F13" s="6">
        <v>0</v>
      </c>
      <c r="G13" s="6">
        <f t="shared" si="0"/>
        <v>0</v>
      </c>
      <c r="H13" s="6">
        <f t="shared" si="1"/>
        <v>267.9</v>
      </c>
      <c r="I13" s="6">
        <f t="shared" si="2"/>
        <v>0</v>
      </c>
      <c r="J13" s="6">
        <f t="shared" si="3"/>
        <v>267.9</v>
      </c>
      <c r="K13" s="6">
        <f t="shared" si="4"/>
        <v>19906.1</v>
      </c>
      <c r="L13" s="6">
        <f t="shared" si="5"/>
        <v>13181.810000000001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6">
        <v>2.18</v>
      </c>
      <c r="E14" s="6">
        <v>516.17</v>
      </c>
      <c r="F14" s="6">
        <v>0</v>
      </c>
      <c r="G14" s="6">
        <f t="shared" si="0"/>
        <v>2.18</v>
      </c>
      <c r="H14" s="6">
        <f t="shared" si="1"/>
        <v>516.17</v>
      </c>
      <c r="I14" s="6">
        <f t="shared" si="2"/>
        <v>0</v>
      </c>
      <c r="J14" s="6">
        <f t="shared" si="3"/>
        <v>518.3499999999999</v>
      </c>
      <c r="K14" s="6">
        <f t="shared" si="4"/>
        <v>30490.65</v>
      </c>
      <c r="L14" s="6">
        <f t="shared" si="5"/>
        <v>17480.065000000002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6">
        <v>23.35</v>
      </c>
      <c r="E15" s="6">
        <v>220.23</v>
      </c>
      <c r="F15" s="6">
        <v>0</v>
      </c>
      <c r="G15" s="6">
        <f t="shared" si="0"/>
        <v>23.35</v>
      </c>
      <c r="H15" s="6">
        <f t="shared" si="1"/>
        <v>220.23</v>
      </c>
      <c r="I15" s="6">
        <f t="shared" si="2"/>
        <v>0</v>
      </c>
      <c r="J15" s="6">
        <f t="shared" si="3"/>
        <v>243.57999999999998</v>
      </c>
      <c r="K15" s="6">
        <f t="shared" si="4"/>
        <v>13048.42</v>
      </c>
      <c r="L15" s="6">
        <f t="shared" si="5"/>
        <v>6934.562</v>
      </c>
    </row>
    <row r="16" spans="1:12" s="24" customFormat="1" ht="11.25">
      <c r="A16" s="16" t="s">
        <v>22</v>
      </c>
      <c r="B16" s="20"/>
      <c r="C16" s="25">
        <f aca="true" t="shared" si="6" ref="C16:L16">SUM(C4:C15)</f>
        <v>167623</v>
      </c>
      <c r="D16" s="25">
        <f t="shared" si="6"/>
        <v>589.7099999999999</v>
      </c>
      <c r="E16" s="25">
        <f t="shared" si="6"/>
        <v>2994.4300000000003</v>
      </c>
      <c r="F16" s="25">
        <f t="shared" si="6"/>
        <v>0</v>
      </c>
      <c r="G16" s="25">
        <f t="shared" si="6"/>
        <v>589.7099999999999</v>
      </c>
      <c r="H16" s="25">
        <f t="shared" si="6"/>
        <v>2994.4300000000003</v>
      </c>
      <c r="I16" s="25">
        <f t="shared" si="6"/>
        <v>0</v>
      </c>
      <c r="J16" s="25">
        <f t="shared" si="6"/>
        <v>3584.14</v>
      </c>
      <c r="K16" s="25">
        <f t="shared" si="6"/>
        <v>164038.86000000002</v>
      </c>
      <c r="L16" s="9">
        <f t="shared" si="6"/>
        <v>74076.94600000001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0</v>
      </c>
      <c r="E18" s="6">
        <v>392.35</v>
      </c>
      <c r="F18" s="6">
        <v>0</v>
      </c>
      <c r="G18" s="6">
        <f aca="true" t="shared" si="7" ref="G18:G23">D18</f>
        <v>0</v>
      </c>
      <c r="H18" s="6">
        <f aca="true" t="shared" si="8" ref="H18:H23">E18</f>
        <v>392.35</v>
      </c>
      <c r="I18" s="6">
        <f aca="true" t="shared" si="9" ref="I18:I23">F18</f>
        <v>0</v>
      </c>
      <c r="J18" s="6">
        <f aca="true" t="shared" si="10" ref="J18:J23">SUM(G18:I18)</f>
        <v>392.35</v>
      </c>
      <c r="K18" s="6">
        <f aca="true" t="shared" si="11" ref="K18:K23">C18-J18</f>
        <v>15498.65</v>
      </c>
      <c r="L18" s="6">
        <f aca="true" t="shared" si="12" ref="L18:L23">C18-(J18/1*26.1)</f>
        <v>5650.664999999999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6">
        <v>87.05</v>
      </c>
      <c r="E19" s="6">
        <v>496.72</v>
      </c>
      <c r="F19" s="6">
        <v>0</v>
      </c>
      <c r="G19" s="6">
        <f t="shared" si="7"/>
        <v>87.05</v>
      </c>
      <c r="H19" s="6">
        <f t="shared" si="8"/>
        <v>496.72</v>
      </c>
      <c r="I19" s="6">
        <f t="shared" si="9"/>
        <v>0</v>
      </c>
      <c r="J19" s="6">
        <f t="shared" si="10"/>
        <v>583.77</v>
      </c>
      <c r="K19" s="6">
        <f t="shared" si="11"/>
        <v>14809.23</v>
      </c>
      <c r="L19" s="6">
        <f t="shared" si="12"/>
        <v>156.60299999999916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6">
        <v>19.65</v>
      </c>
      <c r="E20" s="6">
        <v>69.22</v>
      </c>
      <c r="F20" s="6">
        <v>0</v>
      </c>
      <c r="G20" s="6">
        <f t="shared" si="7"/>
        <v>19.65</v>
      </c>
      <c r="H20" s="6">
        <f t="shared" si="8"/>
        <v>69.22</v>
      </c>
      <c r="I20" s="6">
        <f t="shared" si="9"/>
        <v>0</v>
      </c>
      <c r="J20" s="6">
        <f t="shared" si="10"/>
        <v>88.87</v>
      </c>
      <c r="K20" s="6">
        <f t="shared" si="11"/>
        <v>14479.13</v>
      </c>
      <c r="L20" s="6">
        <f t="shared" si="12"/>
        <v>12248.493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6">
        <v>0</v>
      </c>
      <c r="E21" s="6">
        <v>0</v>
      </c>
      <c r="F21" s="6">
        <v>0</v>
      </c>
      <c r="G21" s="6">
        <f t="shared" si="7"/>
        <v>0</v>
      </c>
      <c r="H21" s="6">
        <f t="shared" si="8"/>
        <v>0</v>
      </c>
      <c r="I21" s="6">
        <f t="shared" si="9"/>
        <v>0</v>
      </c>
      <c r="J21" s="6">
        <f t="shared" si="10"/>
        <v>0</v>
      </c>
      <c r="K21" s="6">
        <f t="shared" si="11"/>
        <v>6082</v>
      </c>
      <c r="L21" s="6">
        <f t="shared" si="12"/>
        <v>6082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6">
        <v>17.22</v>
      </c>
      <c r="E22" s="6">
        <v>302.82</v>
      </c>
      <c r="F22" s="6">
        <v>0</v>
      </c>
      <c r="G22" s="6">
        <f t="shared" si="7"/>
        <v>17.22</v>
      </c>
      <c r="H22" s="6">
        <f t="shared" si="8"/>
        <v>302.82</v>
      </c>
      <c r="I22" s="6">
        <f t="shared" si="9"/>
        <v>0</v>
      </c>
      <c r="J22" s="6">
        <f t="shared" si="10"/>
        <v>320.03999999999996</v>
      </c>
      <c r="K22" s="6">
        <f t="shared" si="11"/>
        <v>7371.96</v>
      </c>
      <c r="L22" s="6">
        <f t="shared" si="12"/>
        <v>-661.0439999999999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6">
        <v>78.87</v>
      </c>
      <c r="E23" s="6">
        <v>0</v>
      </c>
      <c r="F23" s="6">
        <v>0</v>
      </c>
      <c r="G23" s="6">
        <f t="shared" si="7"/>
        <v>78.87</v>
      </c>
      <c r="H23" s="6">
        <f t="shared" si="8"/>
        <v>0</v>
      </c>
      <c r="I23" s="6">
        <f t="shared" si="9"/>
        <v>0</v>
      </c>
      <c r="J23" s="6">
        <f t="shared" si="10"/>
        <v>78.87</v>
      </c>
      <c r="K23" s="6">
        <f t="shared" si="11"/>
        <v>6456.13</v>
      </c>
      <c r="L23" s="6">
        <f t="shared" si="12"/>
        <v>4476.493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13" ref="D24:L24">SUM(D18:D23)</f>
        <v>202.79</v>
      </c>
      <c r="E24" s="9">
        <f t="shared" si="13"/>
        <v>1261.1100000000001</v>
      </c>
      <c r="F24" s="9">
        <f t="shared" si="13"/>
        <v>0</v>
      </c>
      <c r="G24" s="9">
        <f t="shared" si="13"/>
        <v>202.79</v>
      </c>
      <c r="H24" s="9">
        <f t="shared" si="13"/>
        <v>1261.1100000000001</v>
      </c>
      <c r="I24" s="9">
        <f t="shared" si="13"/>
        <v>0</v>
      </c>
      <c r="J24" s="9">
        <f t="shared" si="13"/>
        <v>1463.9</v>
      </c>
      <c r="K24" s="9">
        <f t="shared" si="13"/>
        <v>64697.09999999999</v>
      </c>
      <c r="L24" s="9">
        <f t="shared" si="13"/>
        <v>27953.21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357.6</v>
      </c>
      <c r="F26" s="26">
        <v>0</v>
      </c>
      <c r="G26" s="6">
        <f>D26</f>
        <v>0</v>
      </c>
      <c r="H26" s="6">
        <f>E26</f>
        <v>357.6</v>
      </c>
      <c r="I26" s="6">
        <f>F26</f>
        <v>0</v>
      </c>
      <c r="J26" s="6">
        <f>SUM(G26:I26)</f>
        <v>357.6</v>
      </c>
      <c r="K26" s="26">
        <f>C26-J26</f>
        <v>14818.4</v>
      </c>
      <c r="L26" s="6">
        <f>C26-(J26/1*26.1)</f>
        <v>5842.639999999999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6">
        <v>56.16</v>
      </c>
      <c r="E27" s="6">
        <v>0</v>
      </c>
      <c r="F27" s="6">
        <v>0</v>
      </c>
      <c r="G27" s="6">
        <f>D27</f>
        <v>56.16</v>
      </c>
      <c r="H27" s="6">
        <f>E27</f>
        <v>0</v>
      </c>
      <c r="I27" s="6">
        <f>F27</f>
        <v>0</v>
      </c>
      <c r="J27" s="6">
        <f>SUM(G27:I27)</f>
        <v>56.16</v>
      </c>
      <c r="K27" s="6">
        <f>C27-J27</f>
        <v>5644.84</v>
      </c>
      <c r="L27" s="6">
        <f>C27-(J27/1*26.1)</f>
        <v>4235.224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14" ref="D28:L28">SUM(D26:D27)</f>
        <v>56.16</v>
      </c>
      <c r="E28" s="9">
        <f t="shared" si="14"/>
        <v>357.6</v>
      </c>
      <c r="F28" s="9">
        <f t="shared" si="14"/>
        <v>0</v>
      </c>
      <c r="G28" s="9">
        <f t="shared" si="14"/>
        <v>56.16</v>
      </c>
      <c r="H28" s="9">
        <f t="shared" si="14"/>
        <v>357.6</v>
      </c>
      <c r="I28" s="9">
        <f t="shared" si="14"/>
        <v>0</v>
      </c>
      <c r="J28" s="9">
        <f t="shared" si="14"/>
        <v>413.76</v>
      </c>
      <c r="K28" s="9">
        <f t="shared" si="14"/>
        <v>20463.239999999998</v>
      </c>
      <c r="L28" s="9">
        <f t="shared" si="14"/>
        <v>10077.864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37">
        <v>0</v>
      </c>
      <c r="E30" s="42">
        <v>1760.96</v>
      </c>
      <c r="F30" s="44">
        <v>0</v>
      </c>
      <c r="G30" s="6">
        <f>D30</f>
        <v>0</v>
      </c>
      <c r="H30" s="6">
        <f>E30</f>
        <v>1760.96</v>
      </c>
      <c r="I30" s="6">
        <f>F30</f>
        <v>0</v>
      </c>
      <c r="J30" s="6">
        <f>SUM(G30:I30)</f>
        <v>1760.96</v>
      </c>
      <c r="K30" s="26">
        <f>C30-J30</f>
        <v>59910.04</v>
      </c>
      <c r="L30" s="6">
        <f>C30-(J30/1*26.1)</f>
        <v>15709.943999999996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17">
        <v>0</v>
      </c>
      <c r="E31" s="43">
        <v>184.84</v>
      </c>
      <c r="F31" s="45">
        <v>0</v>
      </c>
      <c r="G31" s="6">
        <f>D31</f>
        <v>0</v>
      </c>
      <c r="H31" s="6">
        <f>E31</f>
        <v>184.84</v>
      </c>
      <c r="I31" s="6">
        <f>F31</f>
        <v>0</v>
      </c>
      <c r="J31" s="6">
        <f>SUM(G31:I31)</f>
        <v>184.84</v>
      </c>
      <c r="K31" s="6">
        <f>C31-J31</f>
        <v>15896.16</v>
      </c>
      <c r="L31" s="6">
        <f>C31-(J31/1*26.1)</f>
        <v>11256.676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15" ref="D32:L32">SUM(D30:D31)</f>
        <v>0</v>
      </c>
      <c r="E32" s="9">
        <f t="shared" si="15"/>
        <v>1945.8</v>
      </c>
      <c r="F32" s="9">
        <f t="shared" si="15"/>
        <v>0</v>
      </c>
      <c r="G32" s="9">
        <f t="shared" si="15"/>
        <v>0</v>
      </c>
      <c r="H32" s="9">
        <f t="shared" si="15"/>
        <v>1945.8</v>
      </c>
      <c r="I32" s="9">
        <f t="shared" si="15"/>
        <v>0</v>
      </c>
      <c r="J32" s="9">
        <f t="shared" si="15"/>
        <v>1945.8</v>
      </c>
      <c r="K32" s="9">
        <f t="shared" si="15"/>
        <v>75806.2</v>
      </c>
      <c r="L32" s="9">
        <f t="shared" si="15"/>
        <v>26966.619999999995</v>
      </c>
    </row>
    <row r="33" spans="1:12" s="24" customFormat="1" ht="11.25">
      <c r="A33" s="23"/>
      <c r="B33" s="23"/>
      <c r="C33" s="14">
        <f aca="true" t="shared" si="16" ref="C33:L33">C16+C24+C28+C32</f>
        <v>332413</v>
      </c>
      <c r="D33" s="14">
        <f t="shared" si="16"/>
        <v>848.6599999999999</v>
      </c>
      <c r="E33" s="14">
        <f t="shared" si="16"/>
        <v>6558.940000000001</v>
      </c>
      <c r="F33" s="14">
        <f t="shared" si="16"/>
        <v>0</v>
      </c>
      <c r="G33" s="14">
        <f t="shared" si="16"/>
        <v>848.6599999999999</v>
      </c>
      <c r="H33" s="14">
        <f t="shared" si="16"/>
        <v>6558.940000000001</v>
      </c>
      <c r="I33" s="14">
        <f t="shared" si="16"/>
        <v>0</v>
      </c>
      <c r="J33" s="14">
        <f t="shared" si="16"/>
        <v>7407.6</v>
      </c>
      <c r="K33" s="14">
        <f t="shared" si="16"/>
        <v>325005.4</v>
      </c>
      <c r="L33" s="14">
        <f t="shared" si="16"/>
        <v>139074.64</v>
      </c>
    </row>
    <row r="34" s="24" customFormat="1" ht="11.25"/>
    <row r="35" spans="1:12" s="24" customFormat="1" ht="11.25">
      <c r="A35" s="3"/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7-9-09</oddHeader>
    <oddFooter>&amp;CFY 2009-2010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E38" sqref="E38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61.18</v>
      </c>
      <c r="E4" s="26">
        <v>453.8</v>
      </c>
      <c r="F4" s="26">
        <v>0</v>
      </c>
      <c r="G4" s="26">
        <f>'10-29-09'!G4+'11-12-09'!D4</f>
        <v>828.97</v>
      </c>
      <c r="H4" s="26">
        <f>'10-29-09'!H4+'11-12-09'!E4</f>
        <v>3014.3700000000003</v>
      </c>
      <c r="I4" s="26">
        <f>'10-29-09'!I4+'11-12-09'!F4</f>
        <v>0</v>
      </c>
      <c r="J4" s="26">
        <f>SUM(G4:I4)</f>
        <v>3843.34</v>
      </c>
      <c r="K4" s="26">
        <f>C4-J4</f>
        <v>9475.66</v>
      </c>
      <c r="L4" s="26">
        <f>C4-(J4/10*26.1)</f>
        <v>3287.882599999999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488.89</v>
      </c>
      <c r="E5" s="26">
        <v>256.23</v>
      </c>
      <c r="F5" s="26">
        <v>0</v>
      </c>
      <c r="G5" s="26">
        <f>'10-29-09'!G5+'11-12-09'!D5</f>
        <v>4020.31</v>
      </c>
      <c r="H5" s="26">
        <f>'10-29-09'!H5+'11-12-09'!E5</f>
        <v>3106.480000000001</v>
      </c>
      <c r="I5" s="26">
        <f>'10-29-09'!I5+'11-12-09'!F5</f>
        <v>0</v>
      </c>
      <c r="J5" s="6">
        <f aca="true" t="shared" si="0" ref="J5:J15">SUM(G5:I5)</f>
        <v>7126.790000000001</v>
      </c>
      <c r="K5" s="6">
        <f aca="true" t="shared" si="1" ref="K5:K15">C5-J5</f>
        <v>14922.21</v>
      </c>
      <c r="L5" s="26">
        <f aca="true" t="shared" si="2" ref="L5:L15">C5-(J5/10*26.1)</f>
        <v>3448.078099999995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87.48</v>
      </c>
      <c r="E6" s="26">
        <v>163.68</v>
      </c>
      <c r="F6" s="26">
        <v>0</v>
      </c>
      <c r="G6" s="26">
        <f>'10-29-09'!G6+'11-12-09'!D6</f>
        <v>831.9200000000001</v>
      </c>
      <c r="H6" s="26">
        <f>'10-29-09'!H6+'11-12-09'!E6</f>
        <v>3294.3199999999997</v>
      </c>
      <c r="I6" s="26">
        <f>'10-29-09'!I6+'11-12-09'!F6</f>
        <v>0</v>
      </c>
      <c r="J6" s="6">
        <f t="shared" si="0"/>
        <v>4126.24</v>
      </c>
      <c r="K6" s="6">
        <f t="shared" si="1"/>
        <v>5974.76</v>
      </c>
      <c r="L6" s="26">
        <f t="shared" si="2"/>
        <v>-668.4863999999998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282.35</v>
      </c>
      <c r="E7" s="26">
        <v>0</v>
      </c>
      <c r="F7" s="26">
        <v>0</v>
      </c>
      <c r="G7" s="26">
        <f>'10-29-09'!G7+'11-12-09'!D7</f>
        <v>2157.55</v>
      </c>
      <c r="H7" s="26">
        <f>'10-29-09'!H7+'11-12-09'!E7</f>
        <v>135.97</v>
      </c>
      <c r="I7" s="26">
        <f>'10-29-09'!I7+'11-12-09'!F7</f>
        <v>0</v>
      </c>
      <c r="J7" s="6">
        <f t="shared" si="0"/>
        <v>2293.52</v>
      </c>
      <c r="K7" s="6">
        <f t="shared" si="1"/>
        <v>4256.48</v>
      </c>
      <c r="L7" s="26">
        <f t="shared" si="2"/>
        <v>563.9127999999992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257.14</v>
      </c>
      <c r="E8" s="26">
        <v>0</v>
      </c>
      <c r="F8" s="26">
        <v>0</v>
      </c>
      <c r="G8" s="26">
        <f>'10-29-09'!G8+'11-12-09'!D8</f>
        <v>1760.5</v>
      </c>
      <c r="H8" s="26">
        <f>'10-29-09'!H8+'11-12-09'!E8</f>
        <v>0</v>
      </c>
      <c r="I8" s="26">
        <f>'10-29-09'!I8+'11-12-09'!F8</f>
        <v>0</v>
      </c>
      <c r="J8" s="6">
        <f t="shared" si="0"/>
        <v>1760.5</v>
      </c>
      <c r="K8" s="6">
        <f t="shared" si="1"/>
        <v>8022.5</v>
      </c>
      <c r="L8" s="26">
        <f t="shared" si="2"/>
        <v>5188.094999999999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228.33</v>
      </c>
      <c r="E9" s="26">
        <v>0</v>
      </c>
      <c r="F9" s="26">
        <v>0</v>
      </c>
      <c r="G9" s="26">
        <f>'10-29-09'!G9+'11-12-09'!D9</f>
        <v>1340.46</v>
      </c>
      <c r="H9" s="26">
        <f>'10-29-09'!H9+'11-12-09'!E9</f>
        <v>0</v>
      </c>
      <c r="I9" s="26">
        <f>'10-29-09'!I9+'11-12-09'!F9</f>
        <v>0</v>
      </c>
      <c r="J9" s="6">
        <f t="shared" si="0"/>
        <v>1340.46</v>
      </c>
      <c r="K9" s="6">
        <f t="shared" si="1"/>
        <v>6665.54</v>
      </c>
      <c r="L9" s="26">
        <f t="shared" si="2"/>
        <v>4507.3994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301.07</v>
      </c>
      <c r="E10" s="26">
        <v>436.76</v>
      </c>
      <c r="F10" s="26">
        <v>0</v>
      </c>
      <c r="G10" s="26">
        <f>'10-29-09'!G10+'11-12-09'!D10</f>
        <v>1938.0400000000002</v>
      </c>
      <c r="H10" s="26">
        <f>'10-29-09'!H10+'11-12-09'!E10</f>
        <v>7043.289999999999</v>
      </c>
      <c r="I10" s="26">
        <f>'10-29-09'!I10+'11-12-09'!F10</f>
        <v>0</v>
      </c>
      <c r="J10" s="6">
        <f t="shared" si="0"/>
        <v>8981.33</v>
      </c>
      <c r="K10" s="6">
        <f t="shared" si="1"/>
        <v>16214.67</v>
      </c>
      <c r="L10" s="26">
        <f t="shared" si="2"/>
        <v>1754.728699999996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641.02</v>
      </c>
      <c r="F11" s="26">
        <v>0</v>
      </c>
      <c r="G11" s="26">
        <f>'10-29-09'!G11+'11-12-09'!D11</f>
        <v>0</v>
      </c>
      <c r="H11" s="26">
        <f>'10-29-09'!H11+'11-12-09'!E11</f>
        <v>3906.33</v>
      </c>
      <c r="I11" s="26">
        <f>'10-29-09'!I11+'11-12-09'!F11</f>
        <v>0</v>
      </c>
      <c r="J11" s="6">
        <f t="shared" si="0"/>
        <v>3906.33</v>
      </c>
      <c r="K11" s="6">
        <f t="shared" si="1"/>
        <v>3593.67</v>
      </c>
      <c r="L11" s="26">
        <f t="shared" si="2"/>
        <v>-2695.5213000000003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60.28</v>
      </c>
      <c r="E12" s="26">
        <v>0</v>
      </c>
      <c r="F12" s="26">
        <v>0</v>
      </c>
      <c r="G12" s="26">
        <f>'10-29-09'!G12+'11-12-09'!D12</f>
        <v>564.4399999999999</v>
      </c>
      <c r="H12" s="26">
        <f>'10-29-09'!H12+'11-12-09'!E12</f>
        <v>694.39</v>
      </c>
      <c r="I12" s="26">
        <f>'10-29-09'!I12+'11-12-09'!F12</f>
        <v>0</v>
      </c>
      <c r="J12" s="6">
        <f t="shared" si="0"/>
        <v>1258.83</v>
      </c>
      <c r="K12" s="6">
        <f t="shared" si="1"/>
        <v>2885.17</v>
      </c>
      <c r="L12" s="26">
        <f t="shared" si="2"/>
        <v>858.4537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97</v>
      </c>
      <c r="E13" s="26">
        <v>334.44</v>
      </c>
      <c r="F13" s="26">
        <v>0</v>
      </c>
      <c r="G13" s="26">
        <f>'10-29-09'!G13+'11-12-09'!D13</f>
        <v>512.23</v>
      </c>
      <c r="H13" s="26">
        <f>'10-29-09'!H13+'11-12-09'!E13</f>
        <v>4763.73</v>
      </c>
      <c r="I13" s="26">
        <f>'10-29-09'!I13+'11-12-09'!F13</f>
        <v>0</v>
      </c>
      <c r="J13" s="6">
        <f t="shared" si="0"/>
        <v>5275.959999999999</v>
      </c>
      <c r="K13" s="6">
        <f t="shared" si="1"/>
        <v>14898.04</v>
      </c>
      <c r="L13" s="26">
        <f t="shared" si="2"/>
        <v>6403.744400000001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522.31</v>
      </c>
      <c r="E14" s="26">
        <v>695.47</v>
      </c>
      <c r="F14" s="26">
        <v>0</v>
      </c>
      <c r="G14" s="26">
        <f>'10-29-09'!G14+'11-12-09'!D14</f>
        <v>3691.7599999999998</v>
      </c>
      <c r="H14" s="26">
        <f>'10-29-09'!H14+'11-12-09'!E14</f>
        <v>5777.76</v>
      </c>
      <c r="I14" s="26">
        <f>'10-29-09'!I14+'11-12-09'!F14</f>
        <v>0</v>
      </c>
      <c r="J14" s="6">
        <f t="shared" si="0"/>
        <v>9469.52</v>
      </c>
      <c r="K14" s="6">
        <f t="shared" si="1"/>
        <v>21539.48</v>
      </c>
      <c r="L14" s="26">
        <f t="shared" si="2"/>
        <v>6293.552799999998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184.19</v>
      </c>
      <c r="E15" s="26">
        <v>122.72</v>
      </c>
      <c r="F15" s="26">
        <v>0</v>
      </c>
      <c r="G15" s="26">
        <f>'10-29-09'!G15+'11-12-09'!D15</f>
        <v>1102.3500000000001</v>
      </c>
      <c r="H15" s="26">
        <f>'10-29-09'!H15+'11-12-09'!E15</f>
        <v>2967.0699999999997</v>
      </c>
      <c r="I15" s="26">
        <f>'10-29-09'!I15+'11-12-09'!F15</f>
        <v>0</v>
      </c>
      <c r="J15" s="6">
        <f t="shared" si="0"/>
        <v>4069.42</v>
      </c>
      <c r="K15" s="6">
        <f t="shared" si="1"/>
        <v>9222.58</v>
      </c>
      <c r="L15" s="26">
        <f t="shared" si="2"/>
        <v>2670.8138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2570.22</v>
      </c>
      <c r="E16" s="25">
        <f t="shared" si="3"/>
        <v>3104.1199999999994</v>
      </c>
      <c r="F16" s="25">
        <f t="shared" si="3"/>
        <v>0</v>
      </c>
      <c r="G16" s="25">
        <f t="shared" si="3"/>
        <v>18748.53</v>
      </c>
      <c r="H16" s="25">
        <f t="shared" si="3"/>
        <v>34703.71</v>
      </c>
      <c r="I16" s="25">
        <f t="shared" si="3"/>
        <v>0</v>
      </c>
      <c r="J16" s="25">
        <f t="shared" si="3"/>
        <v>53452.240000000005</v>
      </c>
      <c r="K16" s="25">
        <f t="shared" si="3"/>
        <v>117670.76000000001</v>
      </c>
      <c r="L16" s="9">
        <f t="shared" si="3"/>
        <v>31612.653599999987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150.23</v>
      </c>
      <c r="E18" s="6">
        <v>428.82</v>
      </c>
      <c r="F18" s="6">
        <v>0</v>
      </c>
      <c r="G18" s="6">
        <f>'10-29-09'!G18+'11-12-09'!D18</f>
        <v>824.51</v>
      </c>
      <c r="H18" s="6">
        <f>'10-29-09'!H18+'11-12-09'!E18</f>
        <v>5157.85</v>
      </c>
      <c r="I18" s="6">
        <f>'10-29-09'!I18+'11-12-09'!F18</f>
        <v>0</v>
      </c>
      <c r="J18" s="6">
        <f aca="true" t="shared" si="4" ref="J18:J23">SUM(G18:I18)</f>
        <v>5982.360000000001</v>
      </c>
      <c r="K18" s="6">
        <f aca="true" t="shared" si="5" ref="K18:K23">C18-J18</f>
        <v>9908.64</v>
      </c>
      <c r="L18" s="6">
        <f aca="true" t="shared" si="6" ref="L18:L23">C18-(J18/10*26.1)</f>
        <v>277.0403999999962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108.58</v>
      </c>
      <c r="E19" s="26">
        <v>349.69</v>
      </c>
      <c r="F19" s="26">
        <v>0</v>
      </c>
      <c r="G19" s="26">
        <f>'10-29-09'!G19+'11-12-09'!D19</f>
        <v>1018.5700000000003</v>
      </c>
      <c r="H19" s="26">
        <f>'10-29-09'!H19+'11-12-09'!E19</f>
        <v>3543.2200000000003</v>
      </c>
      <c r="I19" s="26">
        <f>'10-29-09'!I19+'11-12-09'!F19</f>
        <v>0</v>
      </c>
      <c r="J19" s="6">
        <f t="shared" si="4"/>
        <v>4561.790000000001</v>
      </c>
      <c r="K19" s="6">
        <f t="shared" si="5"/>
        <v>10831.21</v>
      </c>
      <c r="L19" s="26">
        <f t="shared" si="6"/>
        <v>3486.7280999999966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183.53</v>
      </c>
      <c r="E20" s="26">
        <v>146.81</v>
      </c>
      <c r="F20" s="26">
        <v>0</v>
      </c>
      <c r="G20" s="26">
        <f>'10-29-09'!G20+'11-12-09'!D20</f>
        <v>1129.25</v>
      </c>
      <c r="H20" s="26">
        <f>'10-29-09'!H20+'11-12-09'!E20</f>
        <v>1389.77</v>
      </c>
      <c r="I20" s="26">
        <f>'10-29-09'!I20+'11-12-09'!F20</f>
        <v>0</v>
      </c>
      <c r="J20" s="6">
        <f t="shared" si="4"/>
        <v>2519.02</v>
      </c>
      <c r="K20" s="6">
        <f t="shared" si="5"/>
        <v>12048.98</v>
      </c>
      <c r="L20" s="26">
        <f t="shared" si="6"/>
        <v>7993.3578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26.08</v>
      </c>
      <c r="E21" s="26">
        <v>0</v>
      </c>
      <c r="F21" s="26">
        <v>0</v>
      </c>
      <c r="G21" s="26">
        <f>'10-29-09'!G21+'11-12-09'!D21</f>
        <v>165.32</v>
      </c>
      <c r="H21" s="26">
        <f>'10-29-09'!H21+'11-12-09'!E21</f>
        <v>0</v>
      </c>
      <c r="I21" s="26">
        <f>'10-29-09'!I21+'11-12-09'!F21</f>
        <v>0</v>
      </c>
      <c r="J21" s="6">
        <f t="shared" si="4"/>
        <v>165.32</v>
      </c>
      <c r="K21" s="6">
        <f t="shared" si="5"/>
        <v>5916.68</v>
      </c>
      <c r="L21" s="26">
        <f t="shared" si="6"/>
        <v>5650.5148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266.71</v>
      </c>
      <c r="E22" s="26">
        <v>123.4</v>
      </c>
      <c r="F22" s="26">
        <v>0</v>
      </c>
      <c r="G22" s="26">
        <f>'10-29-09'!G22+'11-12-09'!D22</f>
        <v>840.6000000000001</v>
      </c>
      <c r="H22" s="26">
        <f>'10-29-09'!H22+'11-12-09'!E22</f>
        <v>760.57</v>
      </c>
      <c r="I22" s="26">
        <f>'10-29-09'!I22+'11-12-09'!F22</f>
        <v>0</v>
      </c>
      <c r="J22" s="6">
        <f t="shared" si="4"/>
        <v>1601.17</v>
      </c>
      <c r="K22" s="6">
        <f t="shared" si="5"/>
        <v>6090.83</v>
      </c>
      <c r="L22" s="26">
        <f t="shared" si="6"/>
        <v>3512.9462999999996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128.71</v>
      </c>
      <c r="E23" s="26">
        <v>0</v>
      </c>
      <c r="F23" s="26">
        <v>0</v>
      </c>
      <c r="G23" s="26">
        <f>'10-29-09'!G23+'11-12-09'!D23</f>
        <v>1058.36</v>
      </c>
      <c r="H23" s="26">
        <f>'10-29-09'!H23+'11-12-09'!E23</f>
        <v>0</v>
      </c>
      <c r="I23" s="26">
        <f>'10-29-09'!I23+'11-12-09'!F23</f>
        <v>0</v>
      </c>
      <c r="J23" s="6">
        <f t="shared" si="4"/>
        <v>1058.36</v>
      </c>
      <c r="K23" s="6">
        <f t="shared" si="5"/>
        <v>5476.64</v>
      </c>
      <c r="L23" s="26">
        <f t="shared" si="6"/>
        <v>3772.6804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863.84</v>
      </c>
      <c r="E24" s="9">
        <f aca="true" t="shared" si="7" ref="E24:L24">SUM(E18:E23)</f>
        <v>1048.72</v>
      </c>
      <c r="F24" s="9">
        <f t="shared" si="7"/>
        <v>0</v>
      </c>
      <c r="G24" s="9">
        <f t="shared" si="7"/>
        <v>5036.610000000001</v>
      </c>
      <c r="H24" s="9">
        <f t="shared" si="7"/>
        <v>10851.41</v>
      </c>
      <c r="I24" s="9">
        <f t="shared" si="7"/>
        <v>0</v>
      </c>
      <c r="J24" s="9">
        <f t="shared" si="7"/>
        <v>15888.020000000002</v>
      </c>
      <c r="K24" s="9">
        <f t="shared" si="7"/>
        <v>50272.98</v>
      </c>
      <c r="L24" s="9">
        <f t="shared" si="7"/>
        <v>24693.267799999994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'10-29-09'!G26+'11-12-09'!D26</f>
        <v>0</v>
      </c>
      <c r="H26" s="26">
        <f>'10-29-09'!H26+'11-12-09'!E26</f>
        <v>4887.2</v>
      </c>
      <c r="I26" s="26">
        <f>'10-29-09'!I26+'11-12-09'!F26</f>
        <v>0</v>
      </c>
      <c r="J26" s="6">
        <f>SUM(G26:I26)</f>
        <v>4887.2</v>
      </c>
      <c r="K26" s="26">
        <f>C26-J26</f>
        <v>10288.8</v>
      </c>
      <c r="L26" s="26">
        <f>C26-(J26/10*26.1)</f>
        <v>2420.4079999999994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98.75</v>
      </c>
      <c r="E27" s="26">
        <v>130.5</v>
      </c>
      <c r="F27" s="26">
        <v>0</v>
      </c>
      <c r="G27" s="26">
        <f>'10-29-09'!G27+'11-12-09'!D27</f>
        <v>938.95</v>
      </c>
      <c r="H27" s="26">
        <f>'10-29-09'!H27+'11-12-09'!E27</f>
        <v>847.79</v>
      </c>
      <c r="I27" s="26">
        <f>'10-29-09'!I27+'11-12-09'!F27</f>
        <v>0</v>
      </c>
      <c r="J27" s="6">
        <f>SUM(G27:I27)</f>
        <v>1786.74</v>
      </c>
      <c r="K27" s="6">
        <f>C27-J27</f>
        <v>3914.26</v>
      </c>
      <c r="L27" s="26">
        <f>C27-(J27/10*26.1)</f>
        <v>1037.6085999999996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98.75</v>
      </c>
      <c r="E28" s="9">
        <f>SUM(E26:E27)</f>
        <v>666.9</v>
      </c>
      <c r="F28" s="9">
        <f aca="true" t="shared" si="8" ref="F28:L28">SUM(F26:F27)</f>
        <v>0</v>
      </c>
      <c r="G28" s="9">
        <f t="shared" si="8"/>
        <v>938.95</v>
      </c>
      <c r="H28" s="9">
        <f t="shared" si="8"/>
        <v>5734.99</v>
      </c>
      <c r="I28" s="9">
        <f t="shared" si="8"/>
        <v>0</v>
      </c>
      <c r="J28" s="9">
        <f t="shared" si="8"/>
        <v>6673.94</v>
      </c>
      <c r="K28" s="9">
        <f t="shared" si="8"/>
        <v>14203.06</v>
      </c>
      <c r="L28" s="9">
        <f t="shared" si="8"/>
        <v>3458.016599999999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92.03</v>
      </c>
      <c r="E30" s="26">
        <v>2010.65</v>
      </c>
      <c r="F30" s="26">
        <v>0</v>
      </c>
      <c r="G30" s="26">
        <f>'10-29-09'!G30+'11-12-09'!D30</f>
        <v>259.62</v>
      </c>
      <c r="H30" s="26">
        <f>'10-29-09'!H30+'11-12-09'!E30</f>
        <v>21323.58</v>
      </c>
      <c r="I30" s="26">
        <f>'10-29-09'!I30+'11-12-09'!F30</f>
        <v>0</v>
      </c>
      <c r="J30" s="6">
        <f>SUM(G30:I30)</f>
        <v>21583.2</v>
      </c>
      <c r="K30" s="26">
        <f>C30-J30</f>
        <v>40087.8</v>
      </c>
      <c r="L30" s="26">
        <f>C30-(J30/10*26.1)</f>
        <v>5338.847999999991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838.12</v>
      </c>
      <c r="F31" s="26">
        <v>0</v>
      </c>
      <c r="G31" s="26">
        <f>'10-29-09'!G31+'11-12-09'!D31</f>
        <v>0</v>
      </c>
      <c r="H31" s="26">
        <f>'10-29-09'!H31+'11-12-09'!E31</f>
        <v>4221.26</v>
      </c>
      <c r="I31" s="26">
        <f>'10-29-09'!I31+'11-12-09'!F31</f>
        <v>0</v>
      </c>
      <c r="J31" s="6">
        <f>SUM(G31:I31)</f>
        <v>4221.26</v>
      </c>
      <c r="K31" s="6">
        <f>C31-J31</f>
        <v>11859.74</v>
      </c>
      <c r="L31" s="26">
        <f>C31-(J31/10*26.1)</f>
        <v>5063.511399999999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92.03</v>
      </c>
      <c r="E32" s="9">
        <f aca="true" t="shared" si="9" ref="E32:L32">SUM(E30:E31)</f>
        <v>2848.77</v>
      </c>
      <c r="F32" s="9">
        <f t="shared" si="9"/>
        <v>0</v>
      </c>
      <c r="G32" s="9">
        <f t="shared" si="9"/>
        <v>259.62</v>
      </c>
      <c r="H32" s="9">
        <f t="shared" si="9"/>
        <v>25544.840000000004</v>
      </c>
      <c r="I32" s="9">
        <f t="shared" si="9"/>
        <v>0</v>
      </c>
      <c r="J32" s="9">
        <f t="shared" si="9"/>
        <v>25804.46</v>
      </c>
      <c r="K32" s="9">
        <f t="shared" si="9"/>
        <v>51947.54</v>
      </c>
      <c r="L32" s="9">
        <f t="shared" si="9"/>
        <v>10402.35939999999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3624.84</v>
      </c>
      <c r="E33" s="14">
        <f t="shared" si="10"/>
        <v>7668.509999999998</v>
      </c>
      <c r="F33" s="14">
        <f t="shared" si="10"/>
        <v>0</v>
      </c>
      <c r="G33" s="14">
        <f t="shared" si="10"/>
        <v>24983.71</v>
      </c>
      <c r="H33" s="14">
        <f t="shared" si="10"/>
        <v>76834.95</v>
      </c>
      <c r="I33" s="14">
        <f t="shared" si="10"/>
        <v>0</v>
      </c>
      <c r="J33" s="14">
        <f t="shared" si="10"/>
        <v>101818.66</v>
      </c>
      <c r="K33" s="14">
        <f t="shared" si="10"/>
        <v>234094.34000000003</v>
      </c>
      <c r="L33" s="14">
        <f t="shared" si="10"/>
        <v>70166.29739999997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11-12-09</oddHeader>
    <oddFooter>&amp;CFY 2009-2010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J30" sqref="J30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67.08</v>
      </c>
      <c r="E4" s="26">
        <v>580.08</v>
      </c>
      <c r="F4" s="26">
        <v>0</v>
      </c>
      <c r="G4" s="26">
        <f>'11-12-09'!G4+'11-26-09'!D4</f>
        <v>896.0500000000001</v>
      </c>
      <c r="H4" s="26">
        <f>'11-12-09'!H4+'11-26-09'!E4</f>
        <v>3594.4500000000003</v>
      </c>
      <c r="I4" s="26">
        <f>'11-12-09'!I4+'11-26-09'!F4</f>
        <v>0</v>
      </c>
      <c r="J4" s="44">
        <f>SUM(G4:I4)</f>
        <v>4490.5</v>
      </c>
      <c r="K4" s="26">
        <f>C4-J4</f>
        <v>8828.5</v>
      </c>
      <c r="L4" s="26">
        <f>C4-(J4/11*26.1)</f>
        <v>2664.268181818181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458.43</v>
      </c>
      <c r="E5" s="26">
        <v>280.32</v>
      </c>
      <c r="F5" s="26">
        <v>0</v>
      </c>
      <c r="G5" s="26">
        <f>'11-12-09'!G5+'11-26-09'!D5</f>
        <v>4478.74</v>
      </c>
      <c r="H5" s="26">
        <f>'11-12-09'!H5+'11-26-09'!E5</f>
        <v>3386.800000000001</v>
      </c>
      <c r="I5" s="26">
        <f>'11-12-09'!I5+'11-26-09'!F5</f>
        <v>0</v>
      </c>
      <c r="J5" s="46">
        <f aca="true" t="shared" si="0" ref="J5:J15">SUM(G5:I5)</f>
        <v>7865.540000000001</v>
      </c>
      <c r="K5" s="6">
        <f aca="true" t="shared" si="1" ref="K5:K15">C5-J5</f>
        <v>14183.46</v>
      </c>
      <c r="L5" s="26">
        <f aca="true" t="shared" si="2" ref="L5:L15">C5-(J5/11*26.1)</f>
        <v>3386.218727272724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114.96</v>
      </c>
      <c r="E6" s="26">
        <v>163.13</v>
      </c>
      <c r="F6" s="26">
        <v>0</v>
      </c>
      <c r="G6" s="26">
        <f>'11-12-09'!G6+'11-26-09'!D6</f>
        <v>946.8800000000001</v>
      </c>
      <c r="H6" s="26">
        <f>'11-12-09'!H6+'11-26-09'!E6</f>
        <v>3457.45</v>
      </c>
      <c r="I6" s="26">
        <f>'11-12-09'!I6+'11-26-09'!F6</f>
        <v>0</v>
      </c>
      <c r="J6" s="46">
        <f t="shared" si="0"/>
        <v>4404.33</v>
      </c>
      <c r="K6" s="6">
        <f t="shared" si="1"/>
        <v>5696.67</v>
      </c>
      <c r="L6" s="26">
        <f t="shared" si="2"/>
        <v>-349.273909090909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251.52</v>
      </c>
      <c r="E7" s="26">
        <v>0</v>
      </c>
      <c r="F7" s="26">
        <v>0</v>
      </c>
      <c r="G7" s="26">
        <f>'11-12-09'!G7+'11-26-09'!D7</f>
        <v>2409.07</v>
      </c>
      <c r="H7" s="26">
        <f>'11-12-09'!H7+'11-26-09'!E7</f>
        <v>135.97</v>
      </c>
      <c r="I7" s="26">
        <f>'11-12-09'!I7+'11-26-09'!F7</f>
        <v>0</v>
      </c>
      <c r="J7" s="46">
        <f t="shared" si="0"/>
        <v>2545.04</v>
      </c>
      <c r="K7" s="6">
        <f t="shared" si="1"/>
        <v>4004.96</v>
      </c>
      <c r="L7" s="26">
        <f t="shared" si="2"/>
        <v>511.31418181818117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231.49</v>
      </c>
      <c r="E8" s="26">
        <v>0</v>
      </c>
      <c r="F8" s="26">
        <v>0</v>
      </c>
      <c r="G8" s="26">
        <f>'11-12-09'!G8+'11-26-09'!D8</f>
        <v>1991.99</v>
      </c>
      <c r="H8" s="26">
        <f>'11-12-09'!H8+'11-26-09'!E8</f>
        <v>0</v>
      </c>
      <c r="I8" s="26">
        <f>'11-12-09'!I8+'11-26-09'!F8</f>
        <v>0</v>
      </c>
      <c r="J8" s="46">
        <f t="shared" si="0"/>
        <v>1991.99</v>
      </c>
      <c r="K8" s="6">
        <f t="shared" si="1"/>
        <v>7791.01</v>
      </c>
      <c r="L8" s="26">
        <f t="shared" si="2"/>
        <v>5056.5509999999995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273.14</v>
      </c>
      <c r="E9" s="26">
        <v>0</v>
      </c>
      <c r="F9" s="26">
        <v>0</v>
      </c>
      <c r="G9" s="26">
        <f>'11-12-09'!G9+'11-26-09'!D9</f>
        <v>1613.6</v>
      </c>
      <c r="H9" s="26">
        <f>'11-12-09'!H9+'11-26-09'!E9</f>
        <v>0</v>
      </c>
      <c r="I9" s="26">
        <f>'11-12-09'!I9+'11-26-09'!F9</f>
        <v>0</v>
      </c>
      <c r="J9" s="46">
        <f t="shared" si="0"/>
        <v>1613.6</v>
      </c>
      <c r="K9" s="6">
        <f t="shared" si="1"/>
        <v>6392.4</v>
      </c>
      <c r="L9" s="26">
        <f t="shared" si="2"/>
        <v>4177.367272727272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308</v>
      </c>
      <c r="E10" s="26">
        <v>482.57</v>
      </c>
      <c r="F10" s="26">
        <v>0</v>
      </c>
      <c r="G10" s="26">
        <f>'11-12-09'!G10+'11-26-09'!D10</f>
        <v>2246.04</v>
      </c>
      <c r="H10" s="26">
        <f>'11-12-09'!H10+'11-26-09'!E10</f>
        <v>7525.859999999999</v>
      </c>
      <c r="I10" s="26">
        <f>'11-12-09'!I10+'11-26-09'!F10</f>
        <v>0</v>
      </c>
      <c r="J10" s="46">
        <f t="shared" si="0"/>
        <v>9771.899999999998</v>
      </c>
      <c r="K10" s="6">
        <f t="shared" si="1"/>
        <v>15424.100000000002</v>
      </c>
      <c r="L10" s="26">
        <f t="shared" si="2"/>
        <v>2009.946363636369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641.02</v>
      </c>
      <c r="F11" s="26">
        <v>0</v>
      </c>
      <c r="G11" s="26">
        <f>'11-12-09'!G11+'11-26-09'!D11</f>
        <v>0</v>
      </c>
      <c r="H11" s="26">
        <f>'11-12-09'!H11+'11-26-09'!E11</f>
        <v>4547.35</v>
      </c>
      <c r="I11" s="26">
        <f>'11-12-09'!I11+'11-26-09'!F11</f>
        <v>0</v>
      </c>
      <c r="J11" s="46">
        <f t="shared" si="0"/>
        <v>4547.35</v>
      </c>
      <c r="K11" s="6">
        <f t="shared" si="1"/>
        <v>2952.6499999999996</v>
      </c>
      <c r="L11" s="26">
        <f t="shared" si="2"/>
        <v>-3289.6213636363645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38.53</v>
      </c>
      <c r="E12" s="26">
        <v>0</v>
      </c>
      <c r="F12" s="26">
        <v>0</v>
      </c>
      <c r="G12" s="26">
        <f>'11-12-09'!G12+'11-26-09'!D12</f>
        <v>602.9699999999999</v>
      </c>
      <c r="H12" s="26">
        <f>'11-12-09'!H12+'11-26-09'!E12</f>
        <v>694.39</v>
      </c>
      <c r="I12" s="26">
        <f>'11-12-09'!I12+'11-26-09'!F12</f>
        <v>0</v>
      </c>
      <c r="J12" s="46">
        <f t="shared" si="0"/>
        <v>1297.36</v>
      </c>
      <c r="K12" s="6">
        <f t="shared" si="1"/>
        <v>2846.6400000000003</v>
      </c>
      <c r="L12" s="26">
        <f t="shared" si="2"/>
        <v>1065.7185454545452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105.96</v>
      </c>
      <c r="E13" s="26">
        <v>261.84</v>
      </c>
      <c r="F13" s="26">
        <v>0</v>
      </c>
      <c r="G13" s="26">
        <f>'11-12-09'!G13+'11-26-09'!D13</f>
        <v>618.19</v>
      </c>
      <c r="H13" s="26">
        <f>'11-12-09'!H13+'11-26-09'!E13</f>
        <v>5025.57</v>
      </c>
      <c r="I13" s="26">
        <f>'11-12-09'!I13+'11-26-09'!F13</f>
        <v>0</v>
      </c>
      <c r="J13" s="46">
        <f t="shared" si="0"/>
        <v>5643.76</v>
      </c>
      <c r="K13" s="6">
        <f t="shared" si="1"/>
        <v>14530.24</v>
      </c>
      <c r="L13" s="26">
        <f t="shared" si="2"/>
        <v>6782.896727272726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558.13</v>
      </c>
      <c r="E14" s="26">
        <v>597.11</v>
      </c>
      <c r="F14" s="26">
        <v>0</v>
      </c>
      <c r="G14" s="26">
        <f>'11-12-09'!G14+'11-26-09'!D14</f>
        <v>4249.889999999999</v>
      </c>
      <c r="H14" s="26">
        <f>'11-12-09'!H14+'11-26-09'!E14</f>
        <v>6374.87</v>
      </c>
      <c r="I14" s="26">
        <f>'11-12-09'!I14+'11-26-09'!F14</f>
        <v>0</v>
      </c>
      <c r="J14" s="46">
        <f t="shared" si="0"/>
        <v>10624.759999999998</v>
      </c>
      <c r="K14" s="6">
        <f t="shared" si="1"/>
        <v>20384.24</v>
      </c>
      <c r="L14" s="26">
        <f t="shared" si="2"/>
        <v>5799.342181818185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176.83</v>
      </c>
      <c r="E15" s="26">
        <v>122.72</v>
      </c>
      <c r="F15" s="26">
        <v>0</v>
      </c>
      <c r="G15" s="26">
        <f>'11-12-09'!G15+'11-26-09'!D15</f>
        <v>1279.18</v>
      </c>
      <c r="H15" s="26">
        <f>'11-12-09'!H15+'11-26-09'!E15</f>
        <v>3089.7899999999995</v>
      </c>
      <c r="I15" s="26">
        <f>'11-12-09'!I15+'11-26-09'!F15</f>
        <v>0</v>
      </c>
      <c r="J15" s="46">
        <f t="shared" si="0"/>
        <v>4368.969999999999</v>
      </c>
      <c r="K15" s="6">
        <f t="shared" si="1"/>
        <v>8923.03</v>
      </c>
      <c r="L15" s="26">
        <f t="shared" si="2"/>
        <v>2925.625727272727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2584.0699999999997</v>
      </c>
      <c r="E16" s="25">
        <f t="shared" si="3"/>
        <v>3128.79</v>
      </c>
      <c r="F16" s="25">
        <f t="shared" si="3"/>
        <v>0</v>
      </c>
      <c r="G16" s="25">
        <f t="shared" si="3"/>
        <v>21332.6</v>
      </c>
      <c r="H16" s="25">
        <f t="shared" si="3"/>
        <v>37832.5</v>
      </c>
      <c r="I16" s="25">
        <f t="shared" si="3"/>
        <v>0</v>
      </c>
      <c r="J16" s="49">
        <f t="shared" si="3"/>
        <v>59165.100000000006</v>
      </c>
      <c r="K16" s="25">
        <f t="shared" si="3"/>
        <v>111957.90000000002</v>
      </c>
      <c r="L16" s="9">
        <f t="shared" si="3"/>
        <v>30740.353636363638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53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119.38</v>
      </c>
      <c r="E18" s="6">
        <v>402.56</v>
      </c>
      <c r="F18" s="6">
        <v>0</v>
      </c>
      <c r="G18" s="6">
        <f>'11-12-09'!G18+'11-26-09'!D18</f>
        <v>943.89</v>
      </c>
      <c r="H18" s="6">
        <f>'11-12-09'!H18+'11-26-09'!E18</f>
        <v>5560.410000000001</v>
      </c>
      <c r="I18" s="6">
        <f>'11-12-09'!I18+'11-26-09'!F18</f>
        <v>0</v>
      </c>
      <c r="J18" s="46">
        <f aca="true" t="shared" si="4" ref="J18:J23">SUM(G18:I18)</f>
        <v>6504.300000000001</v>
      </c>
      <c r="K18" s="6">
        <f aca="true" t="shared" si="5" ref="K18:K23">C18-J18</f>
        <v>9386.699999999999</v>
      </c>
      <c r="L18" s="6">
        <f aca="true" t="shared" si="6" ref="L18:L23">C18-(J18/11*26.1)</f>
        <v>458.0699999999979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52.46</v>
      </c>
      <c r="E19" s="26">
        <v>390.79</v>
      </c>
      <c r="F19" s="26">
        <v>0</v>
      </c>
      <c r="G19" s="26">
        <f>'11-12-09'!G19+'11-26-09'!D19</f>
        <v>1071.0300000000002</v>
      </c>
      <c r="H19" s="26">
        <f>'11-12-09'!H19+'11-26-09'!E19</f>
        <v>3934.01</v>
      </c>
      <c r="I19" s="26">
        <f>'11-12-09'!I19+'11-26-09'!F19</f>
        <v>0</v>
      </c>
      <c r="J19" s="46">
        <f t="shared" si="4"/>
        <v>5005.040000000001</v>
      </c>
      <c r="K19" s="6">
        <f t="shared" si="5"/>
        <v>10387.96</v>
      </c>
      <c r="L19" s="26">
        <f t="shared" si="6"/>
        <v>3517.4050909090893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181.7</v>
      </c>
      <c r="E20" s="26">
        <v>135.94</v>
      </c>
      <c r="F20" s="26">
        <v>0</v>
      </c>
      <c r="G20" s="26">
        <f>'11-12-09'!G20+'11-26-09'!D20</f>
        <v>1310.95</v>
      </c>
      <c r="H20" s="26">
        <f>'11-12-09'!H20+'11-26-09'!E20</f>
        <v>1525.71</v>
      </c>
      <c r="I20" s="26">
        <f>'11-12-09'!I20+'11-26-09'!F20</f>
        <v>0</v>
      </c>
      <c r="J20" s="46">
        <f t="shared" si="4"/>
        <v>2836.66</v>
      </c>
      <c r="K20" s="6">
        <f t="shared" si="5"/>
        <v>11731.34</v>
      </c>
      <c r="L20" s="26">
        <f t="shared" si="6"/>
        <v>7837.379454545454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25.62</v>
      </c>
      <c r="E21" s="26">
        <v>0</v>
      </c>
      <c r="F21" s="26">
        <v>0</v>
      </c>
      <c r="G21" s="26">
        <f>'11-12-09'!G21+'11-26-09'!D21</f>
        <v>190.94</v>
      </c>
      <c r="H21" s="26">
        <f>'11-12-09'!H21+'11-26-09'!E21</f>
        <v>0</v>
      </c>
      <c r="I21" s="26">
        <f>'11-12-09'!I21+'11-26-09'!F21</f>
        <v>0</v>
      </c>
      <c r="J21" s="46">
        <f t="shared" si="4"/>
        <v>190.94</v>
      </c>
      <c r="K21" s="6">
        <f t="shared" si="5"/>
        <v>5891.06</v>
      </c>
      <c r="L21" s="26">
        <f t="shared" si="6"/>
        <v>5628.951454545455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221.59</v>
      </c>
      <c r="E22" s="26">
        <v>0</v>
      </c>
      <c r="F22" s="26">
        <v>0</v>
      </c>
      <c r="G22" s="26">
        <f>'11-12-09'!G22+'11-26-09'!D22</f>
        <v>1062.19</v>
      </c>
      <c r="H22" s="26">
        <f>'11-12-09'!H22+'11-26-09'!E22</f>
        <v>760.57</v>
      </c>
      <c r="I22" s="26">
        <f>'11-12-09'!I22+'11-26-09'!F22</f>
        <v>0</v>
      </c>
      <c r="J22" s="46">
        <f t="shared" si="4"/>
        <v>1822.7600000000002</v>
      </c>
      <c r="K22" s="6">
        <f t="shared" si="5"/>
        <v>5869.24</v>
      </c>
      <c r="L22" s="26">
        <f t="shared" si="6"/>
        <v>3367.087636363636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108.31</v>
      </c>
      <c r="E23" s="26">
        <v>0</v>
      </c>
      <c r="F23" s="26">
        <v>0</v>
      </c>
      <c r="G23" s="26">
        <f>'11-12-09'!G23+'11-26-09'!D23</f>
        <v>1166.6699999999998</v>
      </c>
      <c r="H23" s="26">
        <f>'11-12-09'!H23+'11-26-09'!E23</f>
        <v>0</v>
      </c>
      <c r="I23" s="26">
        <f>'11-12-09'!I23+'11-26-09'!F23</f>
        <v>0</v>
      </c>
      <c r="J23" s="46">
        <f t="shared" si="4"/>
        <v>1166.6699999999998</v>
      </c>
      <c r="K23" s="6">
        <f t="shared" si="5"/>
        <v>5368.33</v>
      </c>
      <c r="L23" s="26">
        <f t="shared" si="6"/>
        <v>3766.810272727273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709.06</v>
      </c>
      <c r="E24" s="9">
        <f aca="true" t="shared" si="7" ref="E24:L24">SUM(E18:E23)</f>
        <v>929.29</v>
      </c>
      <c r="F24" s="9">
        <f t="shared" si="7"/>
        <v>0</v>
      </c>
      <c r="G24" s="9">
        <f t="shared" si="7"/>
        <v>5745.67</v>
      </c>
      <c r="H24" s="9">
        <f t="shared" si="7"/>
        <v>11780.7</v>
      </c>
      <c r="I24" s="9">
        <f t="shared" si="7"/>
        <v>0</v>
      </c>
      <c r="J24" s="9">
        <f t="shared" si="7"/>
        <v>17526.370000000003</v>
      </c>
      <c r="K24" s="9">
        <f t="shared" si="7"/>
        <v>48634.63</v>
      </c>
      <c r="L24" s="9">
        <f t="shared" si="7"/>
        <v>24575.703909090906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'11-12-09'!G26+'11-26-09'!D26</f>
        <v>0</v>
      </c>
      <c r="H26" s="26">
        <f>'11-12-09'!H26+'11-26-09'!E26</f>
        <v>5423.599999999999</v>
      </c>
      <c r="I26" s="26">
        <f>'11-12-09'!I26+'11-26-09'!F26</f>
        <v>0</v>
      </c>
      <c r="J26" s="46">
        <f>SUM(G26:I26)</f>
        <v>5423.599999999999</v>
      </c>
      <c r="K26" s="26">
        <f>C26-J26</f>
        <v>9752.400000000001</v>
      </c>
      <c r="L26" s="26">
        <f>C26-(J26/11*26.1)</f>
        <v>2307.2763636363634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68.09</v>
      </c>
      <c r="E27" s="26">
        <v>65.25</v>
      </c>
      <c r="F27" s="26">
        <v>0</v>
      </c>
      <c r="G27" s="26">
        <f>'11-12-09'!G27+'11-26-09'!D27</f>
        <v>1007.0400000000001</v>
      </c>
      <c r="H27" s="26">
        <f>'11-12-09'!H27+'11-26-09'!E27</f>
        <v>913.04</v>
      </c>
      <c r="I27" s="26">
        <f>'11-12-09'!I27+'11-26-09'!F27</f>
        <v>0</v>
      </c>
      <c r="J27" s="46">
        <f>SUM(G27:I27)</f>
        <v>1920.08</v>
      </c>
      <c r="K27" s="6">
        <f>C27-J27</f>
        <v>3780.92</v>
      </c>
      <c r="L27" s="26">
        <f>C27-(J27/11*26.1)</f>
        <v>1145.1738181818182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68.09</v>
      </c>
      <c r="E28" s="9">
        <f>SUM(E26:E27)</f>
        <v>601.65</v>
      </c>
      <c r="F28" s="9">
        <f aca="true" t="shared" si="8" ref="F28:L28">SUM(F26:F27)</f>
        <v>0</v>
      </c>
      <c r="G28" s="9">
        <f t="shared" si="8"/>
        <v>1007.0400000000001</v>
      </c>
      <c r="H28" s="9">
        <f t="shared" si="8"/>
        <v>6336.639999999999</v>
      </c>
      <c r="I28" s="9">
        <f t="shared" si="8"/>
        <v>0</v>
      </c>
      <c r="J28" s="9">
        <f t="shared" si="8"/>
        <v>7343.679999999999</v>
      </c>
      <c r="K28" s="9">
        <f t="shared" si="8"/>
        <v>13533.320000000002</v>
      </c>
      <c r="L28" s="9">
        <f t="shared" si="8"/>
        <v>3452.4501818181816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94.68</v>
      </c>
      <c r="E30" s="26">
        <v>2001.43</v>
      </c>
      <c r="F30" s="26">
        <v>0</v>
      </c>
      <c r="G30" s="26">
        <f>'11-12-09'!G30+'11-26-09'!D30</f>
        <v>354.3</v>
      </c>
      <c r="H30" s="26">
        <f>'11-12-09'!H30+'11-26-09'!E30</f>
        <v>23325.010000000002</v>
      </c>
      <c r="I30" s="26">
        <f>'11-12-09'!I30+'11-26-09'!F30</f>
        <v>0</v>
      </c>
      <c r="J30" s="6">
        <f>SUM(G30:I30)</f>
        <v>23679.31</v>
      </c>
      <c r="K30" s="26">
        <f>C30-J30</f>
        <v>37991.69</v>
      </c>
      <c r="L30" s="26">
        <f>C30-(J30/11*26.1)</f>
        <v>5486.455363636356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606.81</v>
      </c>
      <c r="F31" s="26">
        <v>0</v>
      </c>
      <c r="G31" s="26">
        <f>'11-12-09'!G31+'11-26-09'!D31</f>
        <v>0</v>
      </c>
      <c r="H31" s="26">
        <f>'11-12-09'!H31+'11-26-09'!E31</f>
        <v>4828.07</v>
      </c>
      <c r="I31" s="26">
        <f>'11-12-09'!I31+'11-26-09'!F31</f>
        <v>0</v>
      </c>
      <c r="J31" s="6">
        <f>SUM(G31:I31)</f>
        <v>4828.07</v>
      </c>
      <c r="K31" s="6">
        <f>C31-J31</f>
        <v>11252.93</v>
      </c>
      <c r="L31" s="26">
        <f>C31-(J31/11*26.1)</f>
        <v>4625.306636363637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94.68</v>
      </c>
      <c r="E32" s="9">
        <f aca="true" t="shared" si="9" ref="E32:L32">SUM(E30:E31)</f>
        <v>2608.24</v>
      </c>
      <c r="F32" s="9">
        <f t="shared" si="9"/>
        <v>0</v>
      </c>
      <c r="G32" s="9">
        <f t="shared" si="9"/>
        <v>354.3</v>
      </c>
      <c r="H32" s="9">
        <f t="shared" si="9"/>
        <v>28153.08</v>
      </c>
      <c r="I32" s="9">
        <f t="shared" si="9"/>
        <v>0</v>
      </c>
      <c r="J32" s="9">
        <f t="shared" si="9"/>
        <v>28507.38</v>
      </c>
      <c r="K32" s="9">
        <f t="shared" si="9"/>
        <v>49244.62</v>
      </c>
      <c r="L32" s="9">
        <f t="shared" si="9"/>
        <v>10111.761999999993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3455.8999999999996</v>
      </c>
      <c r="E33" s="14">
        <f t="shared" si="10"/>
        <v>7267.969999999999</v>
      </c>
      <c r="F33" s="14">
        <f t="shared" si="10"/>
        <v>0</v>
      </c>
      <c r="G33" s="14">
        <f t="shared" si="10"/>
        <v>28439.609999999997</v>
      </c>
      <c r="H33" s="14">
        <f t="shared" si="10"/>
        <v>84102.92</v>
      </c>
      <c r="I33" s="14">
        <f t="shared" si="10"/>
        <v>0</v>
      </c>
      <c r="J33" s="14">
        <f t="shared" si="10"/>
        <v>112542.53</v>
      </c>
      <c r="K33" s="14">
        <f t="shared" si="10"/>
        <v>223370.47000000003</v>
      </c>
      <c r="L33" s="14">
        <f t="shared" si="10"/>
        <v>68880.26972727272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11-26-09</oddHeader>
    <oddFooter>&amp;CFY 2009-2010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K19" sqref="K19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73.42</v>
      </c>
      <c r="E4" s="26">
        <v>524.04</v>
      </c>
      <c r="F4" s="26">
        <v>0</v>
      </c>
      <c r="G4" s="26">
        <f>'11-26-09'!G4+'12-10-09'!D4</f>
        <v>969.47</v>
      </c>
      <c r="H4" s="26">
        <f>'11-26-09'!H4+'12-10-09'!E4</f>
        <v>4118.49</v>
      </c>
      <c r="I4" s="26">
        <f>'11-26-09'!I4+'12-10-09'!F4</f>
        <v>0</v>
      </c>
      <c r="J4" s="44">
        <f>SUM(G4:I4)</f>
        <v>5087.96</v>
      </c>
      <c r="K4" s="26">
        <f>C4-J4</f>
        <v>8231.04</v>
      </c>
      <c r="L4" s="26">
        <f>C4-(J4/12*26.1)</f>
        <v>2252.687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455.27</v>
      </c>
      <c r="E5" s="26">
        <v>225.57</v>
      </c>
      <c r="F5" s="26">
        <v>0</v>
      </c>
      <c r="G5" s="26">
        <f>'11-26-09'!G5+'12-10-09'!D5</f>
        <v>4934.01</v>
      </c>
      <c r="H5" s="26">
        <f>'11-26-09'!H5+'12-10-09'!E5</f>
        <v>3612.3700000000013</v>
      </c>
      <c r="I5" s="26">
        <f>'11-26-09'!I5+'12-10-09'!F5</f>
        <v>0</v>
      </c>
      <c r="J5" s="46">
        <f aca="true" t="shared" si="0" ref="J5:J15">SUM(G5:I5)</f>
        <v>8546.380000000001</v>
      </c>
      <c r="K5" s="6">
        <f aca="true" t="shared" si="1" ref="K5:K15">C5-J5</f>
        <v>13502.619999999999</v>
      </c>
      <c r="L5" s="26">
        <f aca="true" t="shared" si="2" ref="L5:L15">C5-(J5/12*26.1)</f>
        <v>3460.623499999998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139.16</v>
      </c>
      <c r="E6" s="26">
        <v>181.2</v>
      </c>
      <c r="F6" s="26">
        <v>0</v>
      </c>
      <c r="G6" s="26">
        <f>'11-26-09'!G6+'12-10-09'!D6</f>
        <v>1086.0400000000002</v>
      </c>
      <c r="H6" s="26">
        <f>'11-26-09'!H6+'12-10-09'!E6</f>
        <v>3638.6499999999996</v>
      </c>
      <c r="I6" s="26">
        <f>'11-26-09'!I6+'12-10-09'!F6</f>
        <v>0</v>
      </c>
      <c r="J6" s="46">
        <f t="shared" si="0"/>
        <v>4724.69</v>
      </c>
      <c r="K6" s="6">
        <f t="shared" si="1"/>
        <v>5376.31</v>
      </c>
      <c r="L6" s="26">
        <f t="shared" si="2"/>
        <v>-175.20074999999997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245.64</v>
      </c>
      <c r="E7" s="26">
        <v>0</v>
      </c>
      <c r="F7" s="26">
        <v>0</v>
      </c>
      <c r="G7" s="26">
        <f>'11-26-09'!G7+'12-10-09'!D7</f>
        <v>2654.71</v>
      </c>
      <c r="H7" s="26">
        <f>'11-26-09'!H7+'12-10-09'!E7</f>
        <v>135.97</v>
      </c>
      <c r="I7" s="26">
        <f>'11-26-09'!I7+'12-10-09'!F7</f>
        <v>0</v>
      </c>
      <c r="J7" s="46">
        <f t="shared" si="0"/>
        <v>2790.68</v>
      </c>
      <c r="K7" s="6">
        <f t="shared" si="1"/>
        <v>3759.32</v>
      </c>
      <c r="L7" s="26">
        <f t="shared" si="2"/>
        <v>480.27100000000064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263.51</v>
      </c>
      <c r="E8" s="26">
        <v>0</v>
      </c>
      <c r="F8" s="26">
        <v>0</v>
      </c>
      <c r="G8" s="26">
        <f>'11-26-09'!G8+'12-10-09'!D8</f>
        <v>2255.5</v>
      </c>
      <c r="H8" s="26">
        <f>'11-26-09'!H8+'12-10-09'!E8</f>
        <v>0</v>
      </c>
      <c r="I8" s="26">
        <f>'11-26-09'!I8+'12-10-09'!F8</f>
        <v>0</v>
      </c>
      <c r="J8" s="46">
        <f t="shared" si="0"/>
        <v>2255.5</v>
      </c>
      <c r="K8" s="6">
        <f t="shared" si="1"/>
        <v>7527.5</v>
      </c>
      <c r="L8" s="26">
        <f t="shared" si="2"/>
        <v>4877.287499999999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229.26</v>
      </c>
      <c r="E9" s="26">
        <v>0</v>
      </c>
      <c r="F9" s="26">
        <v>0</v>
      </c>
      <c r="G9" s="26">
        <f>'11-26-09'!G9+'12-10-09'!D9</f>
        <v>1842.86</v>
      </c>
      <c r="H9" s="26">
        <f>'11-26-09'!H9+'12-10-09'!E9</f>
        <v>0</v>
      </c>
      <c r="I9" s="26">
        <f>'11-26-09'!I9+'12-10-09'!F9</f>
        <v>0</v>
      </c>
      <c r="J9" s="46">
        <f t="shared" si="0"/>
        <v>1842.86</v>
      </c>
      <c r="K9" s="6">
        <f t="shared" si="1"/>
        <v>6163.14</v>
      </c>
      <c r="L9" s="26">
        <f t="shared" si="2"/>
        <v>3997.7795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371.89</v>
      </c>
      <c r="E10" s="26">
        <v>824.15</v>
      </c>
      <c r="F10" s="26">
        <v>0</v>
      </c>
      <c r="G10" s="26">
        <f>'11-26-09'!G10+'12-10-09'!D10</f>
        <v>2617.93</v>
      </c>
      <c r="H10" s="26">
        <f>'11-26-09'!H10+'12-10-09'!E10</f>
        <v>8350.009999999998</v>
      </c>
      <c r="I10" s="26">
        <f>'11-26-09'!I10+'12-10-09'!F10</f>
        <v>0</v>
      </c>
      <c r="J10" s="46">
        <f t="shared" si="0"/>
        <v>10967.939999999999</v>
      </c>
      <c r="K10" s="6">
        <f t="shared" si="1"/>
        <v>14228.060000000001</v>
      </c>
      <c r="L10" s="26">
        <f t="shared" si="2"/>
        <v>1340.7305000000015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f>384.61-1818.94</f>
        <v>-1434.33</v>
      </c>
      <c r="F11" s="26">
        <v>0</v>
      </c>
      <c r="G11" s="26">
        <f>'11-26-09'!G11+'12-10-09'!D11</f>
        <v>0</v>
      </c>
      <c r="H11" s="26">
        <f>'11-26-09'!H11+'12-10-09'!E11</f>
        <v>3113.0200000000004</v>
      </c>
      <c r="I11" s="26">
        <f>'11-26-09'!I11+'12-10-09'!F11</f>
        <v>0</v>
      </c>
      <c r="J11" s="46">
        <f t="shared" si="0"/>
        <v>3113.0200000000004</v>
      </c>
      <c r="K11" s="6">
        <f t="shared" si="1"/>
        <v>4386.98</v>
      </c>
      <c r="L11" s="26">
        <f t="shared" si="2"/>
        <v>729.1814999999988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71.15</v>
      </c>
      <c r="E12" s="26">
        <v>29</v>
      </c>
      <c r="F12" s="26">
        <v>0</v>
      </c>
      <c r="G12" s="26">
        <f>'11-26-09'!G12+'12-10-09'!D12</f>
        <v>674.1199999999999</v>
      </c>
      <c r="H12" s="26">
        <f>'11-26-09'!H12+'12-10-09'!E12</f>
        <v>723.39</v>
      </c>
      <c r="I12" s="26">
        <f>'11-26-09'!I12+'12-10-09'!F12</f>
        <v>0</v>
      </c>
      <c r="J12" s="46">
        <f t="shared" si="0"/>
        <v>1397.5099999999998</v>
      </c>
      <c r="K12" s="6">
        <f t="shared" si="1"/>
        <v>2746.4900000000002</v>
      </c>
      <c r="L12" s="26">
        <f t="shared" si="2"/>
        <v>1104.4157500000006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135.56</v>
      </c>
      <c r="E13" s="26">
        <v>384.89</v>
      </c>
      <c r="F13" s="26">
        <v>0</v>
      </c>
      <c r="G13" s="26">
        <f>'11-26-09'!G13+'12-10-09'!D13</f>
        <v>753.75</v>
      </c>
      <c r="H13" s="26">
        <f>'11-26-09'!H13+'12-10-09'!E13</f>
        <v>5410.46</v>
      </c>
      <c r="I13" s="26">
        <f>'11-26-09'!I13+'12-10-09'!F13</f>
        <v>0</v>
      </c>
      <c r="J13" s="46">
        <f t="shared" si="0"/>
        <v>6164.21</v>
      </c>
      <c r="K13" s="6">
        <f t="shared" si="1"/>
        <v>14009.79</v>
      </c>
      <c r="L13" s="26">
        <f t="shared" si="2"/>
        <v>6766.84325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746.16</v>
      </c>
      <c r="E14" s="26">
        <v>758.66</v>
      </c>
      <c r="F14" s="26">
        <v>0</v>
      </c>
      <c r="G14" s="26">
        <f>'11-26-09'!G14+'12-10-09'!D14</f>
        <v>4996.049999999999</v>
      </c>
      <c r="H14" s="26">
        <f>'11-26-09'!H14+'12-10-09'!E14</f>
        <v>7133.53</v>
      </c>
      <c r="I14" s="26">
        <f>'11-26-09'!I14+'12-10-09'!F14</f>
        <v>0</v>
      </c>
      <c r="J14" s="46">
        <f t="shared" si="0"/>
        <v>12129.579999999998</v>
      </c>
      <c r="K14" s="6">
        <f t="shared" si="1"/>
        <v>18879.420000000002</v>
      </c>
      <c r="L14" s="26">
        <f t="shared" si="2"/>
        <v>4627.163500000002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193.63</v>
      </c>
      <c r="E15" s="26">
        <v>92.04</v>
      </c>
      <c r="F15" s="26">
        <v>0</v>
      </c>
      <c r="G15" s="26">
        <f>'11-26-09'!G15+'12-10-09'!D15</f>
        <v>1472.81</v>
      </c>
      <c r="H15" s="26">
        <f>'11-26-09'!H15+'12-10-09'!E15</f>
        <v>3181.8299999999995</v>
      </c>
      <c r="I15" s="26">
        <f>'11-26-09'!I15+'12-10-09'!F15</f>
        <v>0</v>
      </c>
      <c r="J15" s="46">
        <f t="shared" si="0"/>
        <v>4654.639999999999</v>
      </c>
      <c r="K15" s="6">
        <f t="shared" si="1"/>
        <v>8637.36</v>
      </c>
      <c r="L15" s="26">
        <f t="shared" si="2"/>
        <v>3168.1580000000013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2924.65</v>
      </c>
      <c r="E16" s="25">
        <f t="shared" si="3"/>
        <v>1585.22</v>
      </c>
      <c r="F16" s="25">
        <f t="shared" si="3"/>
        <v>0</v>
      </c>
      <c r="G16" s="25">
        <f t="shared" si="3"/>
        <v>24257.25</v>
      </c>
      <c r="H16" s="25">
        <f t="shared" si="3"/>
        <v>39417.72</v>
      </c>
      <c r="I16" s="25">
        <f t="shared" si="3"/>
        <v>0</v>
      </c>
      <c r="J16" s="49">
        <f t="shared" si="3"/>
        <v>63674.97</v>
      </c>
      <c r="K16" s="25">
        <f t="shared" si="3"/>
        <v>107448.03</v>
      </c>
      <c r="L16" s="9">
        <f t="shared" si="3"/>
        <v>32629.940250000007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107.67</v>
      </c>
      <c r="E18" s="6">
        <v>426.11</v>
      </c>
      <c r="F18" s="6">
        <v>0</v>
      </c>
      <c r="G18" s="6">
        <f>'11-26-09'!G18+'12-10-09'!D18</f>
        <v>1051.56</v>
      </c>
      <c r="H18" s="6">
        <f>'11-26-09'!H18+'12-10-09'!E18</f>
        <v>5986.52</v>
      </c>
      <c r="I18" s="6">
        <f>'11-26-09'!I18+'12-10-09'!F18</f>
        <v>0</v>
      </c>
      <c r="J18" s="46">
        <f aca="true" t="shared" si="4" ref="J18:J23">SUM(G18:I18)</f>
        <v>7038.08</v>
      </c>
      <c r="K18" s="6">
        <f aca="true" t="shared" si="5" ref="K18:K23">C18-J18</f>
        <v>8852.92</v>
      </c>
      <c r="L18" s="6">
        <f aca="true" t="shared" si="6" ref="L18:L23">C18-(J18/12*26.1)</f>
        <v>583.1759999999995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61.12</v>
      </c>
      <c r="E19" s="26">
        <v>347.42</v>
      </c>
      <c r="F19" s="26">
        <v>0</v>
      </c>
      <c r="G19" s="26">
        <f>'11-26-09'!G19+'12-10-09'!D19</f>
        <v>1132.15</v>
      </c>
      <c r="H19" s="26">
        <f>'11-26-09'!H19+'12-10-09'!E19</f>
        <v>4281.43</v>
      </c>
      <c r="I19" s="26">
        <f>'11-26-09'!I19+'12-10-09'!F19</f>
        <v>0</v>
      </c>
      <c r="J19" s="46">
        <f t="shared" si="4"/>
        <v>5413.58</v>
      </c>
      <c r="K19" s="6">
        <f t="shared" si="5"/>
        <v>9979.42</v>
      </c>
      <c r="L19" s="26">
        <f t="shared" si="6"/>
        <v>3618.4635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160.89</v>
      </c>
      <c r="E20" s="26">
        <v>121.44</v>
      </c>
      <c r="F20" s="26">
        <v>0</v>
      </c>
      <c r="G20" s="26">
        <f>'11-26-09'!G20+'12-10-09'!D20</f>
        <v>1471.8400000000001</v>
      </c>
      <c r="H20" s="26">
        <f>'11-26-09'!H20+'12-10-09'!E20</f>
        <v>1647.15</v>
      </c>
      <c r="I20" s="26">
        <f>'11-26-09'!I20+'12-10-09'!F20</f>
        <v>0</v>
      </c>
      <c r="J20" s="46">
        <f t="shared" si="4"/>
        <v>3118.9900000000002</v>
      </c>
      <c r="K20" s="6">
        <f t="shared" si="5"/>
        <v>11449.01</v>
      </c>
      <c r="L20" s="26">
        <f t="shared" si="6"/>
        <v>7784.196749999999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26.08</v>
      </c>
      <c r="E21" s="26">
        <v>0</v>
      </c>
      <c r="F21" s="26">
        <v>0</v>
      </c>
      <c r="G21" s="26">
        <f>'11-26-09'!G21+'12-10-09'!D21</f>
        <v>217.01999999999998</v>
      </c>
      <c r="H21" s="26">
        <f>'11-26-09'!H21+'12-10-09'!E21</f>
        <v>0</v>
      </c>
      <c r="I21" s="26">
        <f>'11-26-09'!I21+'12-10-09'!F21</f>
        <v>0</v>
      </c>
      <c r="J21" s="46">
        <f t="shared" si="4"/>
        <v>217.01999999999998</v>
      </c>
      <c r="K21" s="6">
        <f t="shared" si="5"/>
        <v>5864.98</v>
      </c>
      <c r="L21" s="26">
        <f t="shared" si="6"/>
        <v>5609.9815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321.1</v>
      </c>
      <c r="E22" s="26">
        <v>0</v>
      </c>
      <c r="F22" s="26">
        <v>0</v>
      </c>
      <c r="G22" s="26">
        <f>'11-26-09'!G22+'12-10-09'!D22</f>
        <v>1383.29</v>
      </c>
      <c r="H22" s="26">
        <f>'11-26-09'!H22+'12-10-09'!E22</f>
        <v>760.57</v>
      </c>
      <c r="I22" s="26">
        <f>'11-26-09'!I22+'12-10-09'!F22</f>
        <v>0</v>
      </c>
      <c r="J22" s="46">
        <f t="shared" si="4"/>
        <v>2143.86</v>
      </c>
      <c r="K22" s="6">
        <f t="shared" si="5"/>
        <v>5548.139999999999</v>
      </c>
      <c r="L22" s="26">
        <f t="shared" si="6"/>
        <v>3029.1044999999995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112.39</v>
      </c>
      <c r="E23" s="26">
        <v>0</v>
      </c>
      <c r="F23" s="26">
        <v>0</v>
      </c>
      <c r="G23" s="26">
        <f>'11-26-09'!G23+'12-10-09'!D23</f>
        <v>1279.06</v>
      </c>
      <c r="H23" s="26">
        <f>'11-26-09'!H23+'12-10-09'!E23</f>
        <v>0</v>
      </c>
      <c r="I23" s="26">
        <f>'11-26-09'!I23+'12-10-09'!F23</f>
        <v>0</v>
      </c>
      <c r="J23" s="46">
        <f t="shared" si="4"/>
        <v>1279.06</v>
      </c>
      <c r="K23" s="6">
        <f t="shared" si="5"/>
        <v>5255.9400000000005</v>
      </c>
      <c r="L23" s="26">
        <f t="shared" si="6"/>
        <v>3753.0445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789.2499999999999</v>
      </c>
      <c r="E24" s="9">
        <f aca="true" t="shared" si="7" ref="E24:L24">SUM(E18:E23)</f>
        <v>894.97</v>
      </c>
      <c r="F24" s="9">
        <f t="shared" si="7"/>
        <v>0</v>
      </c>
      <c r="G24" s="9">
        <f t="shared" si="7"/>
        <v>6534.92</v>
      </c>
      <c r="H24" s="9">
        <f t="shared" si="7"/>
        <v>12675.67</v>
      </c>
      <c r="I24" s="9">
        <f t="shared" si="7"/>
        <v>0</v>
      </c>
      <c r="J24" s="9">
        <f t="shared" si="7"/>
        <v>19210.59</v>
      </c>
      <c r="K24" s="9">
        <f t="shared" si="7"/>
        <v>46950.41</v>
      </c>
      <c r="L24" s="9">
        <f t="shared" si="7"/>
        <v>24377.966749999996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'11-26-09'!G26+'12-10-09'!D26</f>
        <v>0</v>
      </c>
      <c r="H26" s="26">
        <f>'11-26-09'!H26+'12-10-09'!E26</f>
        <v>5959.999999999999</v>
      </c>
      <c r="I26" s="26">
        <f>'11-26-09'!I26+'12-10-09'!F26</f>
        <v>0</v>
      </c>
      <c r="J26" s="46">
        <f>SUM(G26:I26)</f>
        <v>5959.999999999999</v>
      </c>
      <c r="K26" s="26">
        <f>C26-J26</f>
        <v>9216</v>
      </c>
      <c r="L26" s="26">
        <f>C26-(J26/12*26.1)</f>
        <v>2213.000000000002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108.33</v>
      </c>
      <c r="E27" s="26">
        <v>116</v>
      </c>
      <c r="F27" s="26">
        <v>0</v>
      </c>
      <c r="G27" s="26">
        <f>'11-26-09'!G27+'12-10-09'!D27</f>
        <v>1115.3700000000001</v>
      </c>
      <c r="H27" s="26">
        <f>'11-26-09'!H27+'12-10-09'!E27</f>
        <v>1029.04</v>
      </c>
      <c r="I27" s="26">
        <f>'11-26-09'!I27+'12-10-09'!F27</f>
        <v>0</v>
      </c>
      <c r="J27" s="46">
        <f>SUM(G27:I27)</f>
        <v>2144.41</v>
      </c>
      <c r="K27" s="6">
        <f>C27-J27</f>
        <v>3556.59</v>
      </c>
      <c r="L27" s="26">
        <f>C27-(J27/12*26.1)</f>
        <v>1036.9082500000004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108.33</v>
      </c>
      <c r="E28" s="9">
        <f>SUM(E26:E27)</f>
        <v>652.4</v>
      </c>
      <c r="F28" s="9">
        <f aca="true" t="shared" si="8" ref="F28:L28">SUM(F26:F27)</f>
        <v>0</v>
      </c>
      <c r="G28" s="9">
        <f t="shared" si="8"/>
        <v>1115.3700000000001</v>
      </c>
      <c r="H28" s="9">
        <f t="shared" si="8"/>
        <v>6989.039999999999</v>
      </c>
      <c r="I28" s="9">
        <f t="shared" si="8"/>
        <v>0</v>
      </c>
      <c r="J28" s="9">
        <f t="shared" si="8"/>
        <v>8104.409999999999</v>
      </c>
      <c r="K28" s="9">
        <f t="shared" si="8"/>
        <v>12772.59</v>
      </c>
      <c r="L28" s="9">
        <f t="shared" si="8"/>
        <v>3249.908250000002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90.57</v>
      </c>
      <c r="E30" s="26">
        <v>2179.1</v>
      </c>
      <c r="F30" s="26">
        <v>0</v>
      </c>
      <c r="G30" s="26">
        <f>'11-26-09'!G30+'12-10-09'!D30</f>
        <v>444.87</v>
      </c>
      <c r="H30" s="26">
        <f>'11-26-09'!H30+'12-10-09'!E30</f>
        <v>25504.11</v>
      </c>
      <c r="I30" s="26">
        <f>'11-26-09'!I30+'12-10-09'!F30</f>
        <v>0</v>
      </c>
      <c r="J30" s="6">
        <f>SUM(G30:I30)</f>
        <v>25948.98</v>
      </c>
      <c r="K30" s="26">
        <f>C30-J30</f>
        <v>35722.020000000004</v>
      </c>
      <c r="L30" s="26">
        <f>C30-(J30/12*26.1)</f>
        <v>5231.968499999995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546.12</v>
      </c>
      <c r="F31" s="26">
        <v>0</v>
      </c>
      <c r="G31" s="26">
        <f>'11-26-09'!G31+'12-10-09'!D31</f>
        <v>0</v>
      </c>
      <c r="H31" s="26">
        <f>'11-26-09'!H31+'12-10-09'!E31</f>
        <v>5374.19</v>
      </c>
      <c r="I31" s="26">
        <f>'11-26-09'!I31+'12-10-09'!F31</f>
        <v>0</v>
      </c>
      <c r="J31" s="6">
        <f>SUM(G31:I31)</f>
        <v>5374.19</v>
      </c>
      <c r="K31" s="6">
        <f>C31-J31</f>
        <v>10706.810000000001</v>
      </c>
      <c r="L31" s="26">
        <f>C31-(J31/12*26.1)</f>
        <v>4392.13675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90.57</v>
      </c>
      <c r="E32" s="9">
        <f aca="true" t="shared" si="9" ref="E32:L32">SUM(E30:E31)</f>
        <v>2725.22</v>
      </c>
      <c r="F32" s="9">
        <f t="shared" si="9"/>
        <v>0</v>
      </c>
      <c r="G32" s="9">
        <f t="shared" si="9"/>
        <v>444.87</v>
      </c>
      <c r="H32" s="9">
        <f t="shared" si="9"/>
        <v>30878.3</v>
      </c>
      <c r="I32" s="9">
        <f t="shared" si="9"/>
        <v>0</v>
      </c>
      <c r="J32" s="9">
        <f t="shared" si="9"/>
        <v>31323.17</v>
      </c>
      <c r="K32" s="9">
        <f t="shared" si="9"/>
        <v>46428.83</v>
      </c>
      <c r="L32" s="9">
        <f t="shared" si="9"/>
        <v>9624.105249999995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3912.8</v>
      </c>
      <c r="E33" s="14">
        <f t="shared" si="10"/>
        <v>5857.8099999999995</v>
      </c>
      <c r="F33" s="14">
        <f t="shared" si="10"/>
        <v>0</v>
      </c>
      <c r="G33" s="14">
        <f t="shared" si="10"/>
        <v>32352.409999999996</v>
      </c>
      <c r="H33" s="14">
        <f t="shared" si="10"/>
        <v>89960.73</v>
      </c>
      <c r="I33" s="14">
        <f t="shared" si="10"/>
        <v>0</v>
      </c>
      <c r="J33" s="14">
        <f t="shared" si="10"/>
        <v>122313.14</v>
      </c>
      <c r="K33" s="14">
        <f t="shared" si="10"/>
        <v>213599.86</v>
      </c>
      <c r="L33" s="14">
        <f t="shared" si="10"/>
        <v>69881.92050000001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12-10-09</oddHeader>
    <oddFooter>&amp;CFY 2009-2010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F9" sqref="F9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30.36</v>
      </c>
      <c r="E4" s="26">
        <v>124.9</v>
      </c>
      <c r="F4" s="26">
        <v>0</v>
      </c>
      <c r="G4" s="26">
        <f>'12-10-09'!G4+'12-24-09'!D4</f>
        <v>999.83</v>
      </c>
      <c r="H4" s="26">
        <f>'12-10-09'!H4+'12-24-09'!E4</f>
        <v>4243.389999999999</v>
      </c>
      <c r="I4" s="26">
        <f>'12-10-09'!I4+'12-24-09'!F4</f>
        <v>0</v>
      </c>
      <c r="J4" s="44">
        <f>SUM(G4:I4)</f>
        <v>5243.219999999999</v>
      </c>
      <c r="K4" s="26">
        <f>C4-J4</f>
        <v>8075.780000000001</v>
      </c>
      <c r="L4" s="26">
        <f>C4-(J4/13*26.1)</f>
        <v>2792.2275384615386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296.06</v>
      </c>
      <c r="E5" s="26">
        <v>140.16</v>
      </c>
      <c r="F5" s="26">
        <v>0</v>
      </c>
      <c r="G5" s="26">
        <f>'12-10-09'!G5+'12-24-09'!D5</f>
        <v>5230.070000000001</v>
      </c>
      <c r="H5" s="26">
        <f>'12-10-09'!H5+'12-24-09'!E5</f>
        <v>3752.530000000001</v>
      </c>
      <c r="I5" s="26">
        <f>'12-10-09'!I5+'12-24-09'!F5</f>
        <v>0</v>
      </c>
      <c r="J5" s="46">
        <f aca="true" t="shared" si="0" ref="J5:J15">SUM(G5:I5)</f>
        <v>8982.600000000002</v>
      </c>
      <c r="K5" s="6">
        <f aca="true" t="shared" si="1" ref="K5:K15">C5-J5</f>
        <v>13066.399999999998</v>
      </c>
      <c r="L5" s="26">
        <f aca="true" t="shared" si="2" ref="L5:L15">C5-(J5/13*26.1)</f>
        <v>4014.7030769230696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126.51</v>
      </c>
      <c r="E6" s="26">
        <v>213.88</v>
      </c>
      <c r="F6" s="26">
        <v>0</v>
      </c>
      <c r="G6" s="26">
        <f>'12-10-09'!G6+'12-24-09'!D6</f>
        <v>1212.5500000000002</v>
      </c>
      <c r="H6" s="26">
        <f>'12-10-09'!H6+'12-24-09'!E6</f>
        <v>3852.5299999999997</v>
      </c>
      <c r="I6" s="26">
        <f>'12-10-09'!I6+'12-24-09'!F6</f>
        <v>0</v>
      </c>
      <c r="J6" s="46">
        <f t="shared" si="0"/>
        <v>5065.08</v>
      </c>
      <c r="K6" s="6">
        <f t="shared" si="1"/>
        <v>5035.92</v>
      </c>
      <c r="L6" s="26">
        <f t="shared" si="2"/>
        <v>-68.1221538461541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135.5</v>
      </c>
      <c r="E7" s="26">
        <v>0</v>
      </c>
      <c r="F7" s="26">
        <v>0</v>
      </c>
      <c r="G7" s="26">
        <f>'12-10-09'!G7+'12-24-09'!D7</f>
        <v>2790.21</v>
      </c>
      <c r="H7" s="26">
        <f>'12-10-09'!H7+'12-24-09'!E7</f>
        <v>135.97</v>
      </c>
      <c r="I7" s="26">
        <f>'12-10-09'!I7+'12-24-09'!F7</f>
        <v>0</v>
      </c>
      <c r="J7" s="46">
        <f t="shared" si="0"/>
        <v>2926.18</v>
      </c>
      <c r="K7" s="6">
        <f t="shared" si="1"/>
        <v>3623.82</v>
      </c>
      <c r="L7" s="26">
        <f t="shared" si="2"/>
        <v>675.130923076923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107.13</v>
      </c>
      <c r="E8" s="26">
        <v>0</v>
      </c>
      <c r="F8" s="26">
        <v>0</v>
      </c>
      <c r="G8" s="26">
        <f>'12-10-09'!G8+'12-24-09'!D8</f>
        <v>2362.63</v>
      </c>
      <c r="H8" s="26">
        <f>'12-10-09'!H8+'12-24-09'!E8</f>
        <v>0</v>
      </c>
      <c r="I8" s="26">
        <f>'12-10-09'!I8+'12-24-09'!F8</f>
        <v>0</v>
      </c>
      <c r="J8" s="46">
        <f t="shared" si="0"/>
        <v>2362.63</v>
      </c>
      <c r="K8" s="6">
        <f t="shared" si="1"/>
        <v>7420.37</v>
      </c>
      <c r="L8" s="26">
        <f t="shared" si="2"/>
        <v>5039.565923076922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254</v>
      </c>
      <c r="E9" s="26">
        <v>0</v>
      </c>
      <c r="F9" s="26">
        <v>0</v>
      </c>
      <c r="G9" s="26">
        <f>'12-10-09'!G9+'12-24-09'!D9</f>
        <v>2096.8599999999997</v>
      </c>
      <c r="H9" s="26">
        <f>'12-10-09'!H9+'12-24-09'!E9</f>
        <v>0</v>
      </c>
      <c r="I9" s="26">
        <f>'12-10-09'!I9+'12-24-09'!F9</f>
        <v>0</v>
      </c>
      <c r="J9" s="46">
        <f t="shared" si="0"/>
        <v>2096.8599999999997</v>
      </c>
      <c r="K9" s="6">
        <f t="shared" si="1"/>
        <v>5909.14</v>
      </c>
      <c r="L9" s="26">
        <f t="shared" si="2"/>
        <v>3796.150307692308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131.32</v>
      </c>
      <c r="E10" s="26">
        <v>1120.11</v>
      </c>
      <c r="F10" s="26">
        <v>0</v>
      </c>
      <c r="G10" s="26">
        <f>'12-10-09'!G10+'12-24-09'!D10</f>
        <v>2749.25</v>
      </c>
      <c r="H10" s="26">
        <f>'12-10-09'!H10+'12-24-09'!E10</f>
        <v>9470.119999999999</v>
      </c>
      <c r="I10" s="26">
        <f>'12-10-09'!I10+'12-24-09'!F10</f>
        <v>0</v>
      </c>
      <c r="J10" s="46">
        <f t="shared" si="0"/>
        <v>12219.369999999999</v>
      </c>
      <c r="K10" s="6">
        <f t="shared" si="1"/>
        <v>12976.630000000001</v>
      </c>
      <c r="L10" s="26">
        <f t="shared" si="2"/>
        <v>663.2648461538483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'12-10-09'!G11+'12-24-09'!D11</f>
        <v>0</v>
      </c>
      <c r="H11" s="26">
        <f>'12-10-09'!H11+'12-24-09'!E11</f>
        <v>3497.6400000000003</v>
      </c>
      <c r="I11" s="26">
        <f>'12-10-09'!I11+'12-24-09'!F11</f>
        <v>0</v>
      </c>
      <c r="J11" s="46">
        <f t="shared" si="0"/>
        <v>3497.6400000000003</v>
      </c>
      <c r="K11" s="6">
        <f t="shared" si="1"/>
        <v>4002.3599999999997</v>
      </c>
      <c r="L11" s="26">
        <f t="shared" si="2"/>
        <v>477.81507692307605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21.75</v>
      </c>
      <c r="E12" s="26">
        <v>116</v>
      </c>
      <c r="F12" s="26">
        <v>0</v>
      </c>
      <c r="G12" s="26">
        <f>'12-10-09'!G12+'12-24-09'!D12</f>
        <v>695.8699999999999</v>
      </c>
      <c r="H12" s="26">
        <f>'12-10-09'!H12+'12-24-09'!E12</f>
        <v>839.39</v>
      </c>
      <c r="I12" s="26">
        <f>'12-10-09'!I12+'12-24-09'!F12</f>
        <v>0</v>
      </c>
      <c r="J12" s="46">
        <f t="shared" si="0"/>
        <v>1535.2599999999998</v>
      </c>
      <c r="K12" s="6">
        <f t="shared" si="1"/>
        <v>2608.7400000000002</v>
      </c>
      <c r="L12" s="26">
        <f t="shared" si="2"/>
        <v>1061.6703076923077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135.16</v>
      </c>
      <c r="E13" s="26">
        <v>56.91</v>
      </c>
      <c r="F13" s="26">
        <v>0</v>
      </c>
      <c r="G13" s="26">
        <f>'12-10-09'!G13+'12-24-09'!D13</f>
        <v>888.91</v>
      </c>
      <c r="H13" s="26">
        <f>'12-10-09'!H13+'12-24-09'!E13</f>
        <v>5467.37</v>
      </c>
      <c r="I13" s="26">
        <f>'12-10-09'!I13+'12-24-09'!F13</f>
        <v>0</v>
      </c>
      <c r="J13" s="46">
        <f t="shared" si="0"/>
        <v>6356.28</v>
      </c>
      <c r="K13" s="6">
        <f t="shared" si="1"/>
        <v>13817.720000000001</v>
      </c>
      <c r="L13" s="26">
        <f t="shared" si="2"/>
        <v>7412.545538461538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428.99</v>
      </c>
      <c r="E14" s="26">
        <v>800.8</v>
      </c>
      <c r="F14" s="26">
        <v>0</v>
      </c>
      <c r="G14" s="26">
        <f>'12-10-09'!G14+'12-24-09'!D14</f>
        <v>5425.039999999999</v>
      </c>
      <c r="H14" s="26">
        <f>'12-10-09'!H14+'12-24-09'!E14</f>
        <v>7934.33</v>
      </c>
      <c r="I14" s="26">
        <f>'12-10-09'!I14+'12-24-09'!F14</f>
        <v>0</v>
      </c>
      <c r="J14" s="46">
        <f t="shared" si="0"/>
        <v>13359.369999999999</v>
      </c>
      <c r="K14" s="6">
        <f t="shared" si="1"/>
        <v>17649.63</v>
      </c>
      <c r="L14" s="26">
        <f t="shared" si="2"/>
        <v>4187.495615384618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153.56</v>
      </c>
      <c r="E15" s="26">
        <f>115.05+252.1</f>
        <v>367.15</v>
      </c>
      <c r="F15" s="26">
        <v>0</v>
      </c>
      <c r="G15" s="26">
        <f>'12-10-09'!G15+'12-24-09'!D15</f>
        <v>1626.37</v>
      </c>
      <c r="H15" s="26">
        <f>'12-10-09'!H15+'12-24-09'!E15</f>
        <v>3548.9799999999996</v>
      </c>
      <c r="I15" s="26">
        <f>'12-10-09'!I15+'12-24-09'!F15</f>
        <v>0</v>
      </c>
      <c r="J15" s="46">
        <f t="shared" si="0"/>
        <v>5175.349999999999</v>
      </c>
      <c r="K15" s="6">
        <f t="shared" si="1"/>
        <v>8116.650000000001</v>
      </c>
      <c r="L15" s="26">
        <f t="shared" si="2"/>
        <v>2901.489615384615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1820.3400000000001</v>
      </c>
      <c r="E16" s="25">
        <f t="shared" si="3"/>
        <v>3324.53</v>
      </c>
      <c r="F16" s="25">
        <f t="shared" si="3"/>
        <v>0</v>
      </c>
      <c r="G16" s="25">
        <f t="shared" si="3"/>
        <v>26077.59</v>
      </c>
      <c r="H16" s="25">
        <f t="shared" si="3"/>
        <v>42742.25</v>
      </c>
      <c r="I16" s="25">
        <f t="shared" si="3"/>
        <v>0</v>
      </c>
      <c r="J16" s="49">
        <f t="shared" si="3"/>
        <v>68819.84000000001</v>
      </c>
      <c r="K16" s="25">
        <f t="shared" si="3"/>
        <v>102303.16</v>
      </c>
      <c r="L16" s="9">
        <f t="shared" si="3"/>
        <v>32953.936615384606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99.86</v>
      </c>
      <c r="E18" s="6">
        <v>81.2</v>
      </c>
      <c r="F18" s="6">
        <v>0</v>
      </c>
      <c r="G18" s="6">
        <f>'12-10-09'!G18+'12-24-09'!D18</f>
        <v>1151.4199999999998</v>
      </c>
      <c r="H18" s="6">
        <f>'12-10-09'!H18+'12-24-09'!E18</f>
        <v>6067.72</v>
      </c>
      <c r="I18" s="6">
        <f>'12-10-09'!I18+'12-24-09'!F18</f>
        <v>0</v>
      </c>
      <c r="J18" s="46">
        <f aca="true" t="shared" si="4" ref="J18:J23">SUM(G18:I18)</f>
        <v>7219.14</v>
      </c>
      <c r="K18" s="6">
        <f aca="true" t="shared" si="5" ref="K18:K23">C18-J18</f>
        <v>8671.86</v>
      </c>
      <c r="L18" s="6">
        <f aca="true" t="shared" si="6" ref="L18:L23">C18-(J18/13*26.1)</f>
        <v>1397.188153846153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69.16</v>
      </c>
      <c r="E19" s="26">
        <v>593.1</v>
      </c>
      <c r="F19" s="26">
        <v>0</v>
      </c>
      <c r="G19" s="26">
        <f>'12-10-09'!G19+'12-24-09'!D19</f>
        <v>1201.3100000000002</v>
      </c>
      <c r="H19" s="26">
        <f>'12-10-09'!H19+'12-24-09'!E19</f>
        <v>4874.530000000001</v>
      </c>
      <c r="I19" s="26">
        <f>'12-10-09'!I19+'12-24-09'!F19</f>
        <v>0</v>
      </c>
      <c r="J19" s="46">
        <f t="shared" si="4"/>
        <v>6075.840000000001</v>
      </c>
      <c r="K19" s="6">
        <f t="shared" si="5"/>
        <v>9317.16</v>
      </c>
      <c r="L19" s="26">
        <f t="shared" si="6"/>
        <v>3194.5827692307666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27.19</v>
      </c>
      <c r="E20" s="26">
        <v>21.75</v>
      </c>
      <c r="F20" s="26">
        <v>0</v>
      </c>
      <c r="G20" s="26">
        <f>'12-10-09'!G20+'12-24-09'!D20</f>
        <v>1499.0300000000002</v>
      </c>
      <c r="H20" s="26">
        <f>'12-10-09'!H20+'12-24-09'!E20</f>
        <v>1668.9</v>
      </c>
      <c r="I20" s="26">
        <f>'12-10-09'!I20+'12-24-09'!F20</f>
        <v>0</v>
      </c>
      <c r="J20" s="46">
        <f t="shared" si="4"/>
        <v>3167.9300000000003</v>
      </c>
      <c r="K20" s="6">
        <f t="shared" si="5"/>
        <v>11400.07</v>
      </c>
      <c r="L20" s="26">
        <f t="shared" si="6"/>
        <v>8207.771307692306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18.63</v>
      </c>
      <c r="E21" s="26">
        <v>0</v>
      </c>
      <c r="F21" s="26">
        <v>0</v>
      </c>
      <c r="G21" s="26">
        <f>'12-10-09'!G21+'12-24-09'!D21</f>
        <v>235.64999999999998</v>
      </c>
      <c r="H21" s="26">
        <f>'12-10-09'!H21+'12-24-09'!E21</f>
        <v>0</v>
      </c>
      <c r="I21" s="26">
        <f>'12-10-09'!I21+'12-24-09'!F21</f>
        <v>0</v>
      </c>
      <c r="J21" s="46">
        <f t="shared" si="4"/>
        <v>235.64999999999998</v>
      </c>
      <c r="K21" s="6">
        <f t="shared" si="5"/>
        <v>5846.35</v>
      </c>
      <c r="L21" s="26">
        <f t="shared" si="6"/>
        <v>5608.887307692307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61.79</v>
      </c>
      <c r="E22" s="26">
        <v>0</v>
      </c>
      <c r="F22" s="26">
        <v>0</v>
      </c>
      <c r="G22" s="26">
        <f>'12-10-09'!G22+'12-24-09'!D22</f>
        <v>1445.08</v>
      </c>
      <c r="H22" s="26">
        <f>'12-10-09'!H22+'12-24-09'!E22</f>
        <v>760.57</v>
      </c>
      <c r="I22" s="26">
        <f>'12-10-09'!I22+'12-24-09'!F22</f>
        <v>0</v>
      </c>
      <c r="J22" s="46">
        <f t="shared" si="4"/>
        <v>2205.65</v>
      </c>
      <c r="K22" s="6">
        <f t="shared" si="5"/>
        <v>5486.35</v>
      </c>
      <c r="L22" s="26">
        <f t="shared" si="6"/>
        <v>3263.7334615384607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46.68</v>
      </c>
      <c r="E23" s="26">
        <v>0</v>
      </c>
      <c r="F23" s="26">
        <v>0</v>
      </c>
      <c r="G23" s="26">
        <f>'12-10-09'!G23+'12-24-09'!D23</f>
        <v>1325.74</v>
      </c>
      <c r="H23" s="26">
        <f>'12-10-09'!H23+'12-24-09'!E23</f>
        <v>0</v>
      </c>
      <c r="I23" s="26">
        <f>'12-10-09'!I23+'12-24-09'!F23</f>
        <v>0</v>
      </c>
      <c r="J23" s="46">
        <f t="shared" si="4"/>
        <v>1325.74</v>
      </c>
      <c r="K23" s="6">
        <f t="shared" si="5"/>
        <v>5209.26</v>
      </c>
      <c r="L23" s="26">
        <f t="shared" si="6"/>
        <v>3873.3219999999997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323.31</v>
      </c>
      <c r="E24" s="9">
        <f aca="true" t="shared" si="7" ref="E24:L24">SUM(E18:E23)</f>
        <v>696.0500000000001</v>
      </c>
      <c r="F24" s="9">
        <f t="shared" si="7"/>
        <v>0</v>
      </c>
      <c r="G24" s="9">
        <f t="shared" si="7"/>
        <v>6858.23</v>
      </c>
      <c r="H24" s="9">
        <f t="shared" si="7"/>
        <v>13371.72</v>
      </c>
      <c r="I24" s="9">
        <f t="shared" si="7"/>
        <v>0</v>
      </c>
      <c r="J24" s="9">
        <f t="shared" si="7"/>
        <v>20229.950000000008</v>
      </c>
      <c r="K24" s="9">
        <f t="shared" si="7"/>
        <v>45931.05</v>
      </c>
      <c r="L24" s="9">
        <f t="shared" si="7"/>
        <v>25545.484999999993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'12-10-09'!G26+'12-24-09'!D26</f>
        <v>0</v>
      </c>
      <c r="H26" s="26">
        <f>'12-10-09'!H26+'12-24-09'!E26</f>
        <v>6555.999999999999</v>
      </c>
      <c r="I26" s="26">
        <f>'12-10-09'!I26+'12-24-09'!F26</f>
        <v>0</v>
      </c>
      <c r="J26" s="46">
        <f>SUM(G26:I26)</f>
        <v>6555.999999999999</v>
      </c>
      <c r="K26" s="26">
        <f>C26-J26</f>
        <v>8620</v>
      </c>
      <c r="L26" s="26">
        <f>C26-(J26/13*26.1)</f>
        <v>2013.5692307692316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5.44</v>
      </c>
      <c r="E27" s="26">
        <v>54.38</v>
      </c>
      <c r="F27" s="26">
        <v>0</v>
      </c>
      <c r="G27" s="26">
        <f>'12-10-09'!G27+'12-24-09'!D27</f>
        <v>1120.8100000000002</v>
      </c>
      <c r="H27" s="26">
        <f>'12-10-09'!H27+'12-24-09'!E27</f>
        <v>1083.42</v>
      </c>
      <c r="I27" s="26">
        <f>'12-10-09'!I27+'12-24-09'!F27</f>
        <v>0</v>
      </c>
      <c r="J27" s="46">
        <f>SUM(G27:I27)</f>
        <v>2204.2300000000005</v>
      </c>
      <c r="K27" s="6">
        <f>C27-J27</f>
        <v>3496.7699999999995</v>
      </c>
      <c r="L27" s="26">
        <f>C27-(J27/13*26.1)</f>
        <v>1275.584384615384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5.44</v>
      </c>
      <c r="E28" s="9">
        <f>SUM(E26:E27)</f>
        <v>650.38</v>
      </c>
      <c r="F28" s="9">
        <f aca="true" t="shared" si="8" ref="F28:L28">SUM(F26:F27)</f>
        <v>0</v>
      </c>
      <c r="G28" s="9">
        <f t="shared" si="8"/>
        <v>1120.8100000000002</v>
      </c>
      <c r="H28" s="9">
        <f t="shared" si="8"/>
        <v>7639.419999999999</v>
      </c>
      <c r="I28" s="9">
        <f t="shared" si="8"/>
        <v>0</v>
      </c>
      <c r="J28" s="9">
        <f t="shared" si="8"/>
        <v>8760.23</v>
      </c>
      <c r="K28" s="9">
        <f t="shared" si="8"/>
        <v>12116.77</v>
      </c>
      <c r="L28" s="9">
        <f t="shared" si="8"/>
        <v>3289.1536153846155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52.36</v>
      </c>
      <c r="E30" s="26">
        <v>2314.21</v>
      </c>
      <c r="F30" s="26">
        <v>0</v>
      </c>
      <c r="G30" s="26">
        <f>'12-10-09'!G30+'12-24-09'!D30</f>
        <v>497.23</v>
      </c>
      <c r="H30" s="26">
        <f>'12-10-09'!H30+'12-24-09'!E30</f>
        <v>27818.32</v>
      </c>
      <c r="I30" s="26">
        <f>'12-10-09'!I30+'12-24-09'!F30</f>
        <v>0</v>
      </c>
      <c r="J30" s="6">
        <f>SUM(G30:I30)</f>
        <v>28315.55</v>
      </c>
      <c r="K30" s="26">
        <f>C30-J30</f>
        <v>33355.45</v>
      </c>
      <c r="L30" s="26">
        <f>C30-(J30/13*26.1)</f>
        <v>4822.088076923072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606.8</v>
      </c>
      <c r="F31" s="26">
        <v>0</v>
      </c>
      <c r="G31" s="26">
        <f>'12-10-09'!G31+'12-24-09'!D31</f>
        <v>0</v>
      </c>
      <c r="H31" s="26">
        <f>'12-10-09'!H31+'12-24-09'!E31</f>
        <v>5980.99</v>
      </c>
      <c r="I31" s="26">
        <f>'12-10-09'!I31+'12-24-09'!F31</f>
        <v>0</v>
      </c>
      <c r="J31" s="6">
        <f>SUM(G31:I31)</f>
        <v>5980.99</v>
      </c>
      <c r="K31" s="6">
        <f>C31-J31</f>
        <v>10100.01</v>
      </c>
      <c r="L31" s="26">
        <f>C31-(J31/13*26.1)</f>
        <v>4073.012384615384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52.36</v>
      </c>
      <c r="E32" s="9">
        <f aca="true" t="shared" si="9" ref="E32:L32">SUM(E30:E31)</f>
        <v>2921.01</v>
      </c>
      <c r="F32" s="9">
        <f t="shared" si="9"/>
        <v>0</v>
      </c>
      <c r="G32" s="9">
        <f t="shared" si="9"/>
        <v>497.23</v>
      </c>
      <c r="H32" s="9">
        <f t="shared" si="9"/>
        <v>33799.31</v>
      </c>
      <c r="I32" s="9">
        <f t="shared" si="9"/>
        <v>0</v>
      </c>
      <c r="J32" s="9">
        <f t="shared" si="9"/>
        <v>34296.54</v>
      </c>
      <c r="K32" s="9">
        <f t="shared" si="9"/>
        <v>43455.46</v>
      </c>
      <c r="L32" s="9">
        <f t="shared" si="9"/>
        <v>8895.100461538455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2201.4500000000003</v>
      </c>
      <c r="E33" s="14">
        <f t="shared" si="10"/>
        <v>7591.97</v>
      </c>
      <c r="F33" s="14">
        <f t="shared" si="10"/>
        <v>0</v>
      </c>
      <c r="G33" s="14">
        <f t="shared" si="10"/>
        <v>34553.86</v>
      </c>
      <c r="H33" s="14">
        <f t="shared" si="10"/>
        <v>97552.7</v>
      </c>
      <c r="I33" s="14">
        <f t="shared" si="10"/>
        <v>0</v>
      </c>
      <c r="J33" s="14">
        <f t="shared" si="10"/>
        <v>132106.56000000003</v>
      </c>
      <c r="K33" s="14">
        <f t="shared" si="10"/>
        <v>203806.44</v>
      </c>
      <c r="L33" s="14">
        <f t="shared" si="10"/>
        <v>70683.67569230768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12-24-09</oddHeader>
    <oddFooter>&amp;CFY 2009-2010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E25" sqref="E25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7.25</v>
      </c>
      <c r="E4" s="26">
        <v>14.5</v>
      </c>
      <c r="F4" s="26">
        <v>0</v>
      </c>
      <c r="G4" s="26">
        <f>'12-24-09'!G4+'1-7-10'!D4</f>
        <v>1007.08</v>
      </c>
      <c r="H4" s="26">
        <f>'12-24-09'!H4+'1-7-10'!E4</f>
        <v>4257.889999999999</v>
      </c>
      <c r="I4" s="26">
        <f>'12-24-09'!I4+'1-7-10'!F4</f>
        <v>0</v>
      </c>
      <c r="J4" s="44">
        <f>SUM(G4:I4)</f>
        <v>5264.969999999999</v>
      </c>
      <c r="K4" s="26">
        <f>C4-J4</f>
        <v>8054.030000000001</v>
      </c>
      <c r="L4" s="26">
        <f>C4-(J4/14*26.1)</f>
        <v>3503.5916428571436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95.87</v>
      </c>
      <c r="E5" s="26">
        <v>0</v>
      </c>
      <c r="F5" s="26">
        <v>0</v>
      </c>
      <c r="G5" s="26">
        <f>'12-24-09'!G5+'1-7-10'!D5</f>
        <v>5325.9400000000005</v>
      </c>
      <c r="H5" s="26">
        <f>'12-24-09'!H5+'1-7-10'!E5</f>
        <v>3752.530000000001</v>
      </c>
      <c r="I5" s="26">
        <f>'12-24-09'!I5+'1-7-10'!F5</f>
        <v>0</v>
      </c>
      <c r="J5" s="46">
        <f aca="true" t="shared" si="0" ref="J5:J15">SUM(G5:I5)</f>
        <v>9078.470000000001</v>
      </c>
      <c r="K5" s="6">
        <f aca="true" t="shared" si="1" ref="K5:K15">C5-J5</f>
        <v>12970.529999999999</v>
      </c>
      <c r="L5" s="26">
        <f aca="true" t="shared" si="2" ref="L5:L15">C5-(J5/14*26.1)</f>
        <v>5124.13807142857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43.06</v>
      </c>
      <c r="E6" s="26">
        <v>90.63</v>
      </c>
      <c r="F6" s="26">
        <v>0</v>
      </c>
      <c r="G6" s="26">
        <f>'12-24-09'!G6+'1-7-10'!D6</f>
        <v>1255.6100000000001</v>
      </c>
      <c r="H6" s="26">
        <f>'12-24-09'!H6+'1-7-10'!E6</f>
        <v>3943.16</v>
      </c>
      <c r="I6" s="26">
        <f>'12-24-09'!I6+'1-7-10'!F6</f>
        <v>0</v>
      </c>
      <c r="J6" s="46">
        <f t="shared" si="0"/>
        <v>5198.77</v>
      </c>
      <c r="K6" s="6">
        <f t="shared" si="1"/>
        <v>4902.23</v>
      </c>
      <c r="L6" s="26">
        <f t="shared" si="2"/>
        <v>409.00735714285474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82.93</v>
      </c>
      <c r="E7" s="26">
        <v>0</v>
      </c>
      <c r="F7" s="26">
        <v>0</v>
      </c>
      <c r="G7" s="26">
        <f>'12-24-09'!G7+'1-7-10'!D7</f>
        <v>2873.14</v>
      </c>
      <c r="H7" s="26">
        <f>'12-24-09'!H7+'1-7-10'!E7</f>
        <v>135.97</v>
      </c>
      <c r="I7" s="26">
        <f>'12-24-09'!I7+'1-7-10'!F7</f>
        <v>0</v>
      </c>
      <c r="J7" s="46">
        <f t="shared" si="0"/>
        <v>3009.1099999999997</v>
      </c>
      <c r="K7" s="6">
        <f t="shared" si="1"/>
        <v>3540.8900000000003</v>
      </c>
      <c r="L7" s="26">
        <f t="shared" si="2"/>
        <v>940.1592142857153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35.46</v>
      </c>
      <c r="E8" s="26">
        <v>0</v>
      </c>
      <c r="F8" s="26">
        <v>0</v>
      </c>
      <c r="G8" s="26">
        <f>'12-24-09'!G8+'1-7-10'!D8</f>
        <v>2398.09</v>
      </c>
      <c r="H8" s="26">
        <f>'12-24-09'!H8+'1-7-10'!E8</f>
        <v>0</v>
      </c>
      <c r="I8" s="26">
        <f>'12-24-09'!I8+'1-7-10'!F8</f>
        <v>0</v>
      </c>
      <c r="J8" s="46">
        <f t="shared" si="0"/>
        <v>2398.09</v>
      </c>
      <c r="K8" s="6">
        <f t="shared" si="1"/>
        <v>7384.91</v>
      </c>
      <c r="L8" s="26">
        <f t="shared" si="2"/>
        <v>5312.275071428571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94.31</v>
      </c>
      <c r="E9" s="26">
        <v>0</v>
      </c>
      <c r="F9" s="26">
        <v>0</v>
      </c>
      <c r="G9" s="26">
        <f>'12-24-09'!G9+'1-7-10'!D9</f>
        <v>2191.1699999999996</v>
      </c>
      <c r="H9" s="26">
        <f>'12-24-09'!H9+'1-7-10'!E9</f>
        <v>0</v>
      </c>
      <c r="I9" s="26">
        <f>'12-24-09'!I9+'1-7-10'!F9</f>
        <v>0</v>
      </c>
      <c r="J9" s="46">
        <f t="shared" si="0"/>
        <v>2191.1699999999996</v>
      </c>
      <c r="K9" s="6">
        <f t="shared" si="1"/>
        <v>5814.83</v>
      </c>
      <c r="L9" s="26">
        <f t="shared" si="2"/>
        <v>3921.033071428572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119.52</v>
      </c>
      <c r="E10" s="26">
        <v>94.99</v>
      </c>
      <c r="F10" s="26">
        <v>0</v>
      </c>
      <c r="G10" s="26">
        <f>'12-24-09'!G10+'1-7-10'!D10</f>
        <v>2868.77</v>
      </c>
      <c r="H10" s="26">
        <f>'12-24-09'!H10+'1-7-10'!E10</f>
        <v>9565.109999999999</v>
      </c>
      <c r="I10" s="26">
        <f>'12-24-09'!I10+'1-7-10'!F10</f>
        <v>0</v>
      </c>
      <c r="J10" s="46">
        <f t="shared" si="0"/>
        <v>12433.88</v>
      </c>
      <c r="K10" s="6">
        <f t="shared" si="1"/>
        <v>12762.12</v>
      </c>
      <c r="L10" s="26">
        <f t="shared" si="2"/>
        <v>2015.6951428571447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384.63</v>
      </c>
      <c r="F11" s="26">
        <v>0</v>
      </c>
      <c r="G11" s="26">
        <f>'12-24-09'!G11+'1-7-10'!D11</f>
        <v>0</v>
      </c>
      <c r="H11" s="26">
        <f>'12-24-09'!H11+'1-7-10'!E11</f>
        <v>3882.2700000000004</v>
      </c>
      <c r="I11" s="26">
        <f>'12-24-09'!I11+'1-7-10'!F11</f>
        <v>0</v>
      </c>
      <c r="J11" s="46">
        <f t="shared" si="0"/>
        <v>3882.2700000000004</v>
      </c>
      <c r="K11" s="6">
        <f t="shared" si="1"/>
        <v>3617.7299999999996</v>
      </c>
      <c r="L11" s="26">
        <f t="shared" si="2"/>
        <v>262.33949999999913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49.85</v>
      </c>
      <c r="E12" s="26">
        <v>163.13</v>
      </c>
      <c r="F12" s="26">
        <v>0</v>
      </c>
      <c r="G12" s="26">
        <f>'12-24-09'!G12+'1-7-10'!D12</f>
        <v>745.7199999999999</v>
      </c>
      <c r="H12" s="26">
        <f>'12-24-09'!H12+'1-7-10'!E12</f>
        <v>1002.52</v>
      </c>
      <c r="I12" s="26">
        <f>'12-24-09'!I12+'1-7-10'!F12</f>
        <v>0</v>
      </c>
      <c r="J12" s="46">
        <f t="shared" si="0"/>
        <v>1748.2399999999998</v>
      </c>
      <c r="K12" s="6">
        <f t="shared" si="1"/>
        <v>2395.76</v>
      </c>
      <c r="L12" s="26">
        <f t="shared" si="2"/>
        <v>884.7811428571431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54.66</v>
      </c>
      <c r="E13" s="26">
        <v>166.67</v>
      </c>
      <c r="F13" s="26">
        <v>0</v>
      </c>
      <c r="G13" s="26">
        <f>'12-24-09'!G13+'1-7-10'!D13</f>
        <v>943.5699999999999</v>
      </c>
      <c r="H13" s="26">
        <f>'12-24-09'!H13+'1-7-10'!E13</f>
        <v>5634.04</v>
      </c>
      <c r="I13" s="26">
        <f>'12-24-09'!I13+'1-7-10'!F13</f>
        <v>0</v>
      </c>
      <c r="J13" s="46">
        <f t="shared" si="0"/>
        <v>6577.61</v>
      </c>
      <c r="K13" s="6">
        <f t="shared" si="1"/>
        <v>13596.39</v>
      </c>
      <c r="L13" s="26">
        <f t="shared" si="2"/>
        <v>7911.455642857143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115.83</v>
      </c>
      <c r="E14" s="26">
        <v>214.63</v>
      </c>
      <c r="F14" s="26">
        <v>0</v>
      </c>
      <c r="G14" s="26">
        <f>'12-24-09'!G14+'1-7-10'!D14</f>
        <v>5540.869999999999</v>
      </c>
      <c r="H14" s="26">
        <f>'12-24-09'!H14+'1-7-10'!E14</f>
        <v>8148.96</v>
      </c>
      <c r="I14" s="26">
        <f>'12-24-09'!I14+'1-7-10'!F14</f>
        <v>0</v>
      </c>
      <c r="J14" s="46">
        <f t="shared" si="0"/>
        <v>13689.829999999998</v>
      </c>
      <c r="K14" s="6">
        <f t="shared" si="1"/>
        <v>17319.170000000002</v>
      </c>
      <c r="L14" s="26">
        <f t="shared" si="2"/>
        <v>5487.245500000001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22.56</v>
      </c>
      <c r="E15" s="26">
        <v>0</v>
      </c>
      <c r="F15" s="26">
        <v>0</v>
      </c>
      <c r="G15" s="26">
        <f>'12-24-09'!G15+'1-7-10'!D15</f>
        <v>1648.9299999999998</v>
      </c>
      <c r="H15" s="26">
        <f>'12-24-09'!H15+'1-7-10'!E15</f>
        <v>3548.9799999999996</v>
      </c>
      <c r="I15" s="26">
        <f>'12-24-09'!I15+'1-7-10'!F15</f>
        <v>0</v>
      </c>
      <c r="J15" s="46">
        <f t="shared" si="0"/>
        <v>5197.91</v>
      </c>
      <c r="K15" s="6">
        <f t="shared" si="1"/>
        <v>8094.09</v>
      </c>
      <c r="L15" s="26">
        <f t="shared" si="2"/>
        <v>3601.610642857142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721.3</v>
      </c>
      <c r="E16" s="25">
        <f t="shared" si="3"/>
        <v>1129.1799999999998</v>
      </c>
      <c r="F16" s="25">
        <f t="shared" si="3"/>
        <v>0</v>
      </c>
      <c r="G16" s="25">
        <f t="shared" si="3"/>
        <v>26798.89</v>
      </c>
      <c r="H16" s="25">
        <f t="shared" si="3"/>
        <v>43871.42999999999</v>
      </c>
      <c r="I16" s="25">
        <f t="shared" si="3"/>
        <v>0</v>
      </c>
      <c r="J16" s="49">
        <f t="shared" si="3"/>
        <v>70670.31999999999</v>
      </c>
      <c r="K16" s="25">
        <f t="shared" si="3"/>
        <v>100452.68000000001</v>
      </c>
      <c r="L16" s="9">
        <f t="shared" si="3"/>
        <v>39373.332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24.39</v>
      </c>
      <c r="E18" s="6">
        <v>154.28</v>
      </c>
      <c r="F18" s="6">
        <v>0</v>
      </c>
      <c r="G18" s="6">
        <f>'12-24-09'!G18+'1-7-10'!D18</f>
        <v>1175.81</v>
      </c>
      <c r="H18" s="6">
        <f>'12-24-09'!H18+'1-7-10'!E18</f>
        <v>6222</v>
      </c>
      <c r="I18" s="6">
        <f>'12-24-09'!I18+'1-7-10'!F18</f>
        <v>0</v>
      </c>
      <c r="J18" s="46">
        <f aca="true" t="shared" si="4" ref="J18:J23">SUM(G18:I18)</f>
        <v>7397.8099999999995</v>
      </c>
      <c r="K18" s="6">
        <f aca="true" t="shared" si="5" ref="K18:K23">C18-J18</f>
        <v>8493.19</v>
      </c>
      <c r="L18" s="6">
        <f aca="true" t="shared" si="6" ref="L18:L23">C18-(J18/14*26.1)</f>
        <v>2099.3685000000005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12.32</v>
      </c>
      <c r="E19" s="26">
        <v>0</v>
      </c>
      <c r="F19" s="26">
        <v>0</v>
      </c>
      <c r="G19" s="26">
        <f>'12-24-09'!G19+'1-7-10'!D19</f>
        <v>1213.63</v>
      </c>
      <c r="H19" s="26">
        <f>'12-24-09'!H19+'1-7-10'!E19</f>
        <v>4874.530000000001</v>
      </c>
      <c r="I19" s="26">
        <f>'12-24-09'!I19+'1-7-10'!F19</f>
        <v>0</v>
      </c>
      <c r="J19" s="46">
        <f t="shared" si="4"/>
        <v>6088.160000000001</v>
      </c>
      <c r="K19" s="6">
        <f t="shared" si="5"/>
        <v>9304.84</v>
      </c>
      <c r="L19" s="26">
        <f t="shared" si="6"/>
        <v>4042.930285714283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0</v>
      </c>
      <c r="E20" s="26">
        <v>38.06</v>
      </c>
      <c r="F20" s="26">
        <v>0</v>
      </c>
      <c r="G20" s="26">
        <f>'12-24-09'!G20+'1-7-10'!D20</f>
        <v>1499.0300000000002</v>
      </c>
      <c r="H20" s="26">
        <f>'12-24-09'!H20+'1-7-10'!E20</f>
        <v>1706.96</v>
      </c>
      <c r="I20" s="26">
        <f>'12-24-09'!I20+'1-7-10'!F20</f>
        <v>0</v>
      </c>
      <c r="J20" s="46">
        <f t="shared" si="4"/>
        <v>3205.9900000000002</v>
      </c>
      <c r="K20" s="6">
        <f t="shared" si="5"/>
        <v>11362.01</v>
      </c>
      <c r="L20" s="26">
        <f t="shared" si="6"/>
        <v>8591.118642857142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0</v>
      </c>
      <c r="E21" s="26">
        <v>0</v>
      </c>
      <c r="F21" s="26">
        <v>0</v>
      </c>
      <c r="G21" s="26">
        <f>'12-24-09'!G21+'1-7-10'!D21</f>
        <v>235.64999999999998</v>
      </c>
      <c r="H21" s="26">
        <f>'12-24-09'!H21+'1-7-10'!E21</f>
        <v>0</v>
      </c>
      <c r="I21" s="26">
        <f>'12-24-09'!I21+'1-7-10'!F21</f>
        <v>0</v>
      </c>
      <c r="J21" s="46">
        <f t="shared" si="4"/>
        <v>235.64999999999998</v>
      </c>
      <c r="K21" s="6">
        <f t="shared" si="5"/>
        <v>5846.35</v>
      </c>
      <c r="L21" s="26">
        <f t="shared" si="6"/>
        <v>5642.681071428571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41.24</v>
      </c>
      <c r="E22" s="26">
        <v>230</v>
      </c>
      <c r="F22" s="26">
        <v>0</v>
      </c>
      <c r="G22" s="26">
        <f>'12-24-09'!G22+'1-7-10'!D22</f>
        <v>1486.32</v>
      </c>
      <c r="H22" s="26">
        <f>'12-24-09'!H22+'1-7-10'!E22</f>
        <v>990.57</v>
      </c>
      <c r="I22" s="26">
        <f>'12-24-09'!I22+'1-7-10'!F22</f>
        <v>0</v>
      </c>
      <c r="J22" s="46">
        <f t="shared" si="4"/>
        <v>2476.89</v>
      </c>
      <c r="K22" s="6">
        <f t="shared" si="5"/>
        <v>5215.110000000001</v>
      </c>
      <c r="L22" s="26">
        <f t="shared" si="6"/>
        <v>3074.3693571428576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38.52</v>
      </c>
      <c r="E23" s="26">
        <v>0</v>
      </c>
      <c r="F23" s="26">
        <v>0</v>
      </c>
      <c r="G23" s="26">
        <f>'12-24-09'!G23+'1-7-10'!D23</f>
        <v>1364.26</v>
      </c>
      <c r="H23" s="26">
        <f>'12-24-09'!H23+'1-7-10'!E23</f>
        <v>0</v>
      </c>
      <c r="I23" s="26">
        <f>'12-24-09'!I23+'1-7-10'!F23</f>
        <v>0</v>
      </c>
      <c r="J23" s="46">
        <f t="shared" si="4"/>
        <v>1364.26</v>
      </c>
      <c r="K23" s="6">
        <f t="shared" si="5"/>
        <v>5170.74</v>
      </c>
      <c r="L23" s="26">
        <f t="shared" si="6"/>
        <v>3991.6295714285716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116.47</v>
      </c>
      <c r="E24" s="9">
        <f aca="true" t="shared" si="7" ref="E24:L24">SUM(E18:E23)</f>
        <v>422.34000000000003</v>
      </c>
      <c r="F24" s="9">
        <f t="shared" si="7"/>
        <v>0</v>
      </c>
      <c r="G24" s="9">
        <f t="shared" si="7"/>
        <v>6974.7</v>
      </c>
      <c r="H24" s="9">
        <f t="shared" si="7"/>
        <v>13794.060000000001</v>
      </c>
      <c r="I24" s="9">
        <f t="shared" si="7"/>
        <v>0</v>
      </c>
      <c r="J24" s="9">
        <f t="shared" si="7"/>
        <v>20768.760000000002</v>
      </c>
      <c r="K24" s="9">
        <f t="shared" si="7"/>
        <v>45392.24</v>
      </c>
      <c r="L24" s="9">
        <f t="shared" si="7"/>
        <v>27442.097428571426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238.4</v>
      </c>
      <c r="F26" s="26">
        <v>0</v>
      </c>
      <c r="G26" s="26">
        <f>'12-24-09'!G26+'1-7-10'!D26</f>
        <v>0</v>
      </c>
      <c r="H26" s="26">
        <f>'12-24-09'!H26+'1-7-10'!E26</f>
        <v>6794.399999999999</v>
      </c>
      <c r="I26" s="26">
        <f>'12-24-09'!I26+'1-7-10'!F26</f>
        <v>0</v>
      </c>
      <c r="J26" s="46">
        <f>SUM(G26:I26)</f>
        <v>6794.399999999999</v>
      </c>
      <c r="K26" s="26">
        <f>C26-J26</f>
        <v>8381.600000000002</v>
      </c>
      <c r="L26" s="26">
        <f>C26-(J26/14*26.1)</f>
        <v>2509.2971428571436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29.52</v>
      </c>
      <c r="E27" s="26">
        <v>29</v>
      </c>
      <c r="F27" s="26">
        <v>0</v>
      </c>
      <c r="G27" s="26">
        <f>'12-24-09'!G27+'1-7-10'!D27</f>
        <v>1150.3300000000002</v>
      </c>
      <c r="H27" s="26">
        <f>'12-24-09'!H27+'1-7-10'!E27</f>
        <v>1112.42</v>
      </c>
      <c r="I27" s="26">
        <f>'12-24-09'!I27+'1-7-10'!F27</f>
        <v>0</v>
      </c>
      <c r="J27" s="46">
        <f>SUM(G27:I27)</f>
        <v>2262.75</v>
      </c>
      <c r="K27" s="6">
        <f>C27-J27</f>
        <v>3438.25</v>
      </c>
      <c r="L27" s="26">
        <f>C27-(J27/14*26.1)</f>
        <v>1482.5874999999996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29.52</v>
      </c>
      <c r="E28" s="9">
        <f>SUM(E26:E27)</f>
        <v>267.4</v>
      </c>
      <c r="F28" s="9">
        <f aca="true" t="shared" si="8" ref="F28:L28">SUM(F26:F27)</f>
        <v>0</v>
      </c>
      <c r="G28" s="9">
        <f t="shared" si="8"/>
        <v>1150.3300000000002</v>
      </c>
      <c r="H28" s="9">
        <f t="shared" si="8"/>
        <v>7906.819999999999</v>
      </c>
      <c r="I28" s="9">
        <f t="shared" si="8"/>
        <v>0</v>
      </c>
      <c r="J28" s="9">
        <f t="shared" si="8"/>
        <v>9057.149999999998</v>
      </c>
      <c r="K28" s="9">
        <f t="shared" si="8"/>
        <v>11819.850000000002</v>
      </c>
      <c r="L28" s="9">
        <f t="shared" si="8"/>
        <v>3991.8846428571433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36.03</v>
      </c>
      <c r="E30" s="26">
        <v>649.89</v>
      </c>
      <c r="F30" s="26">
        <v>0</v>
      </c>
      <c r="G30" s="26">
        <f>'12-24-09'!G30+'1-7-10'!D30</f>
        <v>533.26</v>
      </c>
      <c r="H30" s="26">
        <f>'12-24-09'!H30+'1-7-10'!E30</f>
        <v>28468.21</v>
      </c>
      <c r="I30" s="26">
        <f>'12-24-09'!I30+'1-7-10'!F30</f>
        <v>0</v>
      </c>
      <c r="J30" s="6">
        <f>SUM(G30:I30)</f>
        <v>29001.469999999998</v>
      </c>
      <c r="K30" s="26">
        <f>C30-J30</f>
        <v>32669.530000000002</v>
      </c>
      <c r="L30" s="26">
        <f>C30-(J30/14*26.1)</f>
        <v>7603.97378571429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303.4</v>
      </c>
      <c r="F31" s="26">
        <v>0</v>
      </c>
      <c r="G31" s="26">
        <f>'12-24-09'!G31+'1-7-10'!D31</f>
        <v>0</v>
      </c>
      <c r="H31" s="26">
        <f>'12-24-09'!H31+'1-7-10'!E31</f>
        <v>6284.389999999999</v>
      </c>
      <c r="I31" s="26">
        <f>'12-24-09'!I31+'1-7-10'!F31</f>
        <v>0</v>
      </c>
      <c r="J31" s="6">
        <f>SUM(G31:I31)</f>
        <v>6284.389999999999</v>
      </c>
      <c r="K31" s="6">
        <f>C31-J31</f>
        <v>9796.61</v>
      </c>
      <c r="L31" s="26">
        <f>C31-(J31/14*26.1)</f>
        <v>4365.101500000001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36.03</v>
      </c>
      <c r="E32" s="9">
        <f aca="true" t="shared" si="9" ref="E32:L32">SUM(E30:E31)</f>
        <v>953.29</v>
      </c>
      <c r="F32" s="9">
        <f t="shared" si="9"/>
        <v>0</v>
      </c>
      <c r="G32" s="9">
        <f t="shared" si="9"/>
        <v>533.26</v>
      </c>
      <c r="H32" s="9">
        <f t="shared" si="9"/>
        <v>34752.6</v>
      </c>
      <c r="I32" s="9">
        <f t="shared" si="9"/>
        <v>0</v>
      </c>
      <c r="J32" s="9">
        <f t="shared" si="9"/>
        <v>35285.86</v>
      </c>
      <c r="K32" s="9">
        <f t="shared" si="9"/>
        <v>42466.14</v>
      </c>
      <c r="L32" s="9">
        <f t="shared" si="9"/>
        <v>11969.07528571429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903.3199999999999</v>
      </c>
      <c r="E33" s="14">
        <f t="shared" si="10"/>
        <v>2772.21</v>
      </c>
      <c r="F33" s="14">
        <f t="shared" si="10"/>
        <v>0</v>
      </c>
      <c r="G33" s="14">
        <f t="shared" si="10"/>
        <v>35457.18</v>
      </c>
      <c r="H33" s="14">
        <f t="shared" si="10"/>
        <v>100324.90999999997</v>
      </c>
      <c r="I33" s="14">
        <f t="shared" si="10"/>
        <v>0</v>
      </c>
      <c r="J33" s="14">
        <f t="shared" si="10"/>
        <v>135782.08999999997</v>
      </c>
      <c r="K33" s="14">
        <f t="shared" si="10"/>
        <v>200130.91000000003</v>
      </c>
      <c r="L33" s="14">
        <f t="shared" si="10"/>
        <v>82776.38935714286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1-7-10</oddHeader>
    <oddFooter>&amp;CFY 2009-2010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workbookViewId="0" topLeftCell="B1">
      <selection activeCell="C6" sqref="C6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74</v>
      </c>
      <c r="E4" s="26">
        <v>74.7</v>
      </c>
      <c r="F4" s="26">
        <v>0</v>
      </c>
      <c r="G4" s="26">
        <f>'1-7-10'!G4+'1-21-10'!D4</f>
        <v>1081.08</v>
      </c>
      <c r="H4" s="26">
        <f>'1-7-10'!H4+'1-21-10'!E4</f>
        <v>4332.589999999999</v>
      </c>
      <c r="I4" s="26">
        <f>'1-7-10'!I4+'1-21-10'!F4</f>
        <v>0</v>
      </c>
      <c r="J4" s="44">
        <f>SUM(G4:I4)</f>
        <v>5413.669999999999</v>
      </c>
      <c r="K4" s="26">
        <f>C4-J4</f>
        <v>7905.330000000001</v>
      </c>
      <c r="L4" s="26">
        <f>C4-(J4/15*26.1)</f>
        <v>3899.2142000000003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458.55</v>
      </c>
      <c r="E5" s="26">
        <v>280.32</v>
      </c>
      <c r="F5" s="26">
        <v>0</v>
      </c>
      <c r="G5" s="26">
        <f>'1-7-10'!G5+'1-21-10'!D5</f>
        <v>5784.490000000001</v>
      </c>
      <c r="H5" s="26">
        <f>'1-7-10'!H5+'1-21-10'!E5</f>
        <v>4032.8500000000013</v>
      </c>
      <c r="I5" s="26">
        <f>'1-7-10'!I5+'1-21-10'!F5</f>
        <v>0</v>
      </c>
      <c r="J5" s="46">
        <f aca="true" t="shared" si="0" ref="J5:J15">SUM(G5:I5)</f>
        <v>9817.340000000002</v>
      </c>
      <c r="K5" s="6">
        <f aca="true" t="shared" si="1" ref="K5:K15">C5-J5</f>
        <v>12231.659999999998</v>
      </c>
      <c r="L5" s="26">
        <f aca="true" t="shared" si="2" ref="L5:L15">C5-(J5/15*26.1)</f>
        <v>4966.828399999995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148.9</v>
      </c>
      <c r="E6" s="26">
        <v>106.01</v>
      </c>
      <c r="F6" s="26">
        <v>0</v>
      </c>
      <c r="G6" s="26">
        <f>'1-7-10'!G6+'1-21-10'!D6</f>
        <v>1404.5100000000002</v>
      </c>
      <c r="H6" s="26">
        <f>'1-7-10'!H6+'1-21-10'!E6</f>
        <v>4049.17</v>
      </c>
      <c r="I6" s="26">
        <f>'1-7-10'!I6+'1-21-10'!F6</f>
        <v>0</v>
      </c>
      <c r="J6" s="46">
        <f t="shared" si="0"/>
        <v>5453.68</v>
      </c>
      <c r="K6" s="6">
        <f t="shared" si="1"/>
        <v>4647.32</v>
      </c>
      <c r="L6" s="26">
        <f t="shared" si="2"/>
        <v>611.5967999999993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251.52</v>
      </c>
      <c r="E7" s="26">
        <v>0</v>
      </c>
      <c r="F7" s="26">
        <v>0</v>
      </c>
      <c r="G7" s="26">
        <f>'1-7-10'!G7+'1-21-10'!D7</f>
        <v>3124.66</v>
      </c>
      <c r="H7" s="26">
        <f>'1-7-10'!H7+'1-21-10'!E7</f>
        <v>135.97</v>
      </c>
      <c r="I7" s="26">
        <f>'1-7-10'!I7+'1-21-10'!F7</f>
        <v>0</v>
      </c>
      <c r="J7" s="46">
        <f t="shared" si="0"/>
        <v>3260.6299999999997</v>
      </c>
      <c r="K7" s="6">
        <f t="shared" si="1"/>
        <v>3289.3700000000003</v>
      </c>
      <c r="L7" s="26">
        <f t="shared" si="2"/>
        <v>876.5038000000004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228.69</v>
      </c>
      <c r="E8" s="26">
        <v>0</v>
      </c>
      <c r="F8" s="26">
        <v>0</v>
      </c>
      <c r="G8" s="26">
        <f>'1-7-10'!G8+'1-21-10'!D8</f>
        <v>2626.78</v>
      </c>
      <c r="H8" s="26">
        <f>'1-7-10'!H8+'1-21-10'!E8</f>
        <v>0</v>
      </c>
      <c r="I8" s="26">
        <f>'1-7-10'!I8+'1-21-10'!F8</f>
        <v>0</v>
      </c>
      <c r="J8" s="46">
        <f t="shared" si="0"/>
        <v>2626.78</v>
      </c>
      <c r="K8" s="6">
        <f t="shared" si="1"/>
        <v>7156.219999999999</v>
      </c>
      <c r="L8" s="26">
        <f t="shared" si="2"/>
        <v>5212.402799999999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250.84</v>
      </c>
      <c r="E9" s="26">
        <v>0</v>
      </c>
      <c r="F9" s="26">
        <v>0</v>
      </c>
      <c r="G9" s="26">
        <f>'1-7-10'!G9+'1-21-10'!D9</f>
        <v>2442.0099999999998</v>
      </c>
      <c r="H9" s="26">
        <f>'1-7-10'!H9+'1-21-10'!E9</f>
        <v>0</v>
      </c>
      <c r="I9" s="26">
        <f>'1-7-10'!I9+'1-21-10'!F9</f>
        <v>0</v>
      </c>
      <c r="J9" s="46">
        <f t="shared" si="0"/>
        <v>2442.0099999999998</v>
      </c>
      <c r="K9" s="6">
        <f t="shared" si="1"/>
        <v>5563.99</v>
      </c>
      <c r="L9" s="26">
        <f t="shared" si="2"/>
        <v>3756.9026000000003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474.42</v>
      </c>
      <c r="E10" s="26">
        <f>253.86-174.04-13.6</f>
        <v>66.22000000000003</v>
      </c>
      <c r="F10" s="26">
        <v>0</v>
      </c>
      <c r="G10" s="26">
        <f>'1-7-10'!G10+'1-21-10'!D10</f>
        <v>3343.19</v>
      </c>
      <c r="H10" s="26">
        <f>'1-7-10'!H10+'1-21-10'!E10</f>
        <v>9631.329999999998</v>
      </c>
      <c r="I10" s="26">
        <f>'1-7-10'!I10+'1-21-10'!F10</f>
        <v>0</v>
      </c>
      <c r="J10" s="46">
        <f t="shared" si="0"/>
        <v>12974.519999999999</v>
      </c>
      <c r="K10" s="6">
        <f t="shared" si="1"/>
        <v>12221.480000000001</v>
      </c>
      <c r="L10" s="26">
        <f t="shared" si="2"/>
        <v>2620.3352000000014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384.61</v>
      </c>
      <c r="F11" s="26">
        <v>0</v>
      </c>
      <c r="G11" s="26">
        <f>'1-7-10'!G11+'1-21-10'!D11</f>
        <v>0</v>
      </c>
      <c r="H11" s="26">
        <f>'1-7-10'!H11+'1-21-10'!E11</f>
        <v>4266.88</v>
      </c>
      <c r="I11" s="26">
        <f>'1-7-10'!I11+'1-21-10'!F11</f>
        <v>0</v>
      </c>
      <c r="J11" s="46">
        <f t="shared" si="0"/>
        <v>4266.88</v>
      </c>
      <c r="K11" s="6">
        <f t="shared" si="1"/>
        <v>3233.12</v>
      </c>
      <c r="L11" s="26">
        <f t="shared" si="2"/>
        <v>75.6287999999995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82.02</v>
      </c>
      <c r="E12" s="26">
        <v>30.81</v>
      </c>
      <c r="F12" s="26">
        <v>0</v>
      </c>
      <c r="G12" s="26">
        <f>'1-7-10'!G12+'1-21-10'!D12</f>
        <v>827.7399999999999</v>
      </c>
      <c r="H12" s="26">
        <f>'1-7-10'!H12+'1-21-10'!E12</f>
        <v>1033.33</v>
      </c>
      <c r="I12" s="26">
        <f>'1-7-10'!I12+'1-21-10'!F12</f>
        <v>0</v>
      </c>
      <c r="J12" s="46">
        <f t="shared" si="0"/>
        <v>1861.0699999999997</v>
      </c>
      <c r="K12" s="6">
        <f t="shared" si="1"/>
        <v>2282.9300000000003</v>
      </c>
      <c r="L12" s="26">
        <f t="shared" si="2"/>
        <v>905.7382000000002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97</v>
      </c>
      <c r="E13" s="26">
        <v>384.64</v>
      </c>
      <c r="F13" s="26">
        <v>0</v>
      </c>
      <c r="G13" s="26">
        <f>'1-7-10'!G13+'1-21-10'!D13</f>
        <v>1040.57</v>
      </c>
      <c r="H13" s="26">
        <f>'1-7-10'!H13+'1-21-10'!E13</f>
        <v>6018.68</v>
      </c>
      <c r="I13" s="26">
        <f>'1-7-10'!I13+'1-21-10'!F13</f>
        <v>0</v>
      </c>
      <c r="J13" s="46">
        <f t="shared" si="0"/>
        <v>7059.25</v>
      </c>
      <c r="K13" s="6">
        <f t="shared" si="1"/>
        <v>13114.75</v>
      </c>
      <c r="L13" s="26">
        <f t="shared" si="2"/>
        <v>7890.904999999999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483.41</v>
      </c>
      <c r="E14" s="26">
        <v>675.32</v>
      </c>
      <c r="F14" s="26">
        <v>0</v>
      </c>
      <c r="G14" s="26">
        <f>'1-7-10'!G14+'1-21-10'!D14</f>
        <v>6024.279999999999</v>
      </c>
      <c r="H14" s="26">
        <f>'1-7-10'!H14+'1-21-10'!E14</f>
        <v>8824.28</v>
      </c>
      <c r="I14" s="26">
        <f>'1-7-10'!I14+'1-21-10'!F14</f>
        <v>0</v>
      </c>
      <c r="J14" s="46">
        <f t="shared" si="0"/>
        <v>14848.56</v>
      </c>
      <c r="K14" s="6">
        <f t="shared" si="1"/>
        <v>16160.44</v>
      </c>
      <c r="L14" s="26">
        <f t="shared" si="2"/>
        <v>5172.5056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120.52</v>
      </c>
      <c r="E15" s="26">
        <v>817.15</v>
      </c>
      <c r="F15" s="26">
        <v>0</v>
      </c>
      <c r="G15" s="26">
        <f>'1-7-10'!G15+'1-21-10'!D15</f>
        <v>1769.4499999999998</v>
      </c>
      <c r="H15" s="26">
        <f>'1-7-10'!H15+'1-21-10'!E15</f>
        <v>4366.129999999999</v>
      </c>
      <c r="I15" s="26">
        <f>'1-7-10'!I15+'1-21-10'!F15</f>
        <v>0</v>
      </c>
      <c r="J15" s="46">
        <f t="shared" si="0"/>
        <v>6135.579999999999</v>
      </c>
      <c r="K15" s="6">
        <f t="shared" si="1"/>
        <v>7156.420000000001</v>
      </c>
      <c r="L15" s="26">
        <f t="shared" si="2"/>
        <v>2616.0908000000018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2669.8699999999994</v>
      </c>
      <c r="E16" s="25">
        <f t="shared" si="3"/>
        <v>2819.78</v>
      </c>
      <c r="F16" s="25">
        <f t="shared" si="3"/>
        <v>0</v>
      </c>
      <c r="G16" s="25">
        <f t="shared" si="3"/>
        <v>29468.760000000002</v>
      </c>
      <c r="H16" s="25">
        <f t="shared" si="3"/>
        <v>46691.20999999999</v>
      </c>
      <c r="I16" s="25">
        <f t="shared" si="3"/>
        <v>0</v>
      </c>
      <c r="J16" s="49">
        <f t="shared" si="3"/>
        <v>76159.97</v>
      </c>
      <c r="K16" s="25">
        <f t="shared" si="3"/>
        <v>94963.03</v>
      </c>
      <c r="L16" s="9">
        <f t="shared" si="3"/>
        <v>38604.6522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31.72</v>
      </c>
      <c r="E18" s="6">
        <v>443.73</v>
      </c>
      <c r="F18" s="6">
        <v>0</v>
      </c>
      <c r="G18" s="26">
        <f>'1-7-10'!G18+'1-21-10'!D18</f>
        <v>1207.53</v>
      </c>
      <c r="H18" s="26">
        <f>'1-7-10'!H18+'1-21-10'!E18</f>
        <v>6665.73</v>
      </c>
      <c r="I18" s="26">
        <f>'1-7-10'!I18+'1-21-10'!F18</f>
        <v>0</v>
      </c>
      <c r="J18" s="46">
        <f aca="true" t="shared" si="4" ref="J18:J23">SUM(G18:I18)</f>
        <v>7873.259999999999</v>
      </c>
      <c r="K18" s="6">
        <f aca="true" t="shared" si="5" ref="K18:K23">C18-J18</f>
        <v>8017.740000000001</v>
      </c>
      <c r="L18" s="26">
        <f aca="true" t="shared" si="6" ref="L18:L23">C18-(J18/15*26.1)</f>
        <v>2191.5276000000013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158.4</v>
      </c>
      <c r="E19" s="26">
        <v>20.54</v>
      </c>
      <c r="F19" s="26">
        <v>0</v>
      </c>
      <c r="G19" s="26">
        <f>'1-7-10'!G19+'1-21-10'!D19</f>
        <v>1372.0300000000002</v>
      </c>
      <c r="H19" s="26">
        <f>'1-7-10'!H19+'1-21-10'!E19</f>
        <v>4895.070000000001</v>
      </c>
      <c r="I19" s="26">
        <f>'1-7-10'!I19+'1-21-10'!F19</f>
        <v>0</v>
      </c>
      <c r="J19" s="46">
        <f t="shared" si="4"/>
        <v>6267.1</v>
      </c>
      <c r="K19" s="6">
        <f t="shared" si="5"/>
        <v>9125.9</v>
      </c>
      <c r="L19" s="26">
        <f t="shared" si="6"/>
        <v>4488.245999999999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185.81</v>
      </c>
      <c r="E20" s="26">
        <v>152.25</v>
      </c>
      <c r="F20" s="26">
        <v>0</v>
      </c>
      <c r="G20" s="26">
        <f>'1-7-10'!G20+'1-21-10'!D20</f>
        <v>1684.8400000000001</v>
      </c>
      <c r="H20" s="26">
        <f>'1-7-10'!H20+'1-21-10'!E20</f>
        <v>1859.21</v>
      </c>
      <c r="I20" s="26">
        <f>'1-7-10'!I20+'1-21-10'!F20</f>
        <v>0</v>
      </c>
      <c r="J20" s="46">
        <f t="shared" si="4"/>
        <v>3544.05</v>
      </c>
      <c r="K20" s="6">
        <f t="shared" si="5"/>
        <v>11023.95</v>
      </c>
      <c r="L20" s="26">
        <f t="shared" si="6"/>
        <v>8401.353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20.49</v>
      </c>
      <c r="E21" s="26">
        <v>94.25</v>
      </c>
      <c r="F21" s="26">
        <v>0</v>
      </c>
      <c r="G21" s="26">
        <f>'1-7-10'!G21+'1-21-10'!D21</f>
        <v>256.14</v>
      </c>
      <c r="H21" s="26">
        <f>'1-7-10'!H21+'1-21-10'!E21</f>
        <v>94.25</v>
      </c>
      <c r="I21" s="26">
        <f>'1-7-10'!I21+'1-21-10'!F21</f>
        <v>0</v>
      </c>
      <c r="J21" s="46">
        <f t="shared" si="4"/>
        <v>350.39</v>
      </c>
      <c r="K21" s="6">
        <f t="shared" si="5"/>
        <v>5731.61</v>
      </c>
      <c r="L21" s="26">
        <f t="shared" si="6"/>
        <v>5472.3214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207.81</v>
      </c>
      <c r="E22" s="26">
        <v>300</v>
      </c>
      <c r="F22" s="26">
        <v>0</v>
      </c>
      <c r="G22" s="26">
        <f>'1-7-10'!G22+'1-21-10'!D22</f>
        <v>1694.1299999999999</v>
      </c>
      <c r="H22" s="26">
        <f>'1-7-10'!H22+'1-21-10'!E22</f>
        <v>1290.5700000000002</v>
      </c>
      <c r="I22" s="26">
        <f>'1-7-10'!I22+'1-21-10'!F22</f>
        <v>0</v>
      </c>
      <c r="J22" s="46">
        <f t="shared" si="4"/>
        <v>2984.7</v>
      </c>
      <c r="K22" s="6">
        <f t="shared" si="5"/>
        <v>4707.3</v>
      </c>
      <c r="L22" s="26">
        <f t="shared" si="6"/>
        <v>2498.6220000000003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124.17</v>
      </c>
      <c r="E23" s="26">
        <v>0</v>
      </c>
      <c r="F23" s="26">
        <v>0</v>
      </c>
      <c r="G23" s="26">
        <f>'1-7-10'!G23+'1-21-10'!D23</f>
        <v>1488.43</v>
      </c>
      <c r="H23" s="26">
        <f>'1-7-10'!H23+'1-21-10'!E23</f>
        <v>0</v>
      </c>
      <c r="I23" s="26">
        <f>'1-7-10'!I23+'1-21-10'!F23</f>
        <v>0</v>
      </c>
      <c r="J23" s="46">
        <f t="shared" si="4"/>
        <v>1488.43</v>
      </c>
      <c r="K23" s="6">
        <f t="shared" si="5"/>
        <v>5046.57</v>
      </c>
      <c r="L23" s="26">
        <f t="shared" si="6"/>
        <v>3945.1317999999997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728.4</v>
      </c>
      <c r="E24" s="9">
        <f aca="true" t="shared" si="7" ref="E24:L24">SUM(E18:E23)</f>
        <v>1010.77</v>
      </c>
      <c r="F24" s="9">
        <f t="shared" si="7"/>
        <v>0</v>
      </c>
      <c r="G24" s="9">
        <f t="shared" si="7"/>
        <v>7703.100000000001</v>
      </c>
      <c r="H24" s="9">
        <f t="shared" si="7"/>
        <v>14804.829999999998</v>
      </c>
      <c r="I24" s="9">
        <f t="shared" si="7"/>
        <v>0</v>
      </c>
      <c r="J24" s="9">
        <f t="shared" si="7"/>
        <v>22507.93</v>
      </c>
      <c r="K24" s="9">
        <f t="shared" si="7"/>
        <v>43653.07</v>
      </c>
      <c r="L24" s="9">
        <f t="shared" si="7"/>
        <v>26997.2018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'1-7-10'!G26+'1-21-10'!D26</f>
        <v>0</v>
      </c>
      <c r="H26" s="26">
        <f>'1-7-10'!H26+'1-21-10'!E26</f>
        <v>7330.799999999998</v>
      </c>
      <c r="I26" s="26">
        <f>'1-7-10'!I26+'1-21-10'!F26</f>
        <v>0</v>
      </c>
      <c r="J26" s="46">
        <f>SUM(G26:I26)</f>
        <v>7330.799999999998</v>
      </c>
      <c r="K26" s="26">
        <f>C26-J26</f>
        <v>7845.200000000002</v>
      </c>
      <c r="L26" s="26">
        <f>C26-(J26/15*26.1)</f>
        <v>2420.4080000000013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85.91</v>
      </c>
      <c r="E27" s="26">
        <v>95.09</v>
      </c>
      <c r="F27" s="26">
        <v>0</v>
      </c>
      <c r="G27" s="26">
        <f>'1-7-10'!G27+'1-21-10'!D27</f>
        <v>1236.2400000000002</v>
      </c>
      <c r="H27" s="26">
        <f>'1-7-10'!H27+'1-21-10'!E27</f>
        <v>1207.51</v>
      </c>
      <c r="I27" s="26">
        <f>'1-7-10'!I27+'1-21-10'!F27</f>
        <v>0</v>
      </c>
      <c r="J27" s="46">
        <f>SUM(G27:I27)</f>
        <v>2443.75</v>
      </c>
      <c r="K27" s="6">
        <f>C27-J27</f>
        <v>3257.25</v>
      </c>
      <c r="L27" s="26">
        <f>C27-(J27/15*26.1)</f>
        <v>1448.875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85.91</v>
      </c>
      <c r="E28" s="9">
        <f>SUM(E26:E27)</f>
        <v>631.49</v>
      </c>
      <c r="F28" s="9">
        <f aca="true" t="shared" si="8" ref="F28:L28">SUM(F26:F27)</f>
        <v>0</v>
      </c>
      <c r="G28" s="9">
        <f t="shared" si="8"/>
        <v>1236.2400000000002</v>
      </c>
      <c r="H28" s="9">
        <f t="shared" si="8"/>
        <v>8538.309999999998</v>
      </c>
      <c r="I28" s="9">
        <f t="shared" si="8"/>
        <v>0</v>
      </c>
      <c r="J28" s="9">
        <f t="shared" si="8"/>
        <v>9774.55</v>
      </c>
      <c r="K28" s="9">
        <f t="shared" si="8"/>
        <v>11102.45</v>
      </c>
      <c r="L28" s="9">
        <f t="shared" si="8"/>
        <v>3869.2830000000013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136.69</v>
      </c>
      <c r="E30" s="26">
        <v>1607.9</v>
      </c>
      <c r="F30" s="26">
        <v>0</v>
      </c>
      <c r="G30" s="26">
        <f>'1-7-10'!G30+'1-21-10'!D30</f>
        <v>669.95</v>
      </c>
      <c r="H30" s="26">
        <f>'1-7-10'!H30+'1-21-10'!E30</f>
        <v>30076.11</v>
      </c>
      <c r="I30" s="26">
        <f>'1-7-10'!I30+'1-21-10'!F30</f>
        <v>0</v>
      </c>
      <c r="J30" s="6">
        <f>SUM(G30:I30)</f>
        <v>30746.06</v>
      </c>
      <c r="K30" s="26">
        <f>C30-J30</f>
        <v>30924.94</v>
      </c>
      <c r="L30" s="26">
        <f>C30-(J30/15*26.1)</f>
        <v>8172.855599999995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591.63</v>
      </c>
      <c r="F31" s="26">
        <v>0</v>
      </c>
      <c r="G31" s="26">
        <f>'1-7-10'!G31+'1-21-10'!D31</f>
        <v>0</v>
      </c>
      <c r="H31" s="26">
        <f>'1-7-10'!H31+'1-21-10'!E31</f>
        <v>6876.0199999999995</v>
      </c>
      <c r="I31" s="26">
        <f>'1-7-10'!I31+'1-21-10'!F31</f>
        <v>0</v>
      </c>
      <c r="J31" s="6">
        <f>SUM(G31:I31)</f>
        <v>6876.0199999999995</v>
      </c>
      <c r="K31" s="6">
        <f>C31-J31</f>
        <v>9204.98</v>
      </c>
      <c r="L31" s="26">
        <f>C31-(J31/15*26.1)</f>
        <v>4116.725200000001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136.69</v>
      </c>
      <c r="E32" s="9">
        <f aca="true" t="shared" si="9" ref="E32:L32">SUM(E30:E31)</f>
        <v>2199.53</v>
      </c>
      <c r="F32" s="9">
        <f t="shared" si="9"/>
        <v>0</v>
      </c>
      <c r="G32" s="9">
        <f t="shared" si="9"/>
        <v>669.95</v>
      </c>
      <c r="H32" s="9">
        <f t="shared" si="9"/>
        <v>36952.13</v>
      </c>
      <c r="I32" s="9">
        <f t="shared" si="9"/>
        <v>0</v>
      </c>
      <c r="J32" s="9">
        <f t="shared" si="9"/>
        <v>37622.08</v>
      </c>
      <c r="K32" s="9">
        <f t="shared" si="9"/>
        <v>40129.92</v>
      </c>
      <c r="L32" s="9">
        <f t="shared" si="9"/>
        <v>12289.580799999996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3620.8699999999994</v>
      </c>
      <c r="E33" s="14">
        <f t="shared" si="10"/>
        <v>6661.57</v>
      </c>
      <c r="F33" s="14">
        <f t="shared" si="10"/>
        <v>0</v>
      </c>
      <c r="G33" s="14">
        <f t="shared" si="10"/>
        <v>39078.049999999996</v>
      </c>
      <c r="H33" s="14">
        <f t="shared" si="10"/>
        <v>106986.47999999998</v>
      </c>
      <c r="I33" s="14">
        <f t="shared" si="10"/>
        <v>0</v>
      </c>
      <c r="J33" s="14">
        <f t="shared" si="10"/>
        <v>146064.53</v>
      </c>
      <c r="K33" s="14">
        <f t="shared" si="10"/>
        <v>189848.47000000003</v>
      </c>
      <c r="L33" s="14">
        <f t="shared" si="10"/>
        <v>81760.71779999998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1-21-10</oddHeader>
    <oddFooter>&amp;CFY 2009-2010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4">
      <selection activeCell="G9" sqref="G9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210.11</v>
      </c>
      <c r="E4" s="26">
        <v>74.7</v>
      </c>
      <c r="F4" s="26">
        <v>0</v>
      </c>
      <c r="G4" s="26">
        <f>'1-21-10'!G4+'2-4-10'!D4</f>
        <v>1291.19</v>
      </c>
      <c r="H4" s="26">
        <f>'1-21-10'!H4+'2-4-10'!E4</f>
        <v>4407.289999999999</v>
      </c>
      <c r="I4" s="26">
        <f>'1-21-10'!I4+'2-4-10'!F4</f>
        <v>0</v>
      </c>
      <c r="J4" s="44">
        <f>SUM(G4:I4)</f>
        <v>5698.48</v>
      </c>
      <c r="K4" s="26">
        <f>C4-J4</f>
        <v>7620.52</v>
      </c>
      <c r="L4" s="26">
        <f>C4-(J4/16*26.1)</f>
        <v>4023.3544999999995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513.94</v>
      </c>
      <c r="E5" s="26">
        <v>280.32</v>
      </c>
      <c r="F5" s="26">
        <v>0</v>
      </c>
      <c r="G5" s="26">
        <f>'1-21-10'!G5+'2-4-10'!D5</f>
        <v>6298.43</v>
      </c>
      <c r="H5" s="26">
        <f>'1-21-10'!H5+'2-4-10'!E5</f>
        <v>4313.170000000001</v>
      </c>
      <c r="I5" s="26">
        <f>'1-21-10'!I5+'2-4-10'!F5</f>
        <v>0</v>
      </c>
      <c r="J5" s="46">
        <f aca="true" t="shared" si="0" ref="J5:J15">SUM(G5:I5)</f>
        <v>10611.600000000002</v>
      </c>
      <c r="K5" s="6">
        <f aca="true" t="shared" si="1" ref="K5:K15">C5-J5</f>
        <v>11437.399999999998</v>
      </c>
      <c r="L5" s="26">
        <f aca="true" t="shared" si="2" ref="L5:L15">C5-(J5/16*26.1)</f>
        <v>4738.827499999996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154.19</v>
      </c>
      <c r="E6" s="44">
        <v>110.01</v>
      </c>
      <c r="F6" s="26">
        <v>0</v>
      </c>
      <c r="G6" s="26">
        <f>'1-21-10'!G6+'2-4-10'!D6</f>
        <v>1558.7000000000003</v>
      </c>
      <c r="H6" s="26">
        <f>'1-21-10'!H6+'2-4-10'!E6</f>
        <v>4159.18</v>
      </c>
      <c r="I6" s="26">
        <f>'1-21-10'!I6+'2-4-10'!F6</f>
        <v>0</v>
      </c>
      <c r="J6" s="46">
        <f t="shared" si="0"/>
        <v>5717.880000000001</v>
      </c>
      <c r="K6" s="6">
        <f t="shared" si="1"/>
        <v>7883.119999999999</v>
      </c>
      <c r="L6" s="26">
        <f t="shared" si="2"/>
        <v>4273.708249999998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307.71</v>
      </c>
      <c r="E7" s="26">
        <v>0</v>
      </c>
      <c r="F7" s="26">
        <v>0</v>
      </c>
      <c r="G7" s="26">
        <f>'1-21-10'!G7+'2-4-10'!D7</f>
        <v>3432.37</v>
      </c>
      <c r="H7" s="26">
        <f>'1-21-10'!H7+'2-4-10'!E7</f>
        <v>135.97</v>
      </c>
      <c r="I7" s="26">
        <f>'1-21-10'!I7+'2-4-10'!F7</f>
        <v>0</v>
      </c>
      <c r="J7" s="46">
        <f t="shared" si="0"/>
        <v>3568.3399999999997</v>
      </c>
      <c r="K7" s="6">
        <f t="shared" si="1"/>
        <v>2981.6600000000003</v>
      </c>
      <c r="L7" s="26">
        <f t="shared" si="2"/>
        <v>729.1453750000001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241.52</v>
      </c>
      <c r="E8" s="26">
        <v>0</v>
      </c>
      <c r="F8" s="26">
        <v>0</v>
      </c>
      <c r="G8" s="26">
        <f>'1-21-10'!G8+'2-4-10'!D8</f>
        <v>2868.3</v>
      </c>
      <c r="H8" s="26">
        <f>'1-21-10'!H8+'2-4-10'!E8</f>
        <v>0</v>
      </c>
      <c r="I8" s="26">
        <f>'1-21-10'!I8+'2-4-10'!F8</f>
        <v>0</v>
      </c>
      <c r="J8" s="46">
        <f t="shared" si="0"/>
        <v>2868.3</v>
      </c>
      <c r="K8" s="6">
        <f t="shared" si="1"/>
        <v>6914.7</v>
      </c>
      <c r="L8" s="26">
        <f t="shared" si="2"/>
        <v>5104.085625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290.83</v>
      </c>
      <c r="E9" s="26">
        <v>0</v>
      </c>
      <c r="F9" s="26">
        <v>0</v>
      </c>
      <c r="G9" s="26">
        <f>'1-21-10'!G9+'2-4-10'!D9</f>
        <v>2732.8399999999997</v>
      </c>
      <c r="H9" s="26">
        <f>'1-21-10'!H9+'2-4-10'!E9</f>
        <v>0</v>
      </c>
      <c r="I9" s="26">
        <f>'1-21-10'!I9+'2-4-10'!F9</f>
        <v>0</v>
      </c>
      <c r="J9" s="46">
        <f t="shared" si="0"/>
        <v>2732.8399999999997</v>
      </c>
      <c r="K9" s="6">
        <f t="shared" si="1"/>
        <v>5273.16</v>
      </c>
      <c r="L9" s="26">
        <f t="shared" si="2"/>
        <v>3548.0547500000002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447.19</v>
      </c>
      <c r="E10" s="26">
        <v>208.99</v>
      </c>
      <c r="F10" s="26">
        <v>0</v>
      </c>
      <c r="G10" s="26">
        <f>'1-21-10'!G10+'2-4-10'!D10</f>
        <v>3790.38</v>
      </c>
      <c r="H10" s="26">
        <f>'1-21-10'!H10+'2-4-10'!E10</f>
        <v>9840.319999999998</v>
      </c>
      <c r="I10" s="26">
        <f>'1-21-10'!I10+'2-4-10'!F10</f>
        <v>0</v>
      </c>
      <c r="J10" s="46">
        <f t="shared" si="0"/>
        <v>13630.699999999997</v>
      </c>
      <c r="K10" s="6">
        <f t="shared" si="1"/>
        <v>11565.300000000003</v>
      </c>
      <c r="L10" s="26">
        <f t="shared" si="2"/>
        <v>2960.9206250000025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'1-21-10'!G11+'2-4-10'!D11</f>
        <v>0</v>
      </c>
      <c r="H11" s="26">
        <f>'1-21-10'!H11+'2-4-10'!E11</f>
        <v>4651.5</v>
      </c>
      <c r="I11" s="26">
        <f>'1-21-10'!I11+'2-4-10'!F11</f>
        <v>0</v>
      </c>
      <c r="J11" s="46">
        <f t="shared" si="0"/>
        <v>4651.5</v>
      </c>
      <c r="K11" s="6">
        <f t="shared" si="1"/>
        <v>2848.5</v>
      </c>
      <c r="L11" s="26">
        <f t="shared" si="2"/>
        <v>-87.75937500000055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64.34</v>
      </c>
      <c r="E12" s="26">
        <v>206.63</v>
      </c>
      <c r="F12" s="26">
        <v>0</v>
      </c>
      <c r="G12" s="26">
        <f>'1-21-10'!G12+'2-4-10'!D12</f>
        <v>892.0799999999999</v>
      </c>
      <c r="H12" s="26">
        <f>'1-21-10'!H12+'2-4-10'!E12</f>
        <v>1239.96</v>
      </c>
      <c r="I12" s="26">
        <f>'1-21-10'!I12+'2-4-10'!F12</f>
        <v>0</v>
      </c>
      <c r="J12" s="46">
        <f t="shared" si="0"/>
        <v>2132.04</v>
      </c>
      <c r="K12" s="6">
        <f t="shared" si="1"/>
        <v>2011.96</v>
      </c>
      <c r="L12" s="26">
        <f t="shared" si="2"/>
        <v>666.1097500000001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73.87</v>
      </c>
      <c r="E13" s="26">
        <v>437.99</v>
      </c>
      <c r="F13" s="26">
        <v>0</v>
      </c>
      <c r="G13" s="26">
        <f>'1-21-10'!G13+'2-4-10'!D13</f>
        <v>1114.44</v>
      </c>
      <c r="H13" s="26">
        <f>'1-21-10'!H13+'2-4-10'!E13</f>
        <v>6456.67</v>
      </c>
      <c r="I13" s="26">
        <f>'1-21-10'!I13+'2-4-10'!F13</f>
        <v>0</v>
      </c>
      <c r="J13" s="46">
        <f t="shared" si="0"/>
        <v>7571.110000000001</v>
      </c>
      <c r="K13" s="6">
        <f t="shared" si="1"/>
        <v>12602.89</v>
      </c>
      <c r="L13" s="26">
        <f t="shared" si="2"/>
        <v>7823.626812499999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678.21</v>
      </c>
      <c r="E14" s="26">
        <v>596.43</v>
      </c>
      <c r="F14" s="26">
        <v>0</v>
      </c>
      <c r="G14" s="26">
        <f>'1-21-10'!G14+'2-4-10'!D14</f>
        <v>6702.489999999999</v>
      </c>
      <c r="H14" s="26">
        <f>'1-21-10'!H14+'2-4-10'!E14</f>
        <v>9420.710000000001</v>
      </c>
      <c r="I14" s="26">
        <f>'1-21-10'!I14+'2-4-10'!F14</f>
        <v>0</v>
      </c>
      <c r="J14" s="46">
        <f t="shared" si="0"/>
        <v>16123.2</v>
      </c>
      <c r="K14" s="6">
        <f t="shared" si="1"/>
        <v>14885.8</v>
      </c>
      <c r="L14" s="26">
        <f t="shared" si="2"/>
        <v>4708.029999999999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150.6</v>
      </c>
      <c r="E15" s="26">
        <v>593.92</v>
      </c>
      <c r="F15" s="26">
        <v>0</v>
      </c>
      <c r="G15" s="26">
        <f>'1-21-10'!G15+'2-4-10'!D15</f>
        <v>1920.0499999999997</v>
      </c>
      <c r="H15" s="26">
        <f>'1-21-10'!H15+'2-4-10'!E15</f>
        <v>4960.049999999999</v>
      </c>
      <c r="I15" s="26">
        <f>'1-21-10'!I15+'2-4-10'!F15</f>
        <v>0</v>
      </c>
      <c r="J15" s="46">
        <f t="shared" si="0"/>
        <v>6880.0999999999985</v>
      </c>
      <c r="K15" s="6">
        <f t="shared" si="1"/>
        <v>6411.9000000000015</v>
      </c>
      <c r="L15" s="26">
        <f t="shared" si="2"/>
        <v>2068.836875000001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3132.5099999999998</v>
      </c>
      <c r="E16" s="25">
        <f t="shared" si="3"/>
        <v>2893.61</v>
      </c>
      <c r="F16" s="25">
        <f t="shared" si="3"/>
        <v>0</v>
      </c>
      <c r="G16" s="25">
        <f t="shared" si="3"/>
        <v>32601.269999999997</v>
      </c>
      <c r="H16" s="25">
        <f t="shared" si="3"/>
        <v>49584.81999999999</v>
      </c>
      <c r="I16" s="25">
        <f t="shared" si="3"/>
        <v>0</v>
      </c>
      <c r="J16" s="49">
        <f t="shared" si="3"/>
        <v>82186.09</v>
      </c>
      <c r="K16" s="25">
        <f t="shared" si="3"/>
        <v>92436.91</v>
      </c>
      <c r="L16" s="9">
        <f t="shared" si="3"/>
        <v>40556.94068749999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71.33</v>
      </c>
      <c r="E18" s="6">
        <v>634.43</v>
      </c>
      <c r="F18" s="6">
        <v>0</v>
      </c>
      <c r="G18" s="6">
        <f>'1-21-10'!G18+'2-4-10'!D18</f>
        <v>1278.86</v>
      </c>
      <c r="H18" s="6">
        <f>'1-21-10'!H18+'2-4-10'!E18</f>
        <v>7300.16</v>
      </c>
      <c r="I18" s="6">
        <f>'1-21-10'!I18+'2-4-10'!F18</f>
        <v>0</v>
      </c>
      <c r="J18" s="46">
        <f aca="true" t="shared" si="4" ref="J18:J23">SUM(G18:I18)</f>
        <v>8579.02</v>
      </c>
      <c r="K18" s="6">
        <f aca="true" t="shared" si="5" ref="K18:K23">C18-J18</f>
        <v>7311.98</v>
      </c>
      <c r="L18" s="6">
        <f aca="true" t="shared" si="6" ref="L18:L23">C18-(J18/16*26.1)</f>
        <v>1896.4736249999987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353.25</v>
      </c>
      <c r="E19" s="26">
        <v>242.47</v>
      </c>
      <c r="F19" s="26">
        <v>0</v>
      </c>
      <c r="G19" s="26">
        <f>'1-21-10'!G19+'2-4-10'!D19</f>
        <v>1725.2800000000002</v>
      </c>
      <c r="H19" s="26">
        <f>'1-21-10'!H19+'2-4-10'!E19</f>
        <v>5137.540000000001</v>
      </c>
      <c r="I19" s="26">
        <f>'1-21-10'!I19+'2-4-10'!F19</f>
        <v>0</v>
      </c>
      <c r="J19" s="46">
        <f t="shared" si="4"/>
        <v>6862.8200000000015</v>
      </c>
      <c r="K19" s="6">
        <f t="shared" si="5"/>
        <v>8530.179999999998</v>
      </c>
      <c r="L19" s="26">
        <f t="shared" si="6"/>
        <v>4198.024874999997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238.37</v>
      </c>
      <c r="E20" s="26">
        <v>174</v>
      </c>
      <c r="F20" s="26">
        <v>0</v>
      </c>
      <c r="G20" s="26">
        <f>'1-21-10'!G20+'2-4-10'!D20</f>
        <v>1923.21</v>
      </c>
      <c r="H20" s="26">
        <f>'1-21-10'!H20+'2-4-10'!E20</f>
        <v>2033.21</v>
      </c>
      <c r="I20" s="26">
        <f>'1-21-10'!I20+'2-4-10'!F20</f>
        <v>0</v>
      </c>
      <c r="J20" s="46">
        <f t="shared" si="4"/>
        <v>3956.42</v>
      </c>
      <c r="K20" s="6">
        <f t="shared" si="5"/>
        <v>10611.58</v>
      </c>
      <c r="L20" s="26">
        <f t="shared" si="6"/>
        <v>8114.089875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24.21</v>
      </c>
      <c r="E21" s="26">
        <v>145</v>
      </c>
      <c r="F21" s="26">
        <v>0</v>
      </c>
      <c r="G21" s="26">
        <f>'1-21-10'!G21+'2-4-10'!D21</f>
        <v>280.34999999999997</v>
      </c>
      <c r="H21" s="26">
        <f>'1-21-10'!H21+'2-4-10'!E21</f>
        <v>239.25</v>
      </c>
      <c r="I21" s="26">
        <f>'1-21-10'!I21+'2-4-10'!F21</f>
        <v>0</v>
      </c>
      <c r="J21" s="46">
        <f t="shared" si="4"/>
        <v>519.5999999999999</v>
      </c>
      <c r="K21" s="6">
        <f t="shared" si="5"/>
        <v>5562.4</v>
      </c>
      <c r="L21" s="26">
        <f t="shared" si="6"/>
        <v>5234.4025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253.3</v>
      </c>
      <c r="E22" s="26">
        <v>308.81</v>
      </c>
      <c r="F22" s="26">
        <v>0</v>
      </c>
      <c r="G22" s="26">
        <f>'1-21-10'!G22+'2-4-10'!D22</f>
        <v>1947.4299999999998</v>
      </c>
      <c r="H22" s="26">
        <f>'1-21-10'!H22+'2-4-10'!E22</f>
        <v>1599.38</v>
      </c>
      <c r="I22" s="26">
        <f>'1-21-10'!I22+'2-4-10'!F22</f>
        <v>0</v>
      </c>
      <c r="J22" s="46">
        <f t="shared" si="4"/>
        <v>3546.81</v>
      </c>
      <c r="K22" s="6">
        <f t="shared" si="5"/>
        <v>4145.1900000000005</v>
      </c>
      <c r="L22" s="26">
        <f t="shared" si="6"/>
        <v>1906.2661874999994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143.66</v>
      </c>
      <c r="E23" s="26">
        <v>0</v>
      </c>
      <c r="F23" s="26">
        <v>0</v>
      </c>
      <c r="G23" s="26">
        <f>'1-21-10'!G23+'2-4-10'!D23</f>
        <v>1632.0900000000001</v>
      </c>
      <c r="H23" s="26">
        <f>'1-21-10'!H23+'2-4-10'!E23</f>
        <v>0</v>
      </c>
      <c r="I23" s="26">
        <f>'1-21-10'!I23+'2-4-10'!F23</f>
        <v>0</v>
      </c>
      <c r="J23" s="46">
        <f t="shared" si="4"/>
        <v>1632.0900000000001</v>
      </c>
      <c r="K23" s="6">
        <f t="shared" si="5"/>
        <v>4902.91</v>
      </c>
      <c r="L23" s="26">
        <f t="shared" si="6"/>
        <v>3872.6531874999996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1084.1200000000001</v>
      </c>
      <c r="E24" s="9">
        <f aca="true" t="shared" si="7" ref="E24:L24">SUM(E18:E23)</f>
        <v>1504.71</v>
      </c>
      <c r="F24" s="9">
        <f t="shared" si="7"/>
        <v>0</v>
      </c>
      <c r="G24" s="9">
        <f t="shared" si="7"/>
        <v>8787.220000000001</v>
      </c>
      <c r="H24" s="9">
        <f t="shared" si="7"/>
        <v>16309.54</v>
      </c>
      <c r="I24" s="9">
        <f t="shared" si="7"/>
        <v>0</v>
      </c>
      <c r="J24" s="9">
        <f t="shared" si="7"/>
        <v>25096.760000000002</v>
      </c>
      <c r="K24" s="9">
        <f t="shared" si="7"/>
        <v>41064.240000000005</v>
      </c>
      <c r="L24" s="9">
        <f t="shared" si="7"/>
        <v>25221.910249999994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651.88</v>
      </c>
      <c r="F26" s="26">
        <v>0</v>
      </c>
      <c r="G26" s="26">
        <f>'1-21-10'!G26+'2-4-10'!D26</f>
        <v>0</v>
      </c>
      <c r="H26" s="26">
        <f>'1-21-10'!H26+'2-4-10'!E26</f>
        <v>7982.6799999999985</v>
      </c>
      <c r="I26" s="26">
        <f>'1-21-10'!I26+'2-4-10'!F26</f>
        <v>0</v>
      </c>
      <c r="J26" s="46">
        <f>SUM(G26:I26)</f>
        <v>7982.6799999999985</v>
      </c>
      <c r="K26" s="26">
        <f>C26-J26</f>
        <v>7193.3200000000015</v>
      </c>
      <c r="L26" s="26">
        <f>C26-(J26/16*26.1)</f>
        <v>2154.2532500000016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92.94</v>
      </c>
      <c r="E27" s="26">
        <v>123.26</v>
      </c>
      <c r="F27" s="26">
        <v>0</v>
      </c>
      <c r="G27" s="26">
        <f>'1-21-10'!G27+'2-4-10'!D27</f>
        <v>1329.1800000000003</v>
      </c>
      <c r="H27" s="26">
        <f>'1-21-10'!H27+'2-4-10'!E27</f>
        <v>1330.77</v>
      </c>
      <c r="I27" s="26">
        <f>'1-21-10'!I27+'2-4-10'!F27</f>
        <v>0</v>
      </c>
      <c r="J27" s="46">
        <f>SUM(G27:I27)</f>
        <v>2659.9500000000003</v>
      </c>
      <c r="K27" s="6">
        <f>C27-J27</f>
        <v>3041.0499999999997</v>
      </c>
      <c r="L27" s="26">
        <f>C27-(J27/16*26.1)</f>
        <v>1361.9565624999996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92.94</v>
      </c>
      <c r="E28" s="9">
        <f>SUM(E26:E27)</f>
        <v>775.14</v>
      </c>
      <c r="F28" s="9">
        <f aca="true" t="shared" si="8" ref="F28:L28">SUM(F26:F27)</f>
        <v>0</v>
      </c>
      <c r="G28" s="9">
        <f t="shared" si="8"/>
        <v>1329.1800000000003</v>
      </c>
      <c r="H28" s="9">
        <f t="shared" si="8"/>
        <v>9313.449999999999</v>
      </c>
      <c r="I28" s="9">
        <f t="shared" si="8"/>
        <v>0</v>
      </c>
      <c r="J28" s="9">
        <f t="shared" si="8"/>
        <v>10642.63</v>
      </c>
      <c r="K28" s="9">
        <f t="shared" si="8"/>
        <v>10234.37</v>
      </c>
      <c r="L28" s="9">
        <f t="shared" si="8"/>
        <v>3516.209812500001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344.92</v>
      </c>
      <c r="E30" s="26">
        <v>1862.4</v>
      </c>
      <c r="F30" s="26">
        <v>0</v>
      </c>
      <c r="G30" s="26">
        <f>'1-21-10'!G30+'2-4-10'!D30</f>
        <v>1014.8700000000001</v>
      </c>
      <c r="H30" s="26">
        <f>'1-21-10'!H30+'2-4-10'!E30</f>
        <v>31938.510000000002</v>
      </c>
      <c r="I30" s="26">
        <f>'1-21-10'!I30+'2-4-10'!F30</f>
        <v>0</v>
      </c>
      <c r="J30" s="6">
        <f>SUM(G30:I30)</f>
        <v>32953.380000000005</v>
      </c>
      <c r="K30" s="26">
        <f>C30-J30</f>
        <v>28717.619999999995</v>
      </c>
      <c r="L30" s="26">
        <f>C30-(J30/16*26.1)</f>
        <v>7915.798874999986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1023.48</v>
      </c>
      <c r="F31" s="26">
        <v>0</v>
      </c>
      <c r="G31" s="26">
        <f>'1-21-10'!G31+'2-4-10'!D31</f>
        <v>0</v>
      </c>
      <c r="H31" s="26">
        <f>'1-21-10'!H31+'2-4-10'!E31</f>
        <v>7899.5</v>
      </c>
      <c r="I31" s="26">
        <f>'1-21-10'!I31+'2-4-10'!F31</f>
        <v>0</v>
      </c>
      <c r="J31" s="6">
        <f>SUM(G31:I31)</f>
        <v>7899.5</v>
      </c>
      <c r="K31" s="6">
        <f>C31-J31</f>
        <v>8181.5</v>
      </c>
      <c r="L31" s="26">
        <f>C31-(J31/16*26.1)</f>
        <v>3194.9406249999993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344.92</v>
      </c>
      <c r="E32" s="9">
        <f aca="true" t="shared" si="9" ref="E32:L32">SUM(E30:E31)</f>
        <v>2885.88</v>
      </c>
      <c r="F32" s="9">
        <f t="shared" si="9"/>
        <v>0</v>
      </c>
      <c r="G32" s="9">
        <f t="shared" si="9"/>
        <v>1014.8700000000001</v>
      </c>
      <c r="H32" s="9">
        <f t="shared" si="9"/>
        <v>39838.01</v>
      </c>
      <c r="I32" s="9">
        <f t="shared" si="9"/>
        <v>0</v>
      </c>
      <c r="J32" s="9">
        <f t="shared" si="9"/>
        <v>40852.880000000005</v>
      </c>
      <c r="K32" s="9">
        <f t="shared" si="9"/>
        <v>36899.119999999995</v>
      </c>
      <c r="L32" s="9">
        <f t="shared" si="9"/>
        <v>11110.739499999985</v>
      </c>
    </row>
    <row r="33" spans="1:12" s="24" customFormat="1" ht="11.25">
      <c r="A33" s="23"/>
      <c r="B33" s="23"/>
      <c r="C33" s="14">
        <f aca="true" t="shared" si="10" ref="C33:L33">C16+C24+C28+C32</f>
        <v>339413</v>
      </c>
      <c r="D33" s="14">
        <f t="shared" si="10"/>
        <v>4654.49</v>
      </c>
      <c r="E33" s="14">
        <f t="shared" si="10"/>
        <v>8059.34</v>
      </c>
      <c r="F33" s="14">
        <f t="shared" si="10"/>
        <v>0</v>
      </c>
      <c r="G33" s="14">
        <f t="shared" si="10"/>
        <v>43732.54</v>
      </c>
      <c r="H33" s="14">
        <f t="shared" si="10"/>
        <v>115045.81999999998</v>
      </c>
      <c r="I33" s="14">
        <f t="shared" si="10"/>
        <v>0</v>
      </c>
      <c r="J33" s="14">
        <f t="shared" si="10"/>
        <v>158778.36000000002</v>
      </c>
      <c r="K33" s="14">
        <f t="shared" si="10"/>
        <v>180634.64</v>
      </c>
      <c r="L33" s="14">
        <f t="shared" si="10"/>
        <v>80405.80024999997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2-4-10</oddHeader>
    <oddFooter>&amp;CFY 2009-2010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1">
      <selection activeCell="J13" sqref="J13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229.67</v>
      </c>
      <c r="E4" s="26">
        <v>70.96</v>
      </c>
      <c r="F4" s="26">
        <v>0</v>
      </c>
      <c r="G4" s="26">
        <f>'2-4-10'!G4+'2-18-10'!D4</f>
        <v>1520.8600000000001</v>
      </c>
      <c r="H4" s="26">
        <f>'2-4-10'!H4+'2-18-10'!E4</f>
        <v>4478.249999999999</v>
      </c>
      <c r="I4" s="26">
        <f>'2-4-10'!I4+'2-18-10'!F4</f>
        <v>0</v>
      </c>
      <c r="J4" s="44">
        <f>SUM(G4:I4)</f>
        <v>5999.109999999999</v>
      </c>
      <c r="K4" s="26">
        <f>C4-J4</f>
        <v>7319.890000000001</v>
      </c>
      <c r="L4" s="26">
        <f aca="true" t="shared" si="0" ref="L4:L15">C4-(J4/17*26.1)</f>
        <v>4108.6017058823545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546.97</v>
      </c>
      <c r="E5" s="26">
        <v>282.51</v>
      </c>
      <c r="F5" s="26">
        <v>0</v>
      </c>
      <c r="G5" s="26">
        <f>'2-4-10'!G5+'2-18-10'!D5</f>
        <v>6845.400000000001</v>
      </c>
      <c r="H5" s="26">
        <f>'2-4-10'!H5+'2-18-10'!E5</f>
        <v>4595.680000000001</v>
      </c>
      <c r="I5" s="26">
        <f>'2-4-10'!I5+'2-18-10'!F5</f>
        <v>0</v>
      </c>
      <c r="J5" s="46">
        <f aca="true" t="shared" si="1" ref="J5:J15">SUM(G5:I5)</f>
        <v>11441.080000000002</v>
      </c>
      <c r="K5" s="6">
        <f aca="true" t="shared" si="2" ref="K5:K15">C5-J5</f>
        <v>10607.919999999998</v>
      </c>
      <c r="L5" s="26">
        <f t="shared" si="0"/>
        <v>4483.577176470586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186.97</v>
      </c>
      <c r="E6" s="44">
        <v>101.5</v>
      </c>
      <c r="F6" s="26">
        <v>0</v>
      </c>
      <c r="G6" s="26">
        <f>'2-4-10'!G6+'2-18-10'!D6</f>
        <v>1745.6700000000003</v>
      </c>
      <c r="H6" s="26">
        <f>'2-4-10'!H6+'2-18-10'!E6</f>
        <v>4260.68</v>
      </c>
      <c r="I6" s="26">
        <f>'2-4-10'!I6+'2-18-10'!F6</f>
        <v>0</v>
      </c>
      <c r="J6" s="46">
        <f t="shared" si="1"/>
        <v>6006.35</v>
      </c>
      <c r="K6" s="6">
        <f t="shared" si="2"/>
        <v>7594.65</v>
      </c>
      <c r="L6" s="26">
        <f t="shared" si="0"/>
        <v>4379.486176470587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285.04</v>
      </c>
      <c r="E7" s="26">
        <v>0</v>
      </c>
      <c r="F7" s="26">
        <v>0</v>
      </c>
      <c r="G7" s="26">
        <f>'2-4-10'!G7+'2-18-10'!D7</f>
        <v>3717.41</v>
      </c>
      <c r="H7" s="26">
        <f>'2-4-10'!H7+'2-18-10'!E7</f>
        <v>135.97</v>
      </c>
      <c r="I7" s="26">
        <f>'2-4-10'!I7+'2-18-10'!F7</f>
        <v>0</v>
      </c>
      <c r="J7" s="46">
        <f t="shared" si="1"/>
        <v>3853.3799999999997</v>
      </c>
      <c r="K7" s="6">
        <f t="shared" si="2"/>
        <v>2696.6200000000003</v>
      </c>
      <c r="L7" s="26">
        <f t="shared" si="0"/>
        <v>633.9283529411769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288.57</v>
      </c>
      <c r="E8" s="26">
        <v>0</v>
      </c>
      <c r="F8" s="26">
        <v>0</v>
      </c>
      <c r="G8" s="26">
        <f>'2-4-10'!G8+'2-18-10'!D8</f>
        <v>3156.8700000000003</v>
      </c>
      <c r="H8" s="26">
        <f>'2-4-10'!H8+'2-18-10'!E8</f>
        <v>0</v>
      </c>
      <c r="I8" s="26">
        <f>'2-4-10'!I8+'2-18-10'!F8</f>
        <v>0</v>
      </c>
      <c r="J8" s="46">
        <f t="shared" si="1"/>
        <v>3156.8700000000003</v>
      </c>
      <c r="K8" s="6">
        <f t="shared" si="2"/>
        <v>6626.129999999999</v>
      </c>
      <c r="L8" s="26">
        <f t="shared" si="0"/>
        <v>4936.276058823529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270.1</v>
      </c>
      <c r="E9" s="26">
        <v>117.5</v>
      </c>
      <c r="F9" s="26">
        <v>0</v>
      </c>
      <c r="G9" s="26">
        <f>'2-4-10'!G9+'2-18-10'!D9</f>
        <v>3002.9399999999996</v>
      </c>
      <c r="H9" s="26">
        <f>'2-4-10'!H9+'2-18-10'!E9</f>
        <v>117.5</v>
      </c>
      <c r="I9" s="26">
        <f>'2-4-10'!I9+'2-18-10'!F9</f>
        <v>0</v>
      </c>
      <c r="J9" s="46">
        <f t="shared" si="1"/>
        <v>3120.4399999999996</v>
      </c>
      <c r="K9" s="6">
        <f t="shared" si="2"/>
        <v>4885.56</v>
      </c>
      <c r="L9" s="26">
        <f t="shared" si="0"/>
        <v>3215.206823529412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499.43</v>
      </c>
      <c r="E10" s="26">
        <v>868.41</v>
      </c>
      <c r="F10" s="26">
        <v>0</v>
      </c>
      <c r="G10" s="26">
        <f>'2-4-10'!G10+'2-18-10'!D10</f>
        <v>4289.81</v>
      </c>
      <c r="H10" s="26">
        <f>'2-4-10'!H10+'2-18-10'!E10</f>
        <v>10708.729999999998</v>
      </c>
      <c r="I10" s="26">
        <f>'2-4-10'!I10+'2-18-10'!F10</f>
        <v>0</v>
      </c>
      <c r="J10" s="46">
        <f t="shared" si="1"/>
        <v>14998.539999999997</v>
      </c>
      <c r="K10" s="6">
        <f t="shared" si="2"/>
        <v>10197.460000000003</v>
      </c>
      <c r="L10" s="26">
        <f t="shared" si="0"/>
        <v>2168.829764705886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'2-4-10'!G11+'2-18-10'!D11</f>
        <v>0</v>
      </c>
      <c r="H11" s="26">
        <f>'2-4-10'!H11+'2-18-10'!E11</f>
        <v>5036.12</v>
      </c>
      <c r="I11" s="26">
        <f>'2-4-10'!I11+'2-18-10'!F11</f>
        <v>0</v>
      </c>
      <c r="J11" s="46">
        <f t="shared" si="1"/>
        <v>5036.12</v>
      </c>
      <c r="K11" s="6">
        <f t="shared" si="2"/>
        <v>2463.88</v>
      </c>
      <c r="L11" s="26">
        <f t="shared" si="0"/>
        <v>-231.92541176470604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75.22</v>
      </c>
      <c r="E12" s="26">
        <v>74.31</v>
      </c>
      <c r="F12" s="26">
        <v>0</v>
      </c>
      <c r="G12" s="26">
        <f>'2-4-10'!G12+'2-18-10'!D12</f>
        <v>967.3</v>
      </c>
      <c r="H12" s="26">
        <f>'2-4-10'!H12+'2-18-10'!E12</f>
        <v>1314.27</v>
      </c>
      <c r="I12" s="26">
        <f>'2-4-10'!I12+'2-18-10'!F12</f>
        <v>0</v>
      </c>
      <c r="J12" s="46">
        <f t="shared" si="1"/>
        <v>2281.5699999999997</v>
      </c>
      <c r="K12" s="6">
        <f t="shared" si="2"/>
        <v>1862.4300000000003</v>
      </c>
      <c r="L12" s="26">
        <f t="shared" si="0"/>
        <v>641.1190000000001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72.75</v>
      </c>
      <c r="E13" s="26">
        <v>462.38</v>
      </c>
      <c r="F13" s="26">
        <v>0</v>
      </c>
      <c r="G13" s="26">
        <f>'2-4-10'!G13+'2-18-10'!D13</f>
        <v>1187.19</v>
      </c>
      <c r="H13" s="26">
        <f>'2-4-10'!H13+'2-18-10'!E13</f>
        <v>6919.05</v>
      </c>
      <c r="I13" s="26">
        <f>'2-4-10'!I13+'2-18-10'!F13</f>
        <v>0</v>
      </c>
      <c r="J13" s="46">
        <f t="shared" si="1"/>
        <v>8106.24</v>
      </c>
      <c r="K13" s="6">
        <f t="shared" si="2"/>
        <v>12067.76</v>
      </c>
      <c r="L13" s="26">
        <f t="shared" si="0"/>
        <v>7728.537411764706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672.65</v>
      </c>
      <c r="E14" s="26">
        <v>770.76</v>
      </c>
      <c r="F14" s="26">
        <v>0</v>
      </c>
      <c r="G14" s="26">
        <f>'2-4-10'!G14+'2-18-10'!D14</f>
        <v>7375.1399999999985</v>
      </c>
      <c r="H14" s="26">
        <f>'2-4-10'!H14+'2-18-10'!E14</f>
        <v>10191.470000000001</v>
      </c>
      <c r="I14" s="26">
        <f>'2-4-10'!I14+'2-18-10'!F14</f>
        <v>0</v>
      </c>
      <c r="J14" s="46">
        <f t="shared" si="1"/>
        <v>17566.61</v>
      </c>
      <c r="K14" s="6">
        <f t="shared" si="2"/>
        <v>13442.39</v>
      </c>
      <c r="L14" s="26">
        <f t="shared" si="0"/>
        <v>4039.0869999999995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175.77</v>
      </c>
      <c r="E15" s="26">
        <v>169.59</v>
      </c>
      <c r="F15" s="26">
        <v>0</v>
      </c>
      <c r="G15" s="26">
        <f>'2-4-10'!G15+'2-18-10'!D15</f>
        <v>2095.8199999999997</v>
      </c>
      <c r="H15" s="26">
        <f>'2-4-10'!H15+'2-18-10'!E15</f>
        <v>5129.639999999999</v>
      </c>
      <c r="I15" s="26">
        <f>'2-4-10'!I15+'2-18-10'!F15</f>
        <v>0</v>
      </c>
      <c r="J15" s="46">
        <f t="shared" si="1"/>
        <v>7225.459999999999</v>
      </c>
      <c r="K15" s="6">
        <f t="shared" si="2"/>
        <v>6066.540000000001</v>
      </c>
      <c r="L15" s="26">
        <f t="shared" si="0"/>
        <v>2198.7937647058825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3303.14</v>
      </c>
      <c r="E16" s="25">
        <f t="shared" si="3"/>
        <v>3302.54</v>
      </c>
      <c r="F16" s="25">
        <f t="shared" si="3"/>
        <v>0</v>
      </c>
      <c r="G16" s="25">
        <f t="shared" si="3"/>
        <v>35904.409999999996</v>
      </c>
      <c r="H16" s="25">
        <f t="shared" si="3"/>
        <v>52887.36</v>
      </c>
      <c r="I16" s="25">
        <f t="shared" si="3"/>
        <v>0</v>
      </c>
      <c r="J16" s="49">
        <f t="shared" si="3"/>
        <v>88791.76999999999</v>
      </c>
      <c r="K16" s="25">
        <f t="shared" si="3"/>
        <v>85831.22999999998</v>
      </c>
      <c r="L16" s="9">
        <f t="shared" si="3"/>
        <v>38301.517823529415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134.36</v>
      </c>
      <c r="E18" s="6">
        <v>633.56</v>
      </c>
      <c r="F18" s="6">
        <v>0</v>
      </c>
      <c r="G18" s="6">
        <f>'2-4-10'!G18+'2-18-10'!D18</f>
        <v>1413.2199999999998</v>
      </c>
      <c r="H18" s="6">
        <f>'2-4-10'!H18+'2-18-10'!E18</f>
        <v>7933.719999999999</v>
      </c>
      <c r="I18" s="6">
        <f>'2-4-10'!I18+'2-18-10'!F18</f>
        <v>0</v>
      </c>
      <c r="J18" s="46">
        <f aca="true" t="shared" si="4" ref="J18:J23">SUM(G18:I18)</f>
        <v>9346.939999999999</v>
      </c>
      <c r="K18" s="6">
        <f aca="true" t="shared" si="5" ref="K18:K23">C18-J18</f>
        <v>6544.060000000001</v>
      </c>
      <c r="L18" s="6">
        <f aca="true" t="shared" si="6" ref="L18:L23">C18-(J18/17*26.1)</f>
        <v>1540.6980000000003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261.62</v>
      </c>
      <c r="E19" s="26">
        <v>160.31</v>
      </c>
      <c r="F19" s="26">
        <v>0</v>
      </c>
      <c r="G19" s="26">
        <f>'2-4-10'!G19+'2-18-10'!D19</f>
        <v>1986.9</v>
      </c>
      <c r="H19" s="26">
        <f>'2-4-10'!H19+'2-18-10'!E19</f>
        <v>5297.850000000001</v>
      </c>
      <c r="I19" s="26">
        <f>'2-4-10'!I19+'2-18-10'!F19</f>
        <v>0</v>
      </c>
      <c r="J19" s="46">
        <f t="shared" si="4"/>
        <v>7284.750000000002</v>
      </c>
      <c r="K19" s="6">
        <f t="shared" si="5"/>
        <v>8108.249999999998</v>
      </c>
      <c r="L19" s="26">
        <f t="shared" si="6"/>
        <v>4208.7661764705845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249.69</v>
      </c>
      <c r="E20" s="26">
        <v>174</v>
      </c>
      <c r="F20" s="26">
        <v>0</v>
      </c>
      <c r="G20" s="26">
        <f>'2-4-10'!G20+'2-18-10'!D20</f>
        <v>2172.9</v>
      </c>
      <c r="H20" s="26">
        <f>'2-4-10'!H20+'2-18-10'!E20</f>
        <v>2207.21</v>
      </c>
      <c r="I20" s="26">
        <f>'2-4-10'!I20+'2-18-10'!F20</f>
        <v>0</v>
      </c>
      <c r="J20" s="46">
        <f t="shared" si="4"/>
        <v>4380.110000000001</v>
      </c>
      <c r="K20" s="6">
        <f t="shared" si="5"/>
        <v>10187.89</v>
      </c>
      <c r="L20" s="26">
        <f t="shared" si="6"/>
        <v>7843.24288235294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11.64</v>
      </c>
      <c r="E21" s="26">
        <v>145</v>
      </c>
      <c r="F21" s="26">
        <v>0</v>
      </c>
      <c r="G21" s="26">
        <f>'2-4-10'!G21+'2-18-10'!D21</f>
        <v>291.98999999999995</v>
      </c>
      <c r="H21" s="26">
        <f>'2-4-10'!H21+'2-18-10'!E21</f>
        <v>384.25</v>
      </c>
      <c r="I21" s="26">
        <f>'2-4-10'!I21+'2-18-10'!F21</f>
        <v>0</v>
      </c>
      <c r="J21" s="46">
        <f t="shared" si="4"/>
        <v>676.24</v>
      </c>
      <c r="K21" s="6">
        <f t="shared" si="5"/>
        <v>5405.76</v>
      </c>
      <c r="L21" s="26">
        <f t="shared" si="6"/>
        <v>5043.772705882353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292.24</v>
      </c>
      <c r="E22" s="26">
        <v>411.13</v>
      </c>
      <c r="F22" s="26">
        <v>0</v>
      </c>
      <c r="G22" s="26">
        <f>'2-4-10'!G22+'2-18-10'!D22</f>
        <v>2239.67</v>
      </c>
      <c r="H22" s="26">
        <f>'2-4-10'!H22+'2-18-10'!E22</f>
        <v>2010.5100000000002</v>
      </c>
      <c r="I22" s="26">
        <f>'2-4-10'!I22+'2-18-10'!F22</f>
        <v>0</v>
      </c>
      <c r="J22" s="46">
        <f t="shared" si="4"/>
        <v>4250.18</v>
      </c>
      <c r="K22" s="6">
        <f t="shared" si="5"/>
        <v>3441.8199999999997</v>
      </c>
      <c r="L22" s="26">
        <f t="shared" si="6"/>
        <v>1166.7236470588223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133.69</v>
      </c>
      <c r="E23" s="26">
        <v>0</v>
      </c>
      <c r="F23" s="26">
        <v>0</v>
      </c>
      <c r="G23" s="26">
        <f>'2-4-10'!G23+'2-18-10'!D23</f>
        <v>1765.7800000000002</v>
      </c>
      <c r="H23" s="26">
        <f>'2-4-10'!H23+'2-18-10'!E23</f>
        <v>0</v>
      </c>
      <c r="I23" s="26">
        <f>'2-4-10'!I23+'2-18-10'!F23</f>
        <v>0</v>
      </c>
      <c r="J23" s="46">
        <f t="shared" si="4"/>
        <v>1765.7800000000002</v>
      </c>
      <c r="K23" s="6">
        <f t="shared" si="5"/>
        <v>4769.219999999999</v>
      </c>
      <c r="L23" s="26">
        <f t="shared" si="6"/>
        <v>3824.0083529411763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1083.24</v>
      </c>
      <c r="E24" s="9">
        <f aca="true" t="shared" si="7" ref="E24:L24">SUM(E18:E23)</f>
        <v>1524</v>
      </c>
      <c r="F24" s="9">
        <f t="shared" si="7"/>
        <v>0</v>
      </c>
      <c r="G24" s="9">
        <f t="shared" si="7"/>
        <v>9870.460000000001</v>
      </c>
      <c r="H24" s="9">
        <f t="shared" si="7"/>
        <v>17833.54</v>
      </c>
      <c r="I24" s="9">
        <f t="shared" si="7"/>
        <v>0</v>
      </c>
      <c r="J24" s="9">
        <f t="shared" si="7"/>
        <v>27704.000000000004</v>
      </c>
      <c r="K24" s="9">
        <f t="shared" si="7"/>
        <v>38457</v>
      </c>
      <c r="L24" s="9">
        <f t="shared" si="7"/>
        <v>23627.211764705877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'2-4-10'!G26+'2-18-10'!D26</f>
        <v>0</v>
      </c>
      <c r="H26" s="26">
        <f>'2-4-10'!H26+'2-18-10'!E26</f>
        <v>8578.679999999998</v>
      </c>
      <c r="I26" s="26">
        <f>'2-4-10'!I26+'2-18-10'!F26</f>
        <v>0</v>
      </c>
      <c r="J26" s="46">
        <f>SUM(G26:I26)</f>
        <v>8578.679999999998</v>
      </c>
      <c r="K26" s="26">
        <f>C26-J26</f>
        <v>6597.3200000000015</v>
      </c>
      <c r="L26" s="26">
        <f>C26-(J26/17*26.1)</f>
        <v>2005.203058823532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84.98</v>
      </c>
      <c r="E27" s="26">
        <v>1251.26</v>
      </c>
      <c r="F27" s="26">
        <v>0</v>
      </c>
      <c r="G27" s="26">
        <f>'2-4-10'!G27+'2-18-10'!D27</f>
        <v>1414.1600000000003</v>
      </c>
      <c r="H27" s="26">
        <f>'2-4-10'!H27+'2-18-10'!E27</f>
        <v>2582.0299999999997</v>
      </c>
      <c r="I27" s="26">
        <f>'2-4-10'!I27+'2-18-10'!F27</f>
        <v>0</v>
      </c>
      <c r="J27" s="46">
        <f>SUM(G27:I27)</f>
        <v>3996.19</v>
      </c>
      <c r="K27" s="6">
        <f>C27-J27</f>
        <v>1704.81</v>
      </c>
      <c r="L27" s="26">
        <f>C27-(J27/17*26.1)</f>
        <v>-434.3270000000002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84.98</v>
      </c>
      <c r="E28" s="9">
        <f>SUM(E26:E27)</f>
        <v>1847.26</v>
      </c>
      <c r="F28" s="9">
        <f aca="true" t="shared" si="8" ref="F28:L28">SUM(F26:F27)</f>
        <v>0</v>
      </c>
      <c r="G28" s="9">
        <f t="shared" si="8"/>
        <v>1414.1600000000003</v>
      </c>
      <c r="H28" s="9">
        <f t="shared" si="8"/>
        <v>11160.71</v>
      </c>
      <c r="I28" s="9">
        <f t="shared" si="8"/>
        <v>0</v>
      </c>
      <c r="J28" s="9">
        <f t="shared" si="8"/>
        <v>12574.869999999999</v>
      </c>
      <c r="K28" s="9">
        <f t="shared" si="8"/>
        <v>8302.130000000001</v>
      </c>
      <c r="L28" s="9">
        <f t="shared" si="8"/>
        <v>1570.8760588235318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399.51</v>
      </c>
      <c r="E30" s="26">
        <v>1762.61</v>
      </c>
      <c r="F30" s="26">
        <v>0</v>
      </c>
      <c r="G30" s="26">
        <f>'2-4-10'!G30+'2-18-10'!D30</f>
        <v>1414.38</v>
      </c>
      <c r="H30" s="26">
        <f>'2-4-10'!H30+'2-18-10'!E30</f>
        <v>33701.12</v>
      </c>
      <c r="I30" s="26">
        <f>'2-4-10'!I30+'2-18-10'!F30</f>
        <v>0</v>
      </c>
      <c r="J30" s="6">
        <f>SUM(G30:I30)</f>
        <v>35115.5</v>
      </c>
      <c r="K30" s="26">
        <f>C30-J30</f>
        <v>26555.5</v>
      </c>
      <c r="L30" s="26">
        <f>C30-(J30/17*26.1)</f>
        <v>7758.379411764705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575.32</v>
      </c>
      <c r="F31" s="26">
        <v>0</v>
      </c>
      <c r="G31" s="26">
        <f>'2-4-10'!G31+'2-18-10'!D31</f>
        <v>0</v>
      </c>
      <c r="H31" s="26">
        <f>'2-4-10'!H31+'2-18-10'!E31</f>
        <v>8474.82</v>
      </c>
      <c r="I31" s="26">
        <f>'2-4-10'!I31+'2-18-10'!F31</f>
        <v>0</v>
      </c>
      <c r="J31" s="6">
        <f>SUM(G31:I31)</f>
        <v>8474.82</v>
      </c>
      <c r="K31" s="6">
        <f>C31-J31</f>
        <v>7606.18</v>
      </c>
      <c r="L31" s="26">
        <f>C31-(J31/17*26.1)</f>
        <v>3069.6587058823534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399.51</v>
      </c>
      <c r="E32" s="9">
        <f aca="true" t="shared" si="9" ref="E32:L32">SUM(E30:E31)</f>
        <v>2337.93</v>
      </c>
      <c r="F32" s="9">
        <f t="shared" si="9"/>
        <v>0</v>
      </c>
      <c r="G32" s="9">
        <f t="shared" si="9"/>
        <v>1414.38</v>
      </c>
      <c r="H32" s="9">
        <f t="shared" si="9"/>
        <v>42175.94</v>
      </c>
      <c r="I32" s="9">
        <f t="shared" si="9"/>
        <v>0</v>
      </c>
      <c r="J32" s="9">
        <f t="shared" si="9"/>
        <v>43590.32</v>
      </c>
      <c r="K32" s="9">
        <f t="shared" si="9"/>
        <v>34161.68</v>
      </c>
      <c r="L32" s="9">
        <f t="shared" si="9"/>
        <v>10828.038117647058</v>
      </c>
    </row>
    <row r="33" spans="1:12" s="24" customFormat="1" ht="11.25">
      <c r="A33" s="23"/>
      <c r="B33" s="23"/>
      <c r="C33" s="14">
        <f aca="true" t="shared" si="10" ref="C33:L33">C16+C24+C28+C32</f>
        <v>339413</v>
      </c>
      <c r="D33" s="14">
        <f t="shared" si="10"/>
        <v>4870.87</v>
      </c>
      <c r="E33" s="14">
        <f t="shared" si="10"/>
        <v>9011.73</v>
      </c>
      <c r="F33" s="14">
        <f t="shared" si="10"/>
        <v>0</v>
      </c>
      <c r="G33" s="14">
        <f t="shared" si="10"/>
        <v>48603.409999999996</v>
      </c>
      <c r="H33" s="14">
        <f t="shared" si="10"/>
        <v>124057.54999999999</v>
      </c>
      <c r="I33" s="14">
        <f t="shared" si="10"/>
        <v>0</v>
      </c>
      <c r="J33" s="14">
        <f t="shared" si="10"/>
        <v>172660.96</v>
      </c>
      <c r="K33" s="14">
        <f t="shared" si="10"/>
        <v>166752.03999999998</v>
      </c>
      <c r="L33" s="14">
        <f t="shared" si="10"/>
        <v>74327.64376470588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2-18-10</oddHeader>
    <oddFooter>&amp;CFY 2009-2010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1">
      <selection activeCell="E11" sqref="E11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217.66</v>
      </c>
      <c r="E4" s="26">
        <v>108.32</v>
      </c>
      <c r="F4" s="26">
        <v>0</v>
      </c>
      <c r="G4" s="26">
        <f>'2-18-10'!G4+'3-4-10'!D4</f>
        <v>1738.5200000000002</v>
      </c>
      <c r="H4" s="26">
        <f>'2-18-10'!H4+'3-4-10'!E4</f>
        <v>4586.569999999999</v>
      </c>
      <c r="I4" s="26">
        <f>'2-18-10'!I4+'3-4-10'!F4</f>
        <v>0</v>
      </c>
      <c r="J4" s="44">
        <f>SUM(G4:I4)</f>
        <v>6325.089999999999</v>
      </c>
      <c r="K4" s="26">
        <f>C4-J4</f>
        <v>6993.910000000001</v>
      </c>
      <c r="L4" s="26">
        <f aca="true" t="shared" si="0" ref="L4:L15">C4-(J4/18*26.1)</f>
        <v>4147.619500000001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502.74</v>
      </c>
      <c r="E5" s="26">
        <v>326.31</v>
      </c>
      <c r="F5" s="26">
        <v>0</v>
      </c>
      <c r="G5" s="26">
        <f>'2-18-10'!G5+'3-4-10'!D5</f>
        <v>7348.14</v>
      </c>
      <c r="H5" s="26">
        <f>'2-18-10'!H5+'3-4-10'!E5</f>
        <v>4921.990000000002</v>
      </c>
      <c r="I5" s="26">
        <f>'2-18-10'!I5+'3-4-10'!F5</f>
        <v>0</v>
      </c>
      <c r="J5" s="46">
        <f aca="true" t="shared" si="1" ref="J5:J15">SUM(G5:I5)</f>
        <v>12270.130000000001</v>
      </c>
      <c r="K5" s="6">
        <f aca="true" t="shared" si="2" ref="K5:K15">C5-J5</f>
        <v>9778.869999999999</v>
      </c>
      <c r="L5" s="26">
        <f t="shared" si="0"/>
        <v>4257.311499999996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164.25</v>
      </c>
      <c r="E6" s="44">
        <v>161.26</v>
      </c>
      <c r="F6" s="26">
        <v>0</v>
      </c>
      <c r="G6" s="26">
        <f>'2-18-10'!G6+'3-4-10'!D6</f>
        <v>1909.9200000000003</v>
      </c>
      <c r="H6" s="26">
        <f>'2-18-10'!H6+'3-4-10'!E6</f>
        <v>4421.9400000000005</v>
      </c>
      <c r="I6" s="26">
        <f>'2-18-10'!I6+'3-4-10'!F6</f>
        <v>0</v>
      </c>
      <c r="J6" s="46">
        <f t="shared" si="1"/>
        <v>6331.860000000001</v>
      </c>
      <c r="K6" s="6">
        <f t="shared" si="2"/>
        <v>7269.139999999999</v>
      </c>
      <c r="L6" s="26">
        <f t="shared" si="0"/>
        <v>4419.802999999998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309.08</v>
      </c>
      <c r="E7" s="26">
        <v>0</v>
      </c>
      <c r="F7" s="26">
        <v>0</v>
      </c>
      <c r="G7" s="26">
        <f>'2-18-10'!G7+'3-4-10'!D7</f>
        <v>4026.49</v>
      </c>
      <c r="H7" s="26">
        <f>'2-18-10'!H7+'3-4-10'!E7</f>
        <v>135.97</v>
      </c>
      <c r="I7" s="26">
        <f>'2-18-10'!I7+'3-4-10'!F7</f>
        <v>0</v>
      </c>
      <c r="J7" s="46">
        <f t="shared" si="1"/>
        <v>4162.46</v>
      </c>
      <c r="K7" s="6">
        <f t="shared" si="2"/>
        <v>2387.54</v>
      </c>
      <c r="L7" s="26">
        <f t="shared" si="0"/>
        <v>514.433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268.41</v>
      </c>
      <c r="E8" s="26">
        <v>0</v>
      </c>
      <c r="F8" s="26">
        <v>0</v>
      </c>
      <c r="G8" s="26">
        <f>'2-18-10'!G8+'3-4-10'!D8</f>
        <v>3425.28</v>
      </c>
      <c r="H8" s="26">
        <f>'2-18-10'!H8+'3-4-10'!E8</f>
        <v>0</v>
      </c>
      <c r="I8" s="26">
        <f>'2-18-10'!I8+'3-4-10'!F8</f>
        <v>0</v>
      </c>
      <c r="J8" s="46">
        <f t="shared" si="1"/>
        <v>3425.28</v>
      </c>
      <c r="K8" s="6">
        <f t="shared" si="2"/>
        <v>6357.719999999999</v>
      </c>
      <c r="L8" s="26">
        <f t="shared" si="0"/>
        <v>4816.343999999999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259.73</v>
      </c>
      <c r="E9" s="26">
        <v>400</v>
      </c>
      <c r="F9" s="26">
        <v>0</v>
      </c>
      <c r="G9" s="26">
        <f>'2-18-10'!G9+'3-4-10'!D9</f>
        <v>3262.6699999999996</v>
      </c>
      <c r="H9" s="26">
        <f>'2-18-10'!H9+'3-4-10'!E9</f>
        <v>517.5</v>
      </c>
      <c r="I9" s="26">
        <f>'2-18-10'!I9+'3-4-10'!F9</f>
        <v>0</v>
      </c>
      <c r="J9" s="46">
        <f t="shared" si="1"/>
        <v>3780.1699999999996</v>
      </c>
      <c r="K9" s="6">
        <f t="shared" si="2"/>
        <v>4225.83</v>
      </c>
      <c r="L9" s="26">
        <f t="shared" si="0"/>
        <v>2524.7535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461.72</v>
      </c>
      <c r="E10" s="26">
        <f>770.75-31.24</f>
        <v>739.51</v>
      </c>
      <c r="F10" s="26">
        <v>0</v>
      </c>
      <c r="G10" s="26">
        <f>'2-18-10'!G10+'3-4-10'!D10</f>
        <v>4751.530000000001</v>
      </c>
      <c r="H10" s="26">
        <f>'2-18-10'!H10+'3-4-10'!E10</f>
        <v>11448.239999999998</v>
      </c>
      <c r="I10" s="26">
        <f>'2-18-10'!I10+'3-4-10'!F10</f>
        <v>0</v>
      </c>
      <c r="J10" s="46">
        <f t="shared" si="1"/>
        <v>16199.769999999999</v>
      </c>
      <c r="K10" s="6">
        <f t="shared" si="2"/>
        <v>8996.230000000001</v>
      </c>
      <c r="L10" s="26">
        <f t="shared" si="0"/>
        <v>1706.3335000000006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'2-18-10'!G11+'3-4-10'!D11</f>
        <v>0</v>
      </c>
      <c r="H11" s="26">
        <f>'2-18-10'!H11+'3-4-10'!E11</f>
        <v>5420.74</v>
      </c>
      <c r="I11" s="26">
        <f>'2-18-10'!I11+'3-4-10'!F11</f>
        <v>0</v>
      </c>
      <c r="J11" s="46">
        <f t="shared" si="1"/>
        <v>5420.74</v>
      </c>
      <c r="K11" s="6">
        <f t="shared" si="2"/>
        <v>2079.26</v>
      </c>
      <c r="L11" s="26">
        <f t="shared" si="0"/>
        <v>-360.0730000000003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70.26</v>
      </c>
      <c r="E12" s="26">
        <v>83.38</v>
      </c>
      <c r="F12" s="26">
        <v>0</v>
      </c>
      <c r="G12" s="26">
        <f>'2-18-10'!G12+'3-4-10'!D12</f>
        <v>1037.56</v>
      </c>
      <c r="H12" s="26">
        <f>'2-18-10'!H12+'3-4-10'!E12</f>
        <v>1397.65</v>
      </c>
      <c r="I12" s="26">
        <f>'2-18-10'!I12+'3-4-10'!F12</f>
        <v>0</v>
      </c>
      <c r="J12" s="46">
        <f t="shared" si="1"/>
        <v>2435.21</v>
      </c>
      <c r="K12" s="6">
        <f t="shared" si="2"/>
        <v>1708.79</v>
      </c>
      <c r="L12" s="26">
        <f t="shared" si="0"/>
        <v>612.9454999999994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136.47</v>
      </c>
      <c r="E13" s="26">
        <v>393.26</v>
      </c>
      <c r="F13" s="26">
        <v>0</v>
      </c>
      <c r="G13" s="26">
        <f>'2-18-10'!G13+'3-4-10'!D13</f>
        <v>1323.66</v>
      </c>
      <c r="H13" s="26">
        <f>'2-18-10'!H13+'3-4-10'!E13</f>
        <v>7312.31</v>
      </c>
      <c r="I13" s="26">
        <f>'2-18-10'!I13+'3-4-10'!F13</f>
        <v>0</v>
      </c>
      <c r="J13" s="46">
        <f t="shared" si="1"/>
        <v>8635.970000000001</v>
      </c>
      <c r="K13" s="6">
        <f t="shared" si="2"/>
        <v>11538.029999999999</v>
      </c>
      <c r="L13" s="26">
        <f t="shared" si="0"/>
        <v>7651.843499999997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681.89</v>
      </c>
      <c r="E14" s="26">
        <v>845.15</v>
      </c>
      <c r="F14" s="26">
        <v>0</v>
      </c>
      <c r="G14" s="26">
        <f>'2-18-10'!G14+'3-4-10'!D14</f>
        <v>8057.029999999999</v>
      </c>
      <c r="H14" s="26">
        <f>'2-18-10'!H14+'3-4-10'!E14</f>
        <v>11036.62</v>
      </c>
      <c r="I14" s="26">
        <f>'2-18-10'!I14+'3-4-10'!F14</f>
        <v>0</v>
      </c>
      <c r="J14" s="46">
        <f t="shared" si="1"/>
        <v>19093.65</v>
      </c>
      <c r="K14" s="6">
        <f t="shared" si="2"/>
        <v>11915.349999999999</v>
      </c>
      <c r="L14" s="26">
        <f t="shared" si="0"/>
        <v>3323.207499999997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142.2</v>
      </c>
      <c r="E15" s="26">
        <v>245.44</v>
      </c>
      <c r="F15" s="26">
        <v>0</v>
      </c>
      <c r="G15" s="26">
        <f>'2-18-10'!G15+'3-4-10'!D15</f>
        <v>2238.0199999999995</v>
      </c>
      <c r="H15" s="26">
        <f>'2-18-10'!H15+'3-4-10'!E15</f>
        <v>5375.079999999999</v>
      </c>
      <c r="I15" s="26">
        <f>'2-18-10'!I15+'3-4-10'!F15</f>
        <v>0</v>
      </c>
      <c r="J15" s="46">
        <f t="shared" si="1"/>
        <v>7613.0999999999985</v>
      </c>
      <c r="K15" s="6">
        <f t="shared" si="2"/>
        <v>5678.9000000000015</v>
      </c>
      <c r="L15" s="26">
        <f t="shared" si="0"/>
        <v>2253.005000000001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3214.41</v>
      </c>
      <c r="E16" s="25">
        <f t="shared" si="3"/>
        <v>3687.25</v>
      </c>
      <c r="F16" s="25">
        <f t="shared" si="3"/>
        <v>0</v>
      </c>
      <c r="G16" s="25">
        <f t="shared" si="3"/>
        <v>39118.81999999999</v>
      </c>
      <c r="H16" s="25">
        <f t="shared" si="3"/>
        <v>56574.61</v>
      </c>
      <c r="I16" s="25">
        <f t="shared" si="3"/>
        <v>0</v>
      </c>
      <c r="J16" s="49">
        <f t="shared" si="3"/>
        <v>95693.43</v>
      </c>
      <c r="K16" s="25">
        <f t="shared" si="3"/>
        <v>78929.57</v>
      </c>
      <c r="L16" s="9">
        <f t="shared" si="3"/>
        <v>35867.52649999998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139.04</v>
      </c>
      <c r="E18" s="6">
        <v>643.2</v>
      </c>
      <c r="F18" s="6">
        <v>0</v>
      </c>
      <c r="G18" s="6">
        <f>'2-18-10'!G18+'3-4-10'!D18</f>
        <v>1552.2599999999998</v>
      </c>
      <c r="H18" s="6">
        <f>'2-18-10'!H18+'3-4-10'!E18</f>
        <v>8576.92</v>
      </c>
      <c r="I18" s="6">
        <f>'2-18-10'!I18+'3-4-10'!F18</f>
        <v>0</v>
      </c>
      <c r="J18" s="46">
        <f aca="true" t="shared" si="4" ref="J18:J23">SUM(G18:I18)</f>
        <v>10129.18</v>
      </c>
      <c r="K18" s="6">
        <f aca="true" t="shared" si="5" ref="K18:K23">C18-J18</f>
        <v>5761.82</v>
      </c>
      <c r="L18" s="6">
        <f aca="true" t="shared" si="6" ref="L18:L23">C18-(J18/18*26.1)</f>
        <v>1203.6889999999985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283.95</v>
      </c>
      <c r="E19" s="26">
        <v>241.89</v>
      </c>
      <c r="F19" s="26">
        <v>0</v>
      </c>
      <c r="G19" s="26">
        <f>'2-18-10'!G19+'3-4-10'!D19</f>
        <v>2270.85</v>
      </c>
      <c r="H19" s="26">
        <f>'2-18-10'!H19+'3-4-10'!E19</f>
        <v>5539.740000000002</v>
      </c>
      <c r="I19" s="26">
        <f>'2-18-10'!I19+'3-4-10'!F19</f>
        <v>0</v>
      </c>
      <c r="J19" s="46">
        <f t="shared" si="4"/>
        <v>7810.590000000002</v>
      </c>
      <c r="K19" s="6">
        <f t="shared" si="5"/>
        <v>7582.409999999998</v>
      </c>
      <c r="L19" s="26">
        <f t="shared" si="6"/>
        <v>4067.6444999999967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270.1</v>
      </c>
      <c r="E20" s="26">
        <v>174</v>
      </c>
      <c r="F20" s="26">
        <v>0</v>
      </c>
      <c r="G20" s="26">
        <f>'2-18-10'!G20+'3-4-10'!D20</f>
        <v>2443</v>
      </c>
      <c r="H20" s="26">
        <f>'2-18-10'!H20+'3-4-10'!E20</f>
        <v>2381.21</v>
      </c>
      <c r="I20" s="26">
        <f>'2-18-10'!I20+'3-4-10'!F20</f>
        <v>0</v>
      </c>
      <c r="J20" s="46">
        <f t="shared" si="4"/>
        <v>4824.21</v>
      </c>
      <c r="K20" s="6">
        <f t="shared" si="5"/>
        <v>9743.79</v>
      </c>
      <c r="L20" s="26">
        <f t="shared" si="6"/>
        <v>7572.8955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24.21</v>
      </c>
      <c r="E21" s="26">
        <v>145</v>
      </c>
      <c r="F21" s="26">
        <v>0</v>
      </c>
      <c r="G21" s="26">
        <f>'2-18-10'!G21+'3-4-10'!D21</f>
        <v>316.19999999999993</v>
      </c>
      <c r="H21" s="26">
        <f>'2-18-10'!H21+'3-4-10'!E21</f>
        <v>529.25</v>
      </c>
      <c r="I21" s="26">
        <f>'2-18-10'!I21+'3-4-10'!F21</f>
        <v>0</v>
      </c>
      <c r="J21" s="46">
        <f t="shared" si="4"/>
        <v>845.4499999999999</v>
      </c>
      <c r="K21" s="6">
        <f t="shared" si="5"/>
        <v>5236.55</v>
      </c>
      <c r="L21" s="26">
        <f t="shared" si="6"/>
        <v>4856.0975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309.54</v>
      </c>
      <c r="E22" s="26">
        <v>348.69</v>
      </c>
      <c r="F22" s="26">
        <v>0</v>
      </c>
      <c r="G22" s="26">
        <f>'2-18-10'!G22+'3-4-10'!D22</f>
        <v>2549.21</v>
      </c>
      <c r="H22" s="26">
        <f>'2-18-10'!H22+'3-4-10'!E22</f>
        <v>2359.2000000000003</v>
      </c>
      <c r="I22" s="26">
        <f>'2-18-10'!I22+'3-4-10'!F22</f>
        <v>0</v>
      </c>
      <c r="J22" s="46">
        <f t="shared" si="4"/>
        <v>4908.41</v>
      </c>
      <c r="K22" s="6">
        <f t="shared" si="5"/>
        <v>2783.59</v>
      </c>
      <c r="L22" s="26">
        <f t="shared" si="6"/>
        <v>574.8054999999995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140.94</v>
      </c>
      <c r="E23" s="26">
        <v>0</v>
      </c>
      <c r="F23" s="26">
        <v>0</v>
      </c>
      <c r="G23" s="26">
        <f>'2-18-10'!G23+'3-4-10'!D23</f>
        <v>1906.7200000000003</v>
      </c>
      <c r="H23" s="26">
        <f>'2-18-10'!H23+'3-4-10'!E23</f>
        <v>0</v>
      </c>
      <c r="I23" s="26">
        <f>'2-18-10'!I23+'3-4-10'!F23</f>
        <v>0</v>
      </c>
      <c r="J23" s="46">
        <f t="shared" si="4"/>
        <v>1906.7200000000003</v>
      </c>
      <c r="K23" s="6">
        <f t="shared" si="5"/>
        <v>4628.28</v>
      </c>
      <c r="L23" s="26">
        <f t="shared" si="6"/>
        <v>3770.2559999999994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1167.7800000000002</v>
      </c>
      <c r="E24" s="9">
        <f aca="true" t="shared" si="7" ref="E24:L24">SUM(E18:E23)</f>
        <v>1552.7800000000002</v>
      </c>
      <c r="F24" s="9">
        <f t="shared" si="7"/>
        <v>0</v>
      </c>
      <c r="G24" s="9">
        <f t="shared" si="7"/>
        <v>11038.240000000002</v>
      </c>
      <c r="H24" s="9">
        <f t="shared" si="7"/>
        <v>19386.320000000003</v>
      </c>
      <c r="I24" s="9">
        <f t="shared" si="7"/>
        <v>0</v>
      </c>
      <c r="J24" s="9">
        <f t="shared" si="7"/>
        <v>30424.560000000005</v>
      </c>
      <c r="K24" s="9">
        <f t="shared" si="7"/>
        <v>35736.439999999995</v>
      </c>
      <c r="L24" s="9">
        <f t="shared" si="7"/>
        <v>22045.38799999999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'2-18-10'!G26+'3-4-10'!D26</f>
        <v>0</v>
      </c>
      <c r="H26" s="26">
        <f>'2-18-10'!H26+'3-4-10'!E26</f>
        <v>9174.679999999998</v>
      </c>
      <c r="I26" s="26">
        <f>'2-18-10'!I26+'3-4-10'!F26</f>
        <v>0</v>
      </c>
      <c r="J26" s="46">
        <f>SUM(G26:I26)</f>
        <v>9174.679999999998</v>
      </c>
      <c r="K26" s="26">
        <f>C26-J26</f>
        <v>6001.3200000000015</v>
      </c>
      <c r="L26" s="26">
        <f>C26-(J26/18*26.1)</f>
        <v>1872.7140000000018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93.4</v>
      </c>
      <c r="E27" s="26">
        <f>126.88-1128</f>
        <v>-1001.12</v>
      </c>
      <c r="F27" s="26">
        <v>0</v>
      </c>
      <c r="G27" s="26">
        <f>'2-18-10'!G27+'3-4-10'!D27</f>
        <v>1507.5600000000004</v>
      </c>
      <c r="H27" s="26">
        <f>'2-18-10'!H27+'3-4-10'!E27</f>
        <v>1580.9099999999999</v>
      </c>
      <c r="I27" s="26">
        <f>'2-18-10'!I27+'3-4-10'!F27</f>
        <v>0</v>
      </c>
      <c r="J27" s="46">
        <f>SUM(G27:I27)</f>
        <v>3088.4700000000003</v>
      </c>
      <c r="K27" s="6">
        <f>C27-J27</f>
        <v>2612.5299999999997</v>
      </c>
      <c r="L27" s="26">
        <f>C27-(J27/18*26.1)</f>
        <v>1222.718499999999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>SUM(D26:D27)</f>
        <v>93.4</v>
      </c>
      <c r="E28" s="9">
        <f>SUM(E26:E27)</f>
        <v>-405.12</v>
      </c>
      <c r="F28" s="9">
        <f aca="true" t="shared" si="8" ref="F28:L28">SUM(F26:F27)</f>
        <v>0</v>
      </c>
      <c r="G28" s="9">
        <f t="shared" si="8"/>
        <v>1507.5600000000004</v>
      </c>
      <c r="H28" s="9">
        <f t="shared" si="8"/>
        <v>10755.589999999998</v>
      </c>
      <c r="I28" s="9">
        <f t="shared" si="8"/>
        <v>0</v>
      </c>
      <c r="J28" s="9">
        <f t="shared" si="8"/>
        <v>12263.149999999998</v>
      </c>
      <c r="K28" s="9">
        <f t="shared" si="8"/>
        <v>8613.850000000002</v>
      </c>
      <c r="L28" s="9">
        <f t="shared" si="8"/>
        <v>3095.432500000001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387.92</v>
      </c>
      <c r="E30" s="26">
        <v>2082.03</v>
      </c>
      <c r="F30" s="26">
        <v>0</v>
      </c>
      <c r="G30" s="26">
        <f>'2-18-10'!G30+'3-4-10'!D30</f>
        <v>1802.3000000000002</v>
      </c>
      <c r="H30" s="26">
        <f>'2-18-10'!H30+'3-4-10'!E30</f>
        <v>35783.15</v>
      </c>
      <c r="I30" s="26">
        <f>'2-18-10'!I30+'3-4-10'!F30</f>
        <v>0</v>
      </c>
      <c r="J30" s="6">
        <f>SUM(G30:I30)</f>
        <v>37585.450000000004</v>
      </c>
      <c r="K30" s="26">
        <f>C30-J30</f>
        <v>24085.549999999996</v>
      </c>
      <c r="L30" s="26">
        <f>C30-(J30/18*26.1)</f>
        <v>7172.097499999989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619.8</v>
      </c>
      <c r="F31" s="26">
        <v>0</v>
      </c>
      <c r="G31" s="26">
        <f>'2-18-10'!G31+'3-4-10'!D31</f>
        <v>0</v>
      </c>
      <c r="H31" s="26">
        <f>'2-18-10'!H31+'3-4-10'!E31</f>
        <v>9094.619999999999</v>
      </c>
      <c r="I31" s="26">
        <f>'2-18-10'!I31+'3-4-10'!F31</f>
        <v>0</v>
      </c>
      <c r="J31" s="6">
        <f>SUM(G31:I31)</f>
        <v>9094.619999999999</v>
      </c>
      <c r="K31" s="6">
        <f>C31-J31</f>
        <v>6986.380000000001</v>
      </c>
      <c r="L31" s="26">
        <f>C31-(J31/18*26.1)</f>
        <v>2893.8010000000013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>SUM(D30:D31)</f>
        <v>387.92</v>
      </c>
      <c r="E32" s="9">
        <f aca="true" t="shared" si="9" ref="E32:L32">SUM(E30:E31)</f>
        <v>2701.83</v>
      </c>
      <c r="F32" s="9">
        <f t="shared" si="9"/>
        <v>0</v>
      </c>
      <c r="G32" s="9">
        <f t="shared" si="9"/>
        <v>1802.3000000000002</v>
      </c>
      <c r="H32" s="9">
        <f t="shared" si="9"/>
        <v>44877.770000000004</v>
      </c>
      <c r="I32" s="9">
        <f t="shared" si="9"/>
        <v>0</v>
      </c>
      <c r="J32" s="9">
        <f t="shared" si="9"/>
        <v>46680.07000000001</v>
      </c>
      <c r="K32" s="9">
        <f t="shared" si="9"/>
        <v>31071.929999999997</v>
      </c>
      <c r="L32" s="9">
        <f t="shared" si="9"/>
        <v>10065.89849999999</v>
      </c>
    </row>
    <row r="33" spans="1:12" s="24" customFormat="1" ht="11.25">
      <c r="A33" s="23"/>
      <c r="B33" s="23"/>
      <c r="C33" s="14">
        <f aca="true" t="shared" si="10" ref="C33:L33">C16+C24+C28+C32</f>
        <v>339413</v>
      </c>
      <c r="D33" s="14">
        <f t="shared" si="10"/>
        <v>4863.51</v>
      </c>
      <c r="E33" s="14">
        <f t="shared" si="10"/>
        <v>7536.740000000001</v>
      </c>
      <c r="F33" s="14">
        <f t="shared" si="10"/>
        <v>0</v>
      </c>
      <c r="G33" s="14">
        <f t="shared" si="10"/>
        <v>53466.92</v>
      </c>
      <c r="H33" s="14">
        <f t="shared" si="10"/>
        <v>131594.29</v>
      </c>
      <c r="I33" s="14">
        <f t="shared" si="10"/>
        <v>0</v>
      </c>
      <c r="J33" s="14">
        <f t="shared" si="10"/>
        <v>185061.21</v>
      </c>
      <c r="K33" s="14">
        <f t="shared" si="10"/>
        <v>154351.79</v>
      </c>
      <c r="L33" s="14">
        <f t="shared" si="10"/>
        <v>71074.24549999996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3-4-10</oddHeader>
    <oddFooter>&amp;CFY 2009-2010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7">
      <selection activeCell="J13" sqref="J13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117.53</v>
      </c>
      <c r="E4" s="26">
        <v>13.07</v>
      </c>
      <c r="F4" s="26">
        <v>0</v>
      </c>
      <c r="G4" s="26">
        <f>'3-4-10'!G4+'3-18-10'!D4</f>
        <v>1856.0500000000002</v>
      </c>
      <c r="H4" s="26">
        <f>'3-4-10'!H4+'3-18-10'!E4</f>
        <v>4599.6399999999985</v>
      </c>
      <c r="I4" s="26">
        <f>'3-4-10'!I4+'3-18-10'!F4</f>
        <v>0</v>
      </c>
      <c r="J4" s="44">
        <f>SUM(G4:I4)</f>
        <v>6455.689999999999</v>
      </c>
      <c r="K4" s="26">
        <f>C4-J4</f>
        <v>6863.310000000001</v>
      </c>
      <c r="L4" s="26">
        <f>C4-(J4/19*26.1)</f>
        <v>4450.920578947371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190.8</v>
      </c>
      <c r="E5" s="26">
        <v>0</v>
      </c>
      <c r="F5" s="26">
        <v>0</v>
      </c>
      <c r="G5" s="26">
        <f>'3-4-10'!G5+'3-18-10'!D5</f>
        <v>7538.9400000000005</v>
      </c>
      <c r="H5" s="26">
        <f>'3-4-10'!H5+'3-18-10'!E5</f>
        <v>4921.990000000002</v>
      </c>
      <c r="I5" s="26">
        <f>'3-4-10'!I5+'3-18-10'!F5</f>
        <v>0</v>
      </c>
      <c r="J5" s="46">
        <f aca="true" t="shared" si="0" ref="J5:J15">SUM(G5:I5)</f>
        <v>12460.930000000002</v>
      </c>
      <c r="K5" s="6">
        <f aca="true" t="shared" si="1" ref="K5:K15">C5-J5</f>
        <v>9588.069999999998</v>
      </c>
      <c r="L5" s="26">
        <f aca="true" t="shared" si="2" ref="L5:L15">C5-(J5/19*26.1)</f>
        <v>4931.61721052631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81.46</v>
      </c>
      <c r="E6" s="44">
        <v>167.63</v>
      </c>
      <c r="F6" s="26">
        <v>0</v>
      </c>
      <c r="G6" s="26">
        <f>'3-4-10'!G6+'3-18-10'!D6</f>
        <v>1991.3800000000003</v>
      </c>
      <c r="H6" s="26">
        <f>'3-4-10'!H6+'3-18-10'!E6</f>
        <v>4589.570000000001</v>
      </c>
      <c r="I6" s="26">
        <f>'3-4-10'!I6+'3-18-10'!F6</f>
        <v>0</v>
      </c>
      <c r="J6" s="46">
        <f t="shared" si="0"/>
        <v>6580.950000000001</v>
      </c>
      <c r="K6" s="6">
        <f t="shared" si="1"/>
        <v>7020.049999999999</v>
      </c>
      <c r="L6" s="26">
        <f t="shared" si="2"/>
        <v>4560.852894736841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111.02</v>
      </c>
      <c r="E7" s="26">
        <v>0</v>
      </c>
      <c r="F7" s="26">
        <v>0</v>
      </c>
      <c r="G7" s="26">
        <f>'3-4-10'!G7+'3-18-10'!D7</f>
        <v>4137.51</v>
      </c>
      <c r="H7" s="26">
        <f>'3-4-10'!H7+'3-18-10'!E7</f>
        <v>135.97</v>
      </c>
      <c r="I7" s="26">
        <f>'3-4-10'!I7+'3-18-10'!F7</f>
        <v>0</v>
      </c>
      <c r="J7" s="46">
        <f t="shared" si="0"/>
        <v>4273.4800000000005</v>
      </c>
      <c r="K7" s="6">
        <f t="shared" si="1"/>
        <v>2276.5199999999995</v>
      </c>
      <c r="L7" s="26">
        <f t="shared" si="2"/>
        <v>679.5879999999988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100.49</v>
      </c>
      <c r="E8" s="26">
        <v>0</v>
      </c>
      <c r="F8" s="26">
        <v>0</v>
      </c>
      <c r="G8" s="26">
        <f>'3-4-10'!G8+'3-18-10'!D8</f>
        <v>3525.77</v>
      </c>
      <c r="H8" s="26">
        <f>'3-4-10'!H8+'3-18-10'!E8</f>
        <v>0</v>
      </c>
      <c r="I8" s="26">
        <f>'3-4-10'!I8+'3-18-10'!F8</f>
        <v>0</v>
      </c>
      <c r="J8" s="46">
        <f t="shared" si="0"/>
        <v>3525.77</v>
      </c>
      <c r="K8" s="6">
        <f t="shared" si="1"/>
        <v>6257.23</v>
      </c>
      <c r="L8" s="26">
        <f t="shared" si="2"/>
        <v>4939.705421052631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219.23</v>
      </c>
      <c r="E9" s="26">
        <v>315</v>
      </c>
      <c r="F9" s="26">
        <v>0</v>
      </c>
      <c r="G9" s="26">
        <f>'3-4-10'!G9+'3-18-10'!D9</f>
        <v>3481.8999999999996</v>
      </c>
      <c r="H9" s="26">
        <f>'3-4-10'!H9+'3-18-10'!E9</f>
        <v>832.5</v>
      </c>
      <c r="I9" s="26">
        <f>'3-4-10'!I9+'3-18-10'!F9</f>
        <v>0</v>
      </c>
      <c r="J9" s="46">
        <f t="shared" si="0"/>
        <v>4314.4</v>
      </c>
      <c r="K9" s="6">
        <f t="shared" si="1"/>
        <v>3691.6000000000004</v>
      </c>
      <c r="L9" s="26">
        <f t="shared" si="2"/>
        <v>2079.3768421052637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277.92</v>
      </c>
      <c r="E10" s="26">
        <f>549.48+6.8+334.34-207.46-226.9</f>
        <v>456.2599999999999</v>
      </c>
      <c r="F10" s="26">
        <v>0</v>
      </c>
      <c r="G10" s="26">
        <f>'3-4-10'!G10+'3-18-10'!D10</f>
        <v>5029.450000000001</v>
      </c>
      <c r="H10" s="26">
        <f>'3-4-10'!H10+'3-18-10'!E10</f>
        <v>11904.499999999998</v>
      </c>
      <c r="I10" s="26">
        <f>'3-4-10'!I10+'3-18-10'!F10</f>
        <v>0</v>
      </c>
      <c r="J10" s="46">
        <f t="shared" si="0"/>
        <v>16933.949999999997</v>
      </c>
      <c r="K10" s="6">
        <f t="shared" si="1"/>
        <v>8262.050000000003</v>
      </c>
      <c r="L10" s="26">
        <f t="shared" si="2"/>
        <v>1934.1002631578958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'3-4-10'!G11+'3-18-10'!D11</f>
        <v>0</v>
      </c>
      <c r="H11" s="26">
        <f>'3-4-10'!H11+'3-18-10'!E11</f>
        <v>5805.36</v>
      </c>
      <c r="I11" s="26">
        <f>'3-4-10'!I11+'3-18-10'!F11</f>
        <v>0</v>
      </c>
      <c r="J11" s="46">
        <f t="shared" si="0"/>
        <v>5805.36</v>
      </c>
      <c r="K11" s="6">
        <f t="shared" si="1"/>
        <v>1694.6400000000003</v>
      </c>
      <c r="L11" s="26">
        <f t="shared" si="2"/>
        <v>-474.73136842105305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72.05</v>
      </c>
      <c r="E12" s="26">
        <v>159.5</v>
      </c>
      <c r="F12" s="26">
        <v>0</v>
      </c>
      <c r="G12" s="26">
        <f>'3-4-10'!G12+'3-18-10'!D12</f>
        <v>1109.61</v>
      </c>
      <c r="H12" s="26">
        <f>'3-4-10'!H12+'3-18-10'!E12</f>
        <v>1557.15</v>
      </c>
      <c r="I12" s="26">
        <f>'3-4-10'!I12+'3-18-10'!F12</f>
        <v>0</v>
      </c>
      <c r="J12" s="46">
        <f t="shared" si="0"/>
        <v>2666.76</v>
      </c>
      <c r="K12" s="6">
        <f t="shared" si="1"/>
        <v>1477.2399999999998</v>
      </c>
      <c r="L12" s="26">
        <f t="shared" si="2"/>
        <v>480.71389473684167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96.67</v>
      </c>
      <c r="E13" s="26">
        <v>159.03</v>
      </c>
      <c r="F13" s="26">
        <v>0</v>
      </c>
      <c r="G13" s="26">
        <f>'3-4-10'!G13+'3-18-10'!D13</f>
        <v>1420.3300000000002</v>
      </c>
      <c r="H13" s="26">
        <f>'3-4-10'!H13+'3-18-10'!E13</f>
        <v>7471.34</v>
      </c>
      <c r="I13" s="26">
        <f>'3-4-10'!I13+'3-18-10'!F13</f>
        <v>0</v>
      </c>
      <c r="J13" s="46">
        <f>SUM(G13:I13)</f>
        <v>8891.67</v>
      </c>
      <c r="K13" s="6">
        <f t="shared" si="1"/>
        <v>11282.33</v>
      </c>
      <c r="L13" s="26">
        <f t="shared" si="2"/>
        <v>7959.653315789474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238.66</v>
      </c>
      <c r="E14" s="26">
        <v>583.4</v>
      </c>
      <c r="F14" s="26">
        <v>0</v>
      </c>
      <c r="G14" s="26">
        <f>'3-4-10'!G14+'3-18-10'!D14</f>
        <v>8295.689999999999</v>
      </c>
      <c r="H14" s="26">
        <f>'3-4-10'!H14+'3-18-10'!E14</f>
        <v>11620.02</v>
      </c>
      <c r="I14" s="26">
        <f>'3-4-10'!I14+'3-18-10'!F14</f>
        <v>0</v>
      </c>
      <c r="J14" s="46">
        <f t="shared" si="0"/>
        <v>19915.71</v>
      </c>
      <c r="K14" s="6">
        <f t="shared" si="1"/>
        <v>11093.29</v>
      </c>
      <c r="L14" s="26">
        <f t="shared" si="2"/>
        <v>3651.103631578946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48.43</v>
      </c>
      <c r="E15" s="26">
        <v>122.72</v>
      </c>
      <c r="F15" s="26">
        <v>0</v>
      </c>
      <c r="G15" s="26">
        <f>'3-4-10'!G15+'3-18-10'!D15</f>
        <v>2286.4499999999994</v>
      </c>
      <c r="H15" s="26">
        <f>'3-4-10'!H15+'3-18-10'!E15</f>
        <v>5497.799999999999</v>
      </c>
      <c r="I15" s="26">
        <f>'3-4-10'!I15+'3-18-10'!F15</f>
        <v>0</v>
      </c>
      <c r="J15" s="46">
        <f t="shared" si="0"/>
        <v>7784.249999999998</v>
      </c>
      <c r="K15" s="6">
        <f t="shared" si="1"/>
        <v>5507.750000000002</v>
      </c>
      <c r="L15" s="26">
        <f t="shared" si="2"/>
        <v>2598.898684210528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1554.2600000000002</v>
      </c>
      <c r="E16" s="25">
        <f t="shared" si="3"/>
        <v>2361.2299999999996</v>
      </c>
      <c r="F16" s="25">
        <f t="shared" si="3"/>
        <v>0</v>
      </c>
      <c r="G16" s="25">
        <f t="shared" si="3"/>
        <v>40673.08</v>
      </c>
      <c r="H16" s="25">
        <f t="shared" si="3"/>
        <v>58935.84000000001</v>
      </c>
      <c r="I16" s="25">
        <f t="shared" si="3"/>
        <v>0</v>
      </c>
      <c r="J16" s="49">
        <f t="shared" si="3"/>
        <v>99608.92000000001</v>
      </c>
      <c r="K16" s="25">
        <f t="shared" si="3"/>
        <v>75014.08</v>
      </c>
      <c r="L16" s="9">
        <f t="shared" si="3"/>
        <v>37791.799368421045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65.32</v>
      </c>
      <c r="E18" s="6">
        <v>457.63</v>
      </c>
      <c r="F18" s="6">
        <v>0</v>
      </c>
      <c r="G18" s="6">
        <f>'3-4-10'!G18+'3-18-10'!D18</f>
        <v>1617.5799999999997</v>
      </c>
      <c r="H18" s="6">
        <f>'3-4-10'!H18+'3-18-10'!E18</f>
        <v>9034.55</v>
      </c>
      <c r="I18" s="6">
        <f>'3-4-10'!I18+'3-18-10'!F18</f>
        <v>0</v>
      </c>
      <c r="J18" s="46">
        <f aca="true" t="shared" si="4" ref="J18:J23">SUM(G18:I18)</f>
        <v>10652.13</v>
      </c>
      <c r="K18" s="6">
        <f aca="true" t="shared" si="5" ref="K18:K23">C18-J18</f>
        <v>5238.870000000001</v>
      </c>
      <c r="L18" s="6">
        <f aca="true" t="shared" si="6" ref="L18:L23">C18-(J18/19*26.1)</f>
        <v>1258.3372105263152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158.28</v>
      </c>
      <c r="E19" s="26">
        <v>117.21</v>
      </c>
      <c r="F19" s="26">
        <v>0</v>
      </c>
      <c r="G19" s="26">
        <f>'3-4-10'!G19+'3-18-10'!D19</f>
        <v>2429.13</v>
      </c>
      <c r="H19" s="26">
        <f>'3-4-10'!H19+'3-18-10'!E19</f>
        <v>5656.950000000002</v>
      </c>
      <c r="I19" s="26">
        <f>'3-4-10'!I19+'3-18-10'!F19</f>
        <v>0</v>
      </c>
      <c r="J19" s="46">
        <f t="shared" si="4"/>
        <v>8086.080000000002</v>
      </c>
      <c r="K19" s="6">
        <f t="shared" si="5"/>
        <v>7306.919999999998</v>
      </c>
      <c r="L19" s="26">
        <f t="shared" si="6"/>
        <v>4285.279578947366</v>
      </c>
    </row>
    <row r="20" spans="1:12" s="24" customFormat="1" ht="11.25">
      <c r="A20" s="7" t="s">
        <v>33</v>
      </c>
      <c r="B20" s="7">
        <v>55030100</v>
      </c>
      <c r="C20" s="8">
        <f>14568-1092.14</f>
        <v>13475.86</v>
      </c>
      <c r="D20" s="26">
        <v>146.84</v>
      </c>
      <c r="E20" s="26">
        <v>87</v>
      </c>
      <c r="F20" s="26">
        <v>0</v>
      </c>
      <c r="G20" s="26">
        <f>'3-4-10'!G20+'3-18-10'!D20</f>
        <v>2589.84</v>
      </c>
      <c r="H20" s="26">
        <f>'3-4-10'!H20+'3-18-10'!E20</f>
        <v>2468.21</v>
      </c>
      <c r="I20" s="26">
        <f>'3-4-10'!I20+'3-18-10'!F20</f>
        <v>0</v>
      </c>
      <c r="J20" s="46">
        <f t="shared" si="4"/>
        <v>5058.05</v>
      </c>
      <c r="K20" s="6">
        <f t="shared" si="5"/>
        <v>8417.810000000001</v>
      </c>
      <c r="L20" s="26">
        <f t="shared" si="6"/>
        <v>6527.696578947368</v>
      </c>
    </row>
    <row r="21" spans="1:12" s="24" customFormat="1" ht="11.25">
      <c r="A21" s="7" t="s">
        <v>23</v>
      </c>
      <c r="B21" s="7">
        <v>55100100</v>
      </c>
      <c r="C21" s="8">
        <f>6082-4056</f>
        <v>2026</v>
      </c>
      <c r="D21" s="26">
        <v>14.91</v>
      </c>
      <c r="E21" s="26">
        <v>72.5</v>
      </c>
      <c r="F21" s="26">
        <v>0</v>
      </c>
      <c r="G21" s="26">
        <f>'3-4-10'!G21+'3-18-10'!D21</f>
        <v>331.10999999999996</v>
      </c>
      <c r="H21" s="26">
        <f>'3-4-10'!H21+'3-18-10'!E21</f>
        <v>601.75</v>
      </c>
      <c r="I21" s="26">
        <f>'3-4-10'!I21+'3-18-10'!F21</f>
        <v>0</v>
      </c>
      <c r="J21" s="46">
        <f t="shared" si="4"/>
        <v>932.8599999999999</v>
      </c>
      <c r="K21" s="6">
        <f t="shared" si="5"/>
        <v>1093.14</v>
      </c>
      <c r="L21" s="26">
        <f t="shared" si="6"/>
        <v>744.5449473684212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187.32</v>
      </c>
      <c r="E22" s="26">
        <v>549.25</v>
      </c>
      <c r="F22" s="26">
        <v>0</v>
      </c>
      <c r="G22" s="26">
        <f>'3-4-10'!G22+'3-18-10'!D22</f>
        <v>2736.53</v>
      </c>
      <c r="H22" s="26">
        <f>'3-4-10'!H22+'3-18-10'!E22</f>
        <v>2908.4500000000003</v>
      </c>
      <c r="I22" s="26">
        <f>'3-4-10'!I22+'3-18-10'!F22</f>
        <v>0</v>
      </c>
      <c r="J22" s="46">
        <f t="shared" si="4"/>
        <v>5644.9800000000005</v>
      </c>
      <c r="K22" s="6">
        <f t="shared" si="5"/>
        <v>2047.0199999999995</v>
      </c>
      <c r="L22" s="26">
        <f t="shared" si="6"/>
        <v>-62.41989473684316</v>
      </c>
    </row>
    <row r="23" spans="1:12" s="24" customFormat="1" ht="11.25">
      <c r="A23" s="7" t="s">
        <v>25</v>
      </c>
      <c r="B23" s="19">
        <v>55110100</v>
      </c>
      <c r="C23" s="8">
        <f>8035-1500-2800</f>
        <v>3735</v>
      </c>
      <c r="D23" s="26">
        <v>88.82</v>
      </c>
      <c r="E23" s="26">
        <v>0</v>
      </c>
      <c r="F23" s="26">
        <v>0</v>
      </c>
      <c r="G23" s="26">
        <f>'3-4-10'!G23+'3-18-10'!D23</f>
        <v>1995.5400000000002</v>
      </c>
      <c r="H23" s="26">
        <f>'3-4-10'!H23+'3-18-10'!E23</f>
        <v>0</v>
      </c>
      <c r="I23" s="26">
        <f>'3-4-10'!I23+'3-18-10'!F23</f>
        <v>0</v>
      </c>
      <c r="J23" s="46">
        <f t="shared" si="4"/>
        <v>1995.5400000000002</v>
      </c>
      <c r="K23" s="6">
        <f t="shared" si="5"/>
        <v>1739.4599999999998</v>
      </c>
      <c r="L23" s="26">
        <f t="shared" si="6"/>
        <v>993.7582105263155</v>
      </c>
    </row>
    <row r="24" spans="1:12" s="24" customFormat="1" ht="11.25">
      <c r="A24" s="16" t="s">
        <v>26</v>
      </c>
      <c r="B24" s="20"/>
      <c r="C24" s="9">
        <f>SUM(C18:C23)</f>
        <v>58212.86</v>
      </c>
      <c r="D24" s="9">
        <f>SUM(D18:D23)</f>
        <v>661.49</v>
      </c>
      <c r="E24" s="9">
        <f aca="true" t="shared" si="7" ref="E24:L24">SUM(E18:E23)</f>
        <v>1283.5900000000001</v>
      </c>
      <c r="F24" s="9">
        <f t="shared" si="7"/>
        <v>0</v>
      </c>
      <c r="G24" s="9">
        <f t="shared" si="7"/>
        <v>11699.730000000001</v>
      </c>
      <c r="H24" s="9">
        <f t="shared" si="7"/>
        <v>20669.91</v>
      </c>
      <c r="I24" s="9">
        <f t="shared" si="7"/>
        <v>0</v>
      </c>
      <c r="J24" s="9">
        <f t="shared" si="7"/>
        <v>32369.64</v>
      </c>
      <c r="K24" s="9">
        <f t="shared" si="7"/>
        <v>25843.219999999998</v>
      </c>
      <c r="L24" s="9">
        <f t="shared" si="7"/>
        <v>13747.196631578941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596</v>
      </c>
      <c r="F26" s="26">
        <v>0</v>
      </c>
      <c r="G26" s="26">
        <f>'3-4-10'!G26+'3-18-10'!D26</f>
        <v>0</v>
      </c>
      <c r="H26" s="26">
        <f>'3-4-10'!H26+'3-18-10'!E26</f>
        <v>9770.679999999998</v>
      </c>
      <c r="I26" s="26">
        <f>'3-4-10'!I26+'3-18-10'!F26</f>
        <v>0</v>
      </c>
      <c r="J26" s="46">
        <f>SUM(G26:I26)</f>
        <v>9770.679999999998</v>
      </c>
      <c r="K26" s="26">
        <f>C26-J26</f>
        <v>12261.320000000002</v>
      </c>
      <c r="L26" s="26">
        <f>C26-(J26/19*26.1)</f>
        <v>8610.17115789474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35.02</v>
      </c>
      <c r="E27" s="26">
        <v>23.56</v>
      </c>
      <c r="F27" s="26">
        <v>0</v>
      </c>
      <c r="G27" s="26">
        <f>'3-4-10'!G27+'3-18-10'!D27</f>
        <v>1542.5800000000004</v>
      </c>
      <c r="H27" s="26">
        <f>'3-4-10'!H27+'3-18-10'!E27</f>
        <v>1604.4699999999998</v>
      </c>
      <c r="I27" s="26">
        <f>'3-4-10'!I27+'3-18-10'!F27</f>
        <v>0</v>
      </c>
      <c r="J27" s="46">
        <f>SUM(G27:I27)</f>
        <v>3147.05</v>
      </c>
      <c r="K27" s="6">
        <f>C27-J27</f>
        <v>2553.95</v>
      </c>
      <c r="L27" s="26">
        <f>C27-(J27/19*26.1)</f>
        <v>1377.947105263157</v>
      </c>
    </row>
    <row r="28" spans="1:12" s="24" customFormat="1" ht="11.25">
      <c r="A28" s="16" t="s">
        <v>29</v>
      </c>
      <c r="B28" s="20"/>
      <c r="C28" s="9">
        <f>SUM(C26:C27)</f>
        <v>27733</v>
      </c>
      <c r="D28" s="9">
        <f>SUM(D26:D27)</f>
        <v>35.02</v>
      </c>
      <c r="E28" s="9">
        <f>SUM(E26:E27)</f>
        <v>619.56</v>
      </c>
      <c r="F28" s="9">
        <f aca="true" t="shared" si="8" ref="F28:L28">SUM(F26:F27)</f>
        <v>0</v>
      </c>
      <c r="G28" s="9">
        <f t="shared" si="8"/>
        <v>1542.5800000000004</v>
      </c>
      <c r="H28" s="9">
        <f t="shared" si="8"/>
        <v>11375.149999999998</v>
      </c>
      <c r="I28" s="9">
        <f t="shared" si="8"/>
        <v>0</v>
      </c>
      <c r="J28" s="9">
        <f t="shared" si="8"/>
        <v>12917.73</v>
      </c>
      <c r="K28" s="9">
        <f t="shared" si="8"/>
        <v>14815.27</v>
      </c>
      <c r="L28" s="9">
        <f t="shared" si="8"/>
        <v>9988.118263157896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209.52</v>
      </c>
      <c r="E30" s="26">
        <v>1667.76</v>
      </c>
      <c r="F30" s="26">
        <v>0</v>
      </c>
      <c r="G30" s="26">
        <f>'3-4-10'!G30+'3-18-10'!D30</f>
        <v>2011.8200000000002</v>
      </c>
      <c r="H30" s="26">
        <f>'3-4-10'!H30+'3-18-10'!E30</f>
        <v>37450.91</v>
      </c>
      <c r="I30" s="26">
        <f>'3-4-10'!I30+'3-18-10'!F30</f>
        <v>0</v>
      </c>
      <c r="J30" s="46">
        <f>SUM(G30:I30)</f>
        <v>39462.73</v>
      </c>
      <c r="K30" s="26">
        <f>C30-J30</f>
        <v>22208.269999999997</v>
      </c>
      <c r="L30" s="26">
        <f>C30-(J30/19*26.1)</f>
        <v>7461.670894736839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585.32</v>
      </c>
      <c r="F31" s="26">
        <v>0</v>
      </c>
      <c r="G31" s="26">
        <f>'3-4-10'!G31+'3-18-10'!D31</f>
        <v>0</v>
      </c>
      <c r="H31" s="26">
        <f>'3-4-10'!H31+'3-18-10'!E31</f>
        <v>9679.939999999999</v>
      </c>
      <c r="I31" s="26">
        <f>'3-4-10'!I31+'3-18-10'!F31</f>
        <v>0</v>
      </c>
      <c r="J31" s="6">
        <f>SUM(G31:I31)</f>
        <v>9679.939999999999</v>
      </c>
      <c r="K31" s="6">
        <f>C31-J31</f>
        <v>6401.060000000001</v>
      </c>
      <c r="L31" s="26">
        <f>C31-(J31/19*26.1)</f>
        <v>2783.819263157895</v>
      </c>
    </row>
    <row r="32" spans="1:12" s="24" customFormat="1" ht="11.25">
      <c r="A32" s="21" t="s">
        <v>32</v>
      </c>
      <c r="B32" s="54"/>
      <c r="C32" s="55">
        <f>SUM(C30:C31)</f>
        <v>77752</v>
      </c>
      <c r="D32" s="9">
        <f>SUM(D30:D31)</f>
        <v>209.52</v>
      </c>
      <c r="E32" s="9">
        <f>SUM(E30:E31)</f>
        <v>2253.08</v>
      </c>
      <c r="F32" s="9">
        <f aca="true" t="shared" si="9" ref="F32:L32">SUM(F30:F31)</f>
        <v>0</v>
      </c>
      <c r="G32" s="9">
        <f t="shared" si="9"/>
        <v>2011.8200000000002</v>
      </c>
      <c r="H32" s="9">
        <f t="shared" si="9"/>
        <v>47130.850000000006</v>
      </c>
      <c r="I32" s="9">
        <f t="shared" si="9"/>
        <v>0</v>
      </c>
      <c r="J32" s="9">
        <f t="shared" si="9"/>
        <v>49142.67</v>
      </c>
      <c r="K32" s="9">
        <f t="shared" si="9"/>
        <v>28609.329999999998</v>
      </c>
      <c r="L32" s="9">
        <f t="shared" si="9"/>
        <v>10245.490157894734</v>
      </c>
    </row>
    <row r="33" spans="1:12" s="24" customFormat="1" ht="11.25">
      <c r="A33" s="23"/>
      <c r="B33" s="23"/>
      <c r="C33" s="14">
        <f aca="true" t="shared" si="10" ref="C33:L33">C16+C24+C28+C32</f>
        <v>338320.86</v>
      </c>
      <c r="D33" s="14">
        <f t="shared" si="10"/>
        <v>2460.29</v>
      </c>
      <c r="E33" s="14">
        <f t="shared" si="10"/>
        <v>6517.459999999999</v>
      </c>
      <c r="F33" s="14">
        <f t="shared" si="10"/>
        <v>0</v>
      </c>
      <c r="G33" s="14">
        <f t="shared" si="10"/>
        <v>55927.21000000001</v>
      </c>
      <c r="H33" s="14">
        <f t="shared" si="10"/>
        <v>138111.75</v>
      </c>
      <c r="I33" s="14">
        <f t="shared" si="10"/>
        <v>0</v>
      </c>
      <c r="J33" s="14">
        <f t="shared" si="10"/>
        <v>194038.96000000002</v>
      </c>
      <c r="K33" s="14">
        <f t="shared" si="10"/>
        <v>144281.9</v>
      </c>
      <c r="L33" s="14">
        <f t="shared" si="10"/>
        <v>71772.60442105262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52" t="s">
        <v>40</v>
      </c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52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3-18-10</oddHeader>
    <oddFooter>&amp;CFY 2009-2010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A7" sqref="A7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51.75</v>
      </c>
      <c r="E4" s="26">
        <v>741.94</v>
      </c>
      <c r="F4" s="26">
        <v>0</v>
      </c>
      <c r="G4" s="26">
        <f>'7-9-09'!G4+'7-23-09'!D4</f>
        <v>82.8</v>
      </c>
      <c r="H4" s="26">
        <f>'7-9-09'!H4+'7-23-09'!E4</f>
        <v>1260.15</v>
      </c>
      <c r="I4" s="26">
        <f>'7-9-09'!I4+'7-23-09'!F4</f>
        <v>0</v>
      </c>
      <c r="J4" s="44">
        <f>SUM(G4:I4)</f>
        <v>1342.95</v>
      </c>
      <c r="K4" s="26">
        <f>C4-J4</f>
        <v>11976.05</v>
      </c>
      <c r="L4" s="26">
        <f>C4-(J4/2*26.1)</f>
        <v>-4206.497500000001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424.65</v>
      </c>
      <c r="E5" s="26">
        <v>623.39</v>
      </c>
      <c r="F5" s="26">
        <v>0</v>
      </c>
      <c r="G5" s="26">
        <f>'7-9-09'!G5+'7-23-09'!D5</f>
        <v>591.13</v>
      </c>
      <c r="H5" s="26">
        <f>'7-9-09'!H5+'7-23-09'!E5</f>
        <v>949.11</v>
      </c>
      <c r="I5" s="26">
        <f>'7-9-09'!I5+'7-23-09'!F5</f>
        <v>0</v>
      </c>
      <c r="J5" s="46">
        <f aca="true" t="shared" si="0" ref="J5:J15">SUM(G5:I5)</f>
        <v>1540.24</v>
      </c>
      <c r="K5" s="6">
        <f aca="true" t="shared" si="1" ref="K5:K15">C5-J5</f>
        <v>20508.76</v>
      </c>
      <c r="L5" s="26">
        <f aca="true" t="shared" si="2" ref="L5:L15">C5-(J5/2*26.1)</f>
        <v>1948.8679999999986</v>
      </c>
    </row>
    <row r="6" spans="1:12" s="24" customFormat="1" ht="11.25">
      <c r="A6" s="7" t="s">
        <v>14</v>
      </c>
      <c r="B6" s="7">
        <v>55020500</v>
      </c>
      <c r="C6" s="8">
        <v>6601</v>
      </c>
      <c r="D6" s="26">
        <v>27.98</v>
      </c>
      <c r="E6" s="26">
        <v>472.74</v>
      </c>
      <c r="F6" s="26">
        <v>0</v>
      </c>
      <c r="G6" s="26">
        <f>'7-9-09'!G6+'7-23-09'!D6</f>
        <v>63</v>
      </c>
      <c r="H6" s="26">
        <f>'7-9-09'!H6+'7-23-09'!E6</f>
        <v>682.03</v>
      </c>
      <c r="I6" s="26">
        <f>'7-9-09'!I6+'7-23-09'!F6</f>
        <v>0</v>
      </c>
      <c r="J6" s="46">
        <f t="shared" si="0"/>
        <v>745.03</v>
      </c>
      <c r="K6" s="6">
        <f t="shared" si="1"/>
        <v>5855.97</v>
      </c>
      <c r="L6" s="26">
        <f t="shared" si="2"/>
        <v>-3121.6414999999997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199.54</v>
      </c>
      <c r="E7" s="26">
        <v>59.6</v>
      </c>
      <c r="F7" s="26">
        <v>0</v>
      </c>
      <c r="G7" s="26">
        <f>'7-9-09'!G7+'7-23-09'!D7</f>
        <v>308.06</v>
      </c>
      <c r="H7" s="26">
        <f>'7-9-09'!H7+'7-23-09'!E7</f>
        <v>94.99000000000001</v>
      </c>
      <c r="I7" s="26">
        <f>'7-9-09'!I7+'7-23-09'!F7</f>
        <v>0</v>
      </c>
      <c r="J7" s="46">
        <f t="shared" si="0"/>
        <v>403.05</v>
      </c>
      <c r="K7" s="6">
        <f t="shared" si="1"/>
        <v>6146.95</v>
      </c>
      <c r="L7" s="26">
        <f t="shared" si="2"/>
        <v>1290.1974999999993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87.05</v>
      </c>
      <c r="E8" s="26">
        <v>0</v>
      </c>
      <c r="F8" s="26">
        <v>0</v>
      </c>
      <c r="G8" s="26">
        <f>'7-9-09'!G8+'7-23-09'!D8</f>
        <v>201.31</v>
      </c>
      <c r="H8" s="26">
        <f>'7-9-09'!H8+'7-23-09'!E8</f>
        <v>0</v>
      </c>
      <c r="I8" s="26">
        <f>'7-9-09'!I8+'7-23-09'!F8</f>
        <v>0</v>
      </c>
      <c r="J8" s="46">
        <f t="shared" si="0"/>
        <v>201.31</v>
      </c>
      <c r="K8" s="6">
        <f t="shared" si="1"/>
        <v>9581.69</v>
      </c>
      <c r="L8" s="26">
        <f t="shared" si="2"/>
        <v>7155.9045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0</v>
      </c>
      <c r="E9" s="26">
        <v>0</v>
      </c>
      <c r="F9" s="26">
        <v>0</v>
      </c>
      <c r="G9" s="26">
        <f>'7-9-09'!G9+'7-23-09'!D9</f>
        <v>0</v>
      </c>
      <c r="H9" s="26">
        <f>'7-9-09'!H9+'7-23-09'!E9</f>
        <v>0</v>
      </c>
      <c r="I9" s="26">
        <f>'7-9-09'!I9+'7-23-09'!F9</f>
        <v>0</v>
      </c>
      <c r="J9" s="46">
        <f t="shared" si="0"/>
        <v>0</v>
      </c>
      <c r="K9" s="6">
        <f t="shared" si="1"/>
        <v>8006</v>
      </c>
      <c r="L9" s="26">
        <f t="shared" si="2"/>
        <v>8006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151.43</v>
      </c>
      <c r="E10" s="26">
        <v>981.98</v>
      </c>
      <c r="F10" s="26">
        <v>0</v>
      </c>
      <c r="G10" s="26">
        <f>'7-9-09'!G10+'7-23-09'!D10</f>
        <v>219.18</v>
      </c>
      <c r="H10" s="26">
        <f>'7-9-09'!H10+'7-23-09'!E10</f>
        <v>1829.06</v>
      </c>
      <c r="I10" s="26">
        <f>'7-9-09'!I10+'7-23-09'!F10</f>
        <v>0</v>
      </c>
      <c r="J10" s="46">
        <f t="shared" si="0"/>
        <v>2048.24</v>
      </c>
      <c r="K10" s="6">
        <f t="shared" si="1"/>
        <v>23147.760000000002</v>
      </c>
      <c r="L10" s="26">
        <f t="shared" si="2"/>
        <v>-1533.5319999999992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0</v>
      </c>
      <c r="F11" s="26">
        <v>0</v>
      </c>
      <c r="G11" s="26">
        <f>'7-9-09'!G11+'7-23-09'!D11</f>
        <v>0</v>
      </c>
      <c r="H11" s="26">
        <f>'7-9-09'!H11+'7-23-09'!E11</f>
        <v>0</v>
      </c>
      <c r="I11" s="26">
        <f>'7-9-09'!I11+'7-23-09'!F11</f>
        <v>0</v>
      </c>
      <c r="J11" s="46">
        <f t="shared" si="0"/>
        <v>0</v>
      </c>
      <c r="K11" s="6">
        <f t="shared" si="1"/>
        <v>7500</v>
      </c>
      <c r="L11" s="26">
        <f t="shared" si="2"/>
        <v>7500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64</v>
      </c>
      <c r="E12" s="26">
        <v>61.29</v>
      </c>
      <c r="F12" s="26">
        <v>0</v>
      </c>
      <c r="G12" s="26">
        <f>'7-9-09'!G12+'7-23-09'!D12</f>
        <v>105.1</v>
      </c>
      <c r="H12" s="26">
        <f>'7-9-09'!H12+'7-23-09'!E12</f>
        <v>115.72999999999999</v>
      </c>
      <c r="I12" s="26">
        <f>'7-9-09'!I12+'7-23-09'!F12</f>
        <v>0</v>
      </c>
      <c r="J12" s="46">
        <f t="shared" si="0"/>
        <v>220.82999999999998</v>
      </c>
      <c r="K12" s="6">
        <f t="shared" si="1"/>
        <v>3923.17</v>
      </c>
      <c r="L12" s="26">
        <f t="shared" si="2"/>
        <v>1262.1685000000002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0</v>
      </c>
      <c r="E13" s="26">
        <v>693.83</v>
      </c>
      <c r="F13" s="26">
        <v>0</v>
      </c>
      <c r="G13" s="26">
        <f>'7-9-09'!G13+'7-23-09'!D13</f>
        <v>0</v>
      </c>
      <c r="H13" s="26">
        <f>'7-9-09'!H13+'7-23-09'!E13</f>
        <v>961.73</v>
      </c>
      <c r="I13" s="26">
        <f>'7-9-09'!I13+'7-23-09'!F13</f>
        <v>0</v>
      </c>
      <c r="J13" s="46">
        <f t="shared" si="0"/>
        <v>961.73</v>
      </c>
      <c r="K13" s="6">
        <f t="shared" si="1"/>
        <v>19212.27</v>
      </c>
      <c r="L13" s="26">
        <f t="shared" si="2"/>
        <v>7623.423499999999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204.88</v>
      </c>
      <c r="E14" s="26">
        <v>518.45</v>
      </c>
      <c r="F14" s="26">
        <v>0</v>
      </c>
      <c r="G14" s="26">
        <f>'7-9-09'!G14+'7-23-09'!D14</f>
        <v>207.06</v>
      </c>
      <c r="H14" s="26">
        <f>'7-9-09'!H14+'7-23-09'!E14</f>
        <v>1034.62</v>
      </c>
      <c r="I14" s="26">
        <f>'7-9-09'!I14+'7-23-09'!F14</f>
        <v>0</v>
      </c>
      <c r="J14" s="46">
        <f t="shared" si="0"/>
        <v>1241.6799999999998</v>
      </c>
      <c r="K14" s="6">
        <f t="shared" si="1"/>
        <v>29767.32</v>
      </c>
      <c r="L14" s="26">
        <f t="shared" si="2"/>
        <v>14805.076000000001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105.05</v>
      </c>
      <c r="E15" s="26">
        <v>385.77</v>
      </c>
      <c r="F15" s="26">
        <v>0</v>
      </c>
      <c r="G15" s="26">
        <f>'7-9-09'!G15+'7-23-09'!D15</f>
        <v>128.4</v>
      </c>
      <c r="H15" s="26">
        <f>'7-9-09'!H15+'7-23-09'!E15</f>
        <v>606</v>
      </c>
      <c r="I15" s="26">
        <f>'7-9-09'!I15+'7-23-09'!F15</f>
        <v>0</v>
      </c>
      <c r="J15" s="46">
        <f t="shared" si="0"/>
        <v>734.4</v>
      </c>
      <c r="K15" s="6">
        <f t="shared" si="1"/>
        <v>12557.6</v>
      </c>
      <c r="L15" s="26">
        <f t="shared" si="2"/>
        <v>3708.08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167623</v>
      </c>
      <c r="D16" s="25">
        <f t="shared" si="3"/>
        <v>1316.3299999999997</v>
      </c>
      <c r="E16" s="25">
        <f t="shared" si="3"/>
        <v>4538.99</v>
      </c>
      <c r="F16" s="25">
        <f t="shared" si="3"/>
        <v>0</v>
      </c>
      <c r="G16" s="25">
        <f t="shared" si="3"/>
        <v>1906.04</v>
      </c>
      <c r="H16" s="25">
        <f t="shared" si="3"/>
        <v>7533.419999999999</v>
      </c>
      <c r="I16" s="25">
        <f t="shared" si="3"/>
        <v>0</v>
      </c>
      <c r="J16" s="25">
        <f t="shared" si="3"/>
        <v>9439.460000000001</v>
      </c>
      <c r="K16" s="25">
        <f t="shared" si="3"/>
        <v>158183.54</v>
      </c>
      <c r="L16" s="9">
        <f t="shared" si="3"/>
        <v>44438.047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0</v>
      </c>
      <c r="E18" s="6">
        <v>723.59</v>
      </c>
      <c r="F18" s="6">
        <v>0</v>
      </c>
      <c r="G18" s="6">
        <f>'7-9-09'!G18+'7-23-09'!D18</f>
        <v>0</v>
      </c>
      <c r="H18" s="6">
        <f>'7-9-09'!H18+'7-23-09'!E18</f>
        <v>1115.94</v>
      </c>
      <c r="I18" s="6">
        <f>'7-9-09'!I18+'7-23-09'!F18</f>
        <v>0</v>
      </c>
      <c r="J18" s="46">
        <f aca="true" t="shared" si="4" ref="J18:J23">SUM(G18:I18)</f>
        <v>1115.94</v>
      </c>
      <c r="K18" s="6">
        <f aca="true" t="shared" si="5" ref="K18:K23">C18-J18</f>
        <v>14775.06</v>
      </c>
      <c r="L18" s="26">
        <f aca="true" t="shared" si="6" ref="L18:L23">C18-(J18/2*26.1)</f>
        <v>1327.9829999999984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165.56</v>
      </c>
      <c r="E19" s="26">
        <v>794.63</v>
      </c>
      <c r="F19" s="26">
        <v>0</v>
      </c>
      <c r="G19" s="26">
        <f>'7-9-09'!G19+'7-23-09'!D19</f>
        <v>252.61</v>
      </c>
      <c r="H19" s="26">
        <f>'7-9-09'!H19+'7-23-09'!E19</f>
        <v>1291.35</v>
      </c>
      <c r="I19" s="26">
        <f>'7-9-09'!I19+'7-23-09'!F19</f>
        <v>0</v>
      </c>
      <c r="J19" s="46">
        <f t="shared" si="4"/>
        <v>1543.96</v>
      </c>
      <c r="K19" s="6">
        <f t="shared" si="5"/>
        <v>13849.04</v>
      </c>
      <c r="L19" s="26">
        <f t="shared" si="6"/>
        <v>-4755.678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36.5</v>
      </c>
      <c r="E20" s="26">
        <v>401.61</v>
      </c>
      <c r="F20" s="26">
        <v>0</v>
      </c>
      <c r="G20" s="26">
        <f>'7-9-09'!G20+'7-23-09'!D20</f>
        <v>56.15</v>
      </c>
      <c r="H20" s="26">
        <f>'7-9-09'!H20+'7-23-09'!E20</f>
        <v>470.83000000000004</v>
      </c>
      <c r="I20" s="26">
        <f>'7-9-09'!I20+'7-23-09'!F20</f>
        <v>0</v>
      </c>
      <c r="J20" s="46">
        <f t="shared" si="4"/>
        <v>526.98</v>
      </c>
      <c r="K20" s="6">
        <f t="shared" si="5"/>
        <v>14041.02</v>
      </c>
      <c r="L20" s="26">
        <f t="shared" si="6"/>
        <v>7690.910999999999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0</v>
      </c>
      <c r="E21" s="26">
        <v>0</v>
      </c>
      <c r="F21" s="26">
        <v>0</v>
      </c>
      <c r="G21" s="26">
        <f>'7-9-09'!G21+'7-23-09'!D21</f>
        <v>0</v>
      </c>
      <c r="H21" s="26">
        <f>'7-9-09'!H21+'7-23-09'!E21</f>
        <v>0</v>
      </c>
      <c r="I21" s="26">
        <f>'7-9-09'!I21+'7-23-09'!F21</f>
        <v>0</v>
      </c>
      <c r="J21" s="46">
        <f t="shared" si="4"/>
        <v>0</v>
      </c>
      <c r="K21" s="6">
        <f t="shared" si="5"/>
        <v>6082</v>
      </c>
      <c r="L21" s="26">
        <f t="shared" si="6"/>
        <v>6082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26.28</v>
      </c>
      <c r="E22" s="26">
        <v>205.49</v>
      </c>
      <c r="F22" s="26">
        <v>0</v>
      </c>
      <c r="G22" s="26">
        <f>'7-9-09'!G22+'7-23-09'!D22</f>
        <v>43.5</v>
      </c>
      <c r="H22" s="26">
        <f>'7-9-09'!H22+'7-23-09'!E22</f>
        <v>508.31</v>
      </c>
      <c r="I22" s="26">
        <f>'7-9-09'!I22+'7-23-09'!F22</f>
        <v>0</v>
      </c>
      <c r="J22" s="46">
        <f t="shared" si="4"/>
        <v>551.81</v>
      </c>
      <c r="K22" s="6">
        <f t="shared" si="5"/>
        <v>7140.1900000000005</v>
      </c>
      <c r="L22" s="26">
        <f t="shared" si="6"/>
        <v>490.8795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127.53</v>
      </c>
      <c r="E23" s="26">
        <v>0</v>
      </c>
      <c r="F23" s="26">
        <v>0</v>
      </c>
      <c r="G23" s="26">
        <f>'7-9-09'!G23+'7-23-09'!D23</f>
        <v>206.4</v>
      </c>
      <c r="H23" s="26">
        <f>'7-9-09'!H23+'7-23-09'!E23</f>
        <v>0</v>
      </c>
      <c r="I23" s="26">
        <f>'7-9-09'!I23+'7-23-09'!F23</f>
        <v>0</v>
      </c>
      <c r="J23" s="46">
        <f t="shared" si="4"/>
        <v>206.4</v>
      </c>
      <c r="K23" s="6">
        <f t="shared" si="5"/>
        <v>6328.6</v>
      </c>
      <c r="L23" s="26">
        <f t="shared" si="6"/>
        <v>3841.4799999999996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7" ref="D24:L24">SUM(D18:D23)</f>
        <v>355.87</v>
      </c>
      <c r="E24" s="9">
        <f t="shared" si="7"/>
        <v>2125.3199999999997</v>
      </c>
      <c r="F24" s="9">
        <f t="shared" si="7"/>
        <v>0</v>
      </c>
      <c r="G24" s="9">
        <f t="shared" si="7"/>
        <v>558.66</v>
      </c>
      <c r="H24" s="9">
        <f t="shared" si="7"/>
        <v>3386.43</v>
      </c>
      <c r="I24" s="9">
        <f t="shared" si="7"/>
        <v>0</v>
      </c>
      <c r="J24" s="9">
        <f t="shared" si="7"/>
        <v>3945.09</v>
      </c>
      <c r="K24" s="9">
        <f t="shared" si="7"/>
        <v>62215.909999999996</v>
      </c>
      <c r="L24" s="9">
        <f t="shared" si="7"/>
        <v>14677.575499999995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'7-9-09'!G26+'7-23-09'!D26</f>
        <v>0</v>
      </c>
      <c r="H26" s="26">
        <f>'7-9-09'!H26+'7-23-09'!E26</f>
        <v>953.6</v>
      </c>
      <c r="I26" s="26">
        <f>'7-9-09'!I26+'7-23-09'!F26</f>
        <v>0</v>
      </c>
      <c r="J26" s="46">
        <f>SUM(G26:I26)</f>
        <v>953.6</v>
      </c>
      <c r="K26" s="26">
        <f>C26-J26</f>
        <v>14222.4</v>
      </c>
      <c r="L26" s="26">
        <f>C26-(J26/2*26.1)</f>
        <v>2731.5199999999986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105.45</v>
      </c>
      <c r="E27" s="26">
        <v>0</v>
      </c>
      <c r="F27" s="26">
        <v>0</v>
      </c>
      <c r="G27" s="26">
        <f>'7-9-09'!G27+'7-23-09'!D27</f>
        <v>161.61</v>
      </c>
      <c r="H27" s="26">
        <f>'7-9-09'!H27+'7-23-09'!E27</f>
        <v>0</v>
      </c>
      <c r="I27" s="26">
        <f>'7-9-09'!I27+'7-23-09'!F27</f>
        <v>0</v>
      </c>
      <c r="J27" s="46">
        <f>SUM(G27:I27)</f>
        <v>161.61</v>
      </c>
      <c r="K27" s="6">
        <f>C27-J27</f>
        <v>5539.39</v>
      </c>
      <c r="L27" s="26">
        <f>C27-(J27/2*26.1)</f>
        <v>3591.9894999999997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105.45</v>
      </c>
      <c r="E28" s="9">
        <f t="shared" si="8"/>
        <v>596</v>
      </c>
      <c r="F28" s="9">
        <f t="shared" si="8"/>
        <v>0</v>
      </c>
      <c r="G28" s="9">
        <f t="shared" si="8"/>
        <v>161.61</v>
      </c>
      <c r="H28" s="9">
        <f t="shared" si="8"/>
        <v>953.6</v>
      </c>
      <c r="I28" s="9">
        <f t="shared" si="8"/>
        <v>0</v>
      </c>
      <c r="J28" s="9">
        <f t="shared" si="8"/>
        <v>1115.21</v>
      </c>
      <c r="K28" s="9">
        <f t="shared" si="8"/>
        <v>19761.79</v>
      </c>
      <c r="L28" s="9">
        <f t="shared" si="8"/>
        <v>6323.509499999998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f>2312.4-168.76</f>
        <v>2143.6400000000003</v>
      </c>
      <c r="F30" s="26">
        <v>0</v>
      </c>
      <c r="G30" s="26">
        <f>'7-9-09'!G30+'7-23-09'!D30</f>
        <v>0</v>
      </c>
      <c r="H30" s="26">
        <f>'7-9-09'!H30+'7-23-09'!E30</f>
        <v>3904.6000000000004</v>
      </c>
      <c r="I30" s="26">
        <f>'7-9-09'!I30+'7-23-09'!F30</f>
        <v>0</v>
      </c>
      <c r="J30" s="6">
        <f>SUM(G30:I30)</f>
        <v>3904.6000000000004</v>
      </c>
      <c r="K30" s="26">
        <f>C30-J30</f>
        <v>57766.4</v>
      </c>
      <c r="L30" s="26">
        <f>C30-(J30/2*26.1)</f>
        <v>10715.969999999994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f>567+168.76</f>
        <v>735.76</v>
      </c>
      <c r="F31" s="26">
        <v>0</v>
      </c>
      <c r="G31" s="26">
        <f>'7-9-09'!G31+'7-23-09'!D31</f>
        <v>0</v>
      </c>
      <c r="H31" s="26">
        <f>'7-9-09'!H31+'7-23-09'!E31</f>
        <v>920.6</v>
      </c>
      <c r="I31" s="26">
        <f>'7-9-09'!I31+'7-23-09'!F31</f>
        <v>0</v>
      </c>
      <c r="J31" s="6">
        <f>SUM(G31:I31)</f>
        <v>920.6</v>
      </c>
      <c r="K31" s="6">
        <f>C31-J31</f>
        <v>15160.4</v>
      </c>
      <c r="L31" s="26">
        <f>C31-(J31/2*26.1)</f>
        <v>4067.1699999999983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0</v>
      </c>
      <c r="E32" s="9">
        <f t="shared" si="9"/>
        <v>2879.4000000000005</v>
      </c>
      <c r="F32" s="9">
        <f t="shared" si="9"/>
        <v>0</v>
      </c>
      <c r="G32" s="9">
        <f t="shared" si="9"/>
        <v>0</v>
      </c>
      <c r="H32" s="9">
        <f t="shared" si="9"/>
        <v>4825.200000000001</v>
      </c>
      <c r="I32" s="9">
        <f t="shared" si="9"/>
        <v>0</v>
      </c>
      <c r="J32" s="9">
        <f t="shared" si="9"/>
        <v>4825.200000000001</v>
      </c>
      <c r="K32" s="9">
        <f t="shared" si="9"/>
        <v>72926.8</v>
      </c>
      <c r="L32" s="9">
        <f t="shared" si="9"/>
        <v>14783.139999999992</v>
      </c>
    </row>
    <row r="33" spans="1:12" s="24" customFormat="1" ht="11.25">
      <c r="A33" s="23"/>
      <c r="B33" s="23"/>
      <c r="C33" s="14">
        <f aca="true" t="shared" si="10" ref="C33:L33">C16+C24+C28+C32</f>
        <v>332413</v>
      </c>
      <c r="D33" s="14">
        <f t="shared" si="10"/>
        <v>1777.6499999999999</v>
      </c>
      <c r="E33" s="14">
        <f t="shared" si="10"/>
        <v>10139.71</v>
      </c>
      <c r="F33" s="14">
        <f t="shared" si="10"/>
        <v>0</v>
      </c>
      <c r="G33" s="14">
        <f t="shared" si="10"/>
        <v>2626.31</v>
      </c>
      <c r="H33" s="14">
        <f t="shared" si="10"/>
        <v>16698.65</v>
      </c>
      <c r="I33" s="14">
        <f t="shared" si="10"/>
        <v>0</v>
      </c>
      <c r="J33" s="14">
        <f t="shared" si="10"/>
        <v>19324.960000000003</v>
      </c>
      <c r="K33" s="14">
        <f t="shared" si="10"/>
        <v>313088.04000000004</v>
      </c>
      <c r="L33" s="14">
        <f t="shared" si="10"/>
        <v>80222.272</v>
      </c>
    </row>
    <row r="34" s="24" customFormat="1" ht="11.25"/>
    <row r="35" spans="1:12" s="24" customFormat="1" ht="11.25">
      <c r="A35" s="3"/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7-23-09</oddHeader>
    <oddFooter>&amp;CFY 2009-2010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1">
      <selection activeCell="E21" sqref="E21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220.48</v>
      </c>
      <c r="E4" s="26">
        <v>123.26</v>
      </c>
      <c r="F4" s="26">
        <v>0</v>
      </c>
      <c r="G4" s="26">
        <f>'3-18-10'!G4+'4-1-10'!D4</f>
        <v>2076.53</v>
      </c>
      <c r="H4" s="26">
        <f>'3-18-10'!H4+'4-1-10'!E4</f>
        <v>4722.899999999999</v>
      </c>
      <c r="I4" s="26">
        <f>'3-18-10'!I4+'4-1-10'!F4</f>
        <v>0</v>
      </c>
      <c r="J4" s="44">
        <f>SUM(G4:I4)</f>
        <v>6799.4299999999985</v>
      </c>
      <c r="K4" s="26">
        <f>C4-J4</f>
        <v>6519.5700000000015</v>
      </c>
      <c r="L4" s="26">
        <f>C4-(J4/20*26.1)</f>
        <v>4445.743850000001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521.61</v>
      </c>
      <c r="E5" s="26">
        <v>280.32</v>
      </c>
      <c r="F5" s="26">
        <v>0</v>
      </c>
      <c r="G5" s="26">
        <f>'3-18-10'!G5+'4-1-10'!D5</f>
        <v>8060.55</v>
      </c>
      <c r="H5" s="26">
        <f>'3-18-10'!H5+'4-1-10'!E5</f>
        <v>5202.310000000001</v>
      </c>
      <c r="I5" s="26">
        <f>'3-18-10'!I5+'4-1-10'!F5</f>
        <v>0</v>
      </c>
      <c r="J5" s="46">
        <f aca="true" t="shared" si="0" ref="J5:J15">SUM(G5:I5)</f>
        <v>13262.86</v>
      </c>
      <c r="K5" s="6">
        <f aca="true" t="shared" si="1" ref="K5:K15">C5-J5</f>
        <v>8786.14</v>
      </c>
      <c r="L5" s="26">
        <f aca="true" t="shared" si="2" ref="L5:L15">C5-(J5/20*26.1)</f>
        <v>4740.967699999997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88.65</v>
      </c>
      <c r="E6" s="44">
        <v>131.38</v>
      </c>
      <c r="F6" s="26">
        <v>0</v>
      </c>
      <c r="G6" s="26">
        <f>'3-18-10'!G6+'4-1-10'!D6</f>
        <v>2080.03</v>
      </c>
      <c r="H6" s="26">
        <f>'3-18-10'!H6+'4-1-10'!E6</f>
        <v>4720.950000000001</v>
      </c>
      <c r="I6" s="26">
        <f>'3-18-10'!I6+'4-1-10'!F6</f>
        <v>0</v>
      </c>
      <c r="J6" s="46">
        <f t="shared" si="0"/>
        <v>6800.980000000001</v>
      </c>
      <c r="K6" s="6">
        <f t="shared" si="1"/>
        <v>6800.019999999999</v>
      </c>
      <c r="L6" s="26">
        <f t="shared" si="2"/>
        <v>4725.721099999997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304.09</v>
      </c>
      <c r="E7" s="26">
        <v>0</v>
      </c>
      <c r="F7" s="26">
        <v>0</v>
      </c>
      <c r="G7" s="26">
        <f>'3-18-10'!G7+'4-1-10'!D7</f>
        <v>4441.6</v>
      </c>
      <c r="H7" s="26">
        <f>'3-18-10'!H7+'4-1-10'!E7</f>
        <v>135.97</v>
      </c>
      <c r="I7" s="26">
        <f>'3-18-10'!I7+'4-1-10'!F7</f>
        <v>0</v>
      </c>
      <c r="J7" s="46">
        <f t="shared" si="0"/>
        <v>4577.570000000001</v>
      </c>
      <c r="K7" s="6">
        <f t="shared" si="1"/>
        <v>1972.4299999999994</v>
      </c>
      <c r="L7" s="26">
        <f t="shared" si="2"/>
        <v>576.2711499999987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210.03</v>
      </c>
      <c r="E8" s="26">
        <v>0</v>
      </c>
      <c r="F8" s="26">
        <v>0</v>
      </c>
      <c r="G8" s="26">
        <f>'3-18-10'!G8+'4-1-10'!D8</f>
        <v>3735.8</v>
      </c>
      <c r="H8" s="26">
        <f>'3-18-10'!H8+'4-1-10'!E8</f>
        <v>0</v>
      </c>
      <c r="I8" s="26">
        <f>'3-18-10'!I8+'4-1-10'!F8</f>
        <v>0</v>
      </c>
      <c r="J8" s="46">
        <f t="shared" si="0"/>
        <v>3735.8</v>
      </c>
      <c r="K8" s="6">
        <f t="shared" si="1"/>
        <v>6047.2</v>
      </c>
      <c r="L8" s="26">
        <f t="shared" si="2"/>
        <v>4907.780999999999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261.21</v>
      </c>
      <c r="E9" s="26">
        <v>392.5</v>
      </c>
      <c r="F9" s="26">
        <v>0</v>
      </c>
      <c r="G9" s="26">
        <f>'3-18-10'!G9+'4-1-10'!D9</f>
        <v>3743.1099999999997</v>
      </c>
      <c r="H9" s="26">
        <f>'3-18-10'!H9+'4-1-10'!E9</f>
        <v>1225</v>
      </c>
      <c r="I9" s="26">
        <f>'3-18-10'!I9+'4-1-10'!F9</f>
        <v>0</v>
      </c>
      <c r="J9" s="46">
        <f t="shared" si="0"/>
        <v>4968.11</v>
      </c>
      <c r="K9" s="6">
        <f t="shared" si="1"/>
        <v>3037.8900000000003</v>
      </c>
      <c r="L9" s="26">
        <f t="shared" si="2"/>
        <v>1522.6164499999995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421.27</v>
      </c>
      <c r="E10" s="26">
        <f>819.77</f>
        <v>819.77</v>
      </c>
      <c r="F10" s="26">
        <v>0</v>
      </c>
      <c r="G10" s="26">
        <f>'3-18-10'!G10+'4-1-10'!D10</f>
        <v>5450.720000000001</v>
      </c>
      <c r="H10" s="26">
        <f>'3-18-10'!H10+'4-1-10'!E10</f>
        <v>12724.269999999999</v>
      </c>
      <c r="I10" s="26">
        <f>'3-18-10'!I10+'4-1-10'!F10</f>
        <v>0</v>
      </c>
      <c r="J10" s="46">
        <f t="shared" si="0"/>
        <v>18174.989999999998</v>
      </c>
      <c r="K10" s="6">
        <f t="shared" si="1"/>
        <v>7021.010000000002</v>
      </c>
      <c r="L10" s="26">
        <f t="shared" si="2"/>
        <v>1477.6380500000014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'3-18-10'!G11+'4-1-10'!D11</f>
        <v>0</v>
      </c>
      <c r="H11" s="26">
        <f>'3-18-10'!H11+'4-1-10'!E11</f>
        <v>6189.98</v>
      </c>
      <c r="I11" s="26">
        <f>'3-18-10'!I11+'4-1-10'!F11</f>
        <v>0</v>
      </c>
      <c r="J11" s="46">
        <f t="shared" si="0"/>
        <v>6189.98</v>
      </c>
      <c r="K11" s="6">
        <f t="shared" si="1"/>
        <v>1310.0200000000004</v>
      </c>
      <c r="L11" s="26">
        <f t="shared" si="2"/>
        <v>-577.9238999999998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83.39</v>
      </c>
      <c r="E12" s="26">
        <v>121.44</v>
      </c>
      <c r="F12" s="26">
        <v>0</v>
      </c>
      <c r="G12" s="26">
        <f>'3-18-10'!G12+'4-1-10'!D12</f>
        <v>1193</v>
      </c>
      <c r="H12" s="26">
        <f>'3-18-10'!H12+'4-1-10'!E12</f>
        <v>1678.5900000000001</v>
      </c>
      <c r="I12" s="26">
        <f>'3-18-10'!I12+'4-1-10'!F12</f>
        <v>0</v>
      </c>
      <c r="J12" s="46">
        <f t="shared" si="0"/>
        <v>2871.59</v>
      </c>
      <c r="K12" s="6">
        <f t="shared" si="1"/>
        <v>1272.4099999999999</v>
      </c>
      <c r="L12" s="26">
        <f t="shared" si="2"/>
        <v>396.5750499999999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119.09</v>
      </c>
      <c r="E13" s="26">
        <v>283.51</v>
      </c>
      <c r="F13" s="26">
        <v>0</v>
      </c>
      <c r="G13" s="26">
        <f>'3-18-10'!G13+'4-1-10'!D13</f>
        <v>1539.42</v>
      </c>
      <c r="H13" s="26">
        <f>'3-18-10'!H13+'4-1-10'!E13</f>
        <v>7754.85</v>
      </c>
      <c r="I13" s="26">
        <f>'3-18-10'!I13+'4-1-10'!F13</f>
        <v>0</v>
      </c>
      <c r="J13" s="46">
        <f t="shared" si="0"/>
        <v>9294.27</v>
      </c>
      <c r="K13" s="6">
        <f t="shared" si="1"/>
        <v>10879.73</v>
      </c>
      <c r="L13" s="26">
        <f t="shared" si="2"/>
        <v>8044.977649999999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725.9</v>
      </c>
      <c r="E14" s="26">
        <v>665.22</v>
      </c>
      <c r="F14" s="26">
        <v>0</v>
      </c>
      <c r="G14" s="26">
        <f>'3-18-10'!G14+'4-1-10'!D14</f>
        <v>9021.589999999998</v>
      </c>
      <c r="H14" s="26">
        <f>'3-18-10'!H14+'4-1-10'!E14</f>
        <v>12285.24</v>
      </c>
      <c r="I14" s="26">
        <f>'3-18-10'!I14+'4-1-10'!F14</f>
        <v>0</v>
      </c>
      <c r="J14" s="46">
        <f t="shared" si="0"/>
        <v>21306.829999999998</v>
      </c>
      <c r="K14" s="6">
        <f t="shared" si="1"/>
        <v>9702.170000000002</v>
      </c>
      <c r="L14" s="26">
        <f t="shared" si="2"/>
        <v>3203.5868499999997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160.2</v>
      </c>
      <c r="E15" s="26">
        <v>306.8</v>
      </c>
      <c r="F15" s="26">
        <v>0</v>
      </c>
      <c r="G15" s="26">
        <f>'3-18-10'!G15+'4-1-10'!D15</f>
        <v>2446.649999999999</v>
      </c>
      <c r="H15" s="26">
        <f>'3-18-10'!H15+'4-1-10'!E15</f>
        <v>5804.599999999999</v>
      </c>
      <c r="I15" s="26">
        <f>'3-18-10'!I15+'4-1-10'!F15</f>
        <v>0</v>
      </c>
      <c r="J15" s="46">
        <f t="shared" si="0"/>
        <v>8251.249999999998</v>
      </c>
      <c r="K15" s="6">
        <f t="shared" si="1"/>
        <v>5040.750000000002</v>
      </c>
      <c r="L15" s="26">
        <f t="shared" si="2"/>
        <v>2524.1187500000033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3115.92</v>
      </c>
      <c r="E16" s="25">
        <f t="shared" si="3"/>
        <v>3508.8200000000006</v>
      </c>
      <c r="F16" s="25">
        <f t="shared" si="3"/>
        <v>0</v>
      </c>
      <c r="G16" s="25">
        <f t="shared" si="3"/>
        <v>43789</v>
      </c>
      <c r="H16" s="25">
        <f t="shared" si="3"/>
        <v>62444.659999999996</v>
      </c>
      <c r="I16" s="25">
        <f t="shared" si="3"/>
        <v>0</v>
      </c>
      <c r="J16" s="49">
        <f t="shared" si="3"/>
        <v>106233.66</v>
      </c>
      <c r="K16" s="25">
        <f t="shared" si="3"/>
        <v>68389.34</v>
      </c>
      <c r="L16" s="9">
        <f t="shared" si="3"/>
        <v>35988.07369999999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133.47</v>
      </c>
      <c r="E18" s="6">
        <v>678.22</v>
      </c>
      <c r="F18" s="6">
        <v>0</v>
      </c>
      <c r="G18" s="6">
        <f>'3-18-10'!G18+'4-1-10'!D18</f>
        <v>1751.0499999999997</v>
      </c>
      <c r="H18" s="6">
        <f>'3-18-10'!H18+'4-1-10'!E18</f>
        <v>9712.769999999999</v>
      </c>
      <c r="I18" s="6">
        <f>'3-18-10'!I18+'4-1-10'!F18</f>
        <v>0</v>
      </c>
      <c r="J18" s="46">
        <f aca="true" t="shared" si="4" ref="J18:J23">SUM(G18:I18)</f>
        <v>11463.819999999998</v>
      </c>
      <c r="K18" s="6">
        <f aca="true" t="shared" si="5" ref="K18:K23">C18-J18</f>
        <v>4427.180000000002</v>
      </c>
      <c r="L18" s="6">
        <f aca="true" t="shared" si="6" ref="L18:L23">C18-(J18/20*26.1)</f>
        <v>930.7149000000009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266.39</v>
      </c>
      <c r="E19" s="26">
        <v>95.25</v>
      </c>
      <c r="F19" s="26">
        <v>0</v>
      </c>
      <c r="G19" s="26">
        <f>'3-18-10'!G19+'4-1-10'!D19</f>
        <v>2695.52</v>
      </c>
      <c r="H19" s="26">
        <f>'3-18-10'!H19+'4-1-10'!E19</f>
        <v>5752.200000000002</v>
      </c>
      <c r="I19" s="26">
        <f>'3-18-10'!I19+'4-1-10'!F19</f>
        <v>0</v>
      </c>
      <c r="J19" s="46">
        <f t="shared" si="4"/>
        <v>8447.720000000001</v>
      </c>
      <c r="K19" s="6">
        <f t="shared" si="5"/>
        <v>6945.279999999999</v>
      </c>
      <c r="L19" s="26">
        <f t="shared" si="6"/>
        <v>4368.7253999999975</v>
      </c>
    </row>
    <row r="20" spans="1:12" s="24" customFormat="1" ht="11.25">
      <c r="A20" s="7" t="s">
        <v>33</v>
      </c>
      <c r="B20" s="7">
        <v>55030100</v>
      </c>
      <c r="C20" s="8">
        <f>14568-1092.14</f>
        <v>13475.86</v>
      </c>
      <c r="D20" s="26">
        <v>341.26</v>
      </c>
      <c r="E20" s="26">
        <v>152.25</v>
      </c>
      <c r="F20" s="26">
        <v>0</v>
      </c>
      <c r="G20" s="26">
        <f>'3-18-10'!G20+'4-1-10'!D20</f>
        <v>2931.1000000000004</v>
      </c>
      <c r="H20" s="26">
        <f>'3-18-10'!H20+'4-1-10'!E20</f>
        <v>2620.46</v>
      </c>
      <c r="I20" s="26">
        <f>'3-18-10'!I20+'4-1-10'!F20</f>
        <v>0</v>
      </c>
      <c r="J20" s="46">
        <f t="shared" si="4"/>
        <v>5551.56</v>
      </c>
      <c r="K20" s="6">
        <f t="shared" si="5"/>
        <v>7924.3</v>
      </c>
      <c r="L20" s="26">
        <f t="shared" si="6"/>
        <v>6231.074199999999</v>
      </c>
    </row>
    <row r="21" spans="1:12" s="24" customFormat="1" ht="11.25">
      <c r="A21" s="7" t="s">
        <v>23</v>
      </c>
      <c r="B21" s="7">
        <v>55100100</v>
      </c>
      <c r="C21" s="8">
        <f>6082-4056</f>
        <v>2026</v>
      </c>
      <c r="D21" s="26">
        <v>21.88</v>
      </c>
      <c r="E21" s="26">
        <v>137.75</v>
      </c>
      <c r="F21" s="26">
        <v>0</v>
      </c>
      <c r="G21" s="26">
        <f>'3-18-10'!G21+'4-1-10'!D21</f>
        <v>352.98999999999995</v>
      </c>
      <c r="H21" s="26">
        <f>'3-18-10'!H21+'4-1-10'!E21</f>
        <v>739.5</v>
      </c>
      <c r="I21" s="26">
        <f>'3-18-10'!I21+'4-1-10'!F21</f>
        <v>0</v>
      </c>
      <c r="J21" s="46">
        <f t="shared" si="4"/>
        <v>1092.49</v>
      </c>
      <c r="K21" s="6">
        <f t="shared" si="5"/>
        <v>933.51</v>
      </c>
      <c r="L21" s="26">
        <f t="shared" si="6"/>
        <v>600.3005499999999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422.25</v>
      </c>
      <c r="E22" s="26">
        <v>926.81</v>
      </c>
      <c r="F22" s="26">
        <v>0</v>
      </c>
      <c r="G22" s="26">
        <f>'3-18-10'!G22+'4-1-10'!D22</f>
        <v>3158.78</v>
      </c>
      <c r="H22" s="26">
        <f>'3-18-10'!H22+'4-1-10'!E22</f>
        <v>3835.26</v>
      </c>
      <c r="I22" s="26">
        <f>'3-18-10'!I22+'4-1-10'!F22</f>
        <v>0</v>
      </c>
      <c r="J22" s="46">
        <f t="shared" si="4"/>
        <v>6994.040000000001</v>
      </c>
      <c r="K22" s="6">
        <f t="shared" si="5"/>
        <v>697.9599999999991</v>
      </c>
      <c r="L22" s="26">
        <f t="shared" si="6"/>
        <v>-1435.222200000002</v>
      </c>
    </row>
    <row r="23" spans="1:12" s="24" customFormat="1" ht="11.25">
      <c r="A23" s="7" t="s">
        <v>25</v>
      </c>
      <c r="B23" s="19">
        <v>55110100</v>
      </c>
      <c r="C23" s="8">
        <f>8035-1500-2800</f>
        <v>3735</v>
      </c>
      <c r="D23" s="26">
        <v>144.56</v>
      </c>
      <c r="E23" s="26">
        <v>0</v>
      </c>
      <c r="F23" s="26">
        <v>0</v>
      </c>
      <c r="G23" s="26">
        <f>'3-18-10'!G23+'4-1-10'!D23</f>
        <v>2140.1000000000004</v>
      </c>
      <c r="H23" s="26">
        <f>'3-18-10'!H23+'4-1-10'!E23</f>
        <v>0</v>
      </c>
      <c r="I23" s="26">
        <f>'3-18-10'!I23+'4-1-10'!F23</f>
        <v>0</v>
      </c>
      <c r="J23" s="46">
        <f t="shared" si="4"/>
        <v>2140.1000000000004</v>
      </c>
      <c r="K23" s="6">
        <f t="shared" si="5"/>
        <v>1594.8999999999996</v>
      </c>
      <c r="L23" s="26">
        <f t="shared" si="6"/>
        <v>942.1694999999991</v>
      </c>
    </row>
    <row r="24" spans="1:12" s="24" customFormat="1" ht="11.25">
      <c r="A24" s="16" t="s">
        <v>26</v>
      </c>
      <c r="B24" s="20"/>
      <c r="C24" s="9">
        <f>SUM(C18:C23)</f>
        <v>58212.86</v>
      </c>
      <c r="D24" s="9">
        <f>SUM(D18:D23)</f>
        <v>1329.81</v>
      </c>
      <c r="E24" s="9">
        <f aca="true" t="shared" si="7" ref="E24:L24">SUM(E18:E23)</f>
        <v>1990.28</v>
      </c>
      <c r="F24" s="9">
        <f t="shared" si="7"/>
        <v>0</v>
      </c>
      <c r="G24" s="9">
        <f t="shared" si="7"/>
        <v>13029.54</v>
      </c>
      <c r="H24" s="9">
        <f t="shared" si="7"/>
        <v>22660.190000000002</v>
      </c>
      <c r="I24" s="9">
        <f t="shared" si="7"/>
        <v>0</v>
      </c>
      <c r="J24" s="9">
        <f t="shared" si="7"/>
        <v>35689.73</v>
      </c>
      <c r="K24" s="9">
        <f t="shared" si="7"/>
        <v>22523.129999999997</v>
      </c>
      <c r="L24" s="9">
        <f t="shared" si="7"/>
        <v>11637.762349999994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596</v>
      </c>
      <c r="F26" s="26">
        <v>0</v>
      </c>
      <c r="G26" s="26">
        <f>'3-18-10'!G26+'4-1-10'!D26</f>
        <v>0</v>
      </c>
      <c r="H26" s="26">
        <f>'3-18-10'!H26+'4-1-10'!E26</f>
        <v>10366.679999999998</v>
      </c>
      <c r="I26" s="26">
        <f>'3-18-10'!I26+'4-1-10'!F26</f>
        <v>0</v>
      </c>
      <c r="J26" s="46">
        <f>SUM(G26:I26)</f>
        <v>10366.679999999998</v>
      </c>
      <c r="K26" s="26">
        <f>C26-J26</f>
        <v>11665.320000000002</v>
      </c>
      <c r="L26" s="26">
        <f>C26-(J26/20*26.1)</f>
        <v>8503.482600000001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88.74</v>
      </c>
      <c r="E27" s="26">
        <v>123.26</v>
      </c>
      <c r="F27" s="26">
        <v>0</v>
      </c>
      <c r="G27" s="26">
        <f>'3-18-10'!G27+'4-1-10'!D27</f>
        <v>1631.3200000000004</v>
      </c>
      <c r="H27" s="26">
        <f>'3-18-10'!H27+'4-1-10'!E27</f>
        <v>1727.7299999999998</v>
      </c>
      <c r="I27" s="26">
        <f>'3-18-10'!I27+'4-1-10'!F27</f>
        <v>0</v>
      </c>
      <c r="J27" s="46">
        <f>SUM(G27:I27)</f>
        <v>3359.05</v>
      </c>
      <c r="K27" s="6">
        <f>C27-J27</f>
        <v>2341.95</v>
      </c>
      <c r="L27" s="26">
        <f>C27-(J27/20*26.1)</f>
        <v>1317.4397499999995</v>
      </c>
    </row>
    <row r="28" spans="1:12" s="24" customFormat="1" ht="11.25">
      <c r="A28" s="16" t="s">
        <v>29</v>
      </c>
      <c r="B28" s="20"/>
      <c r="C28" s="9">
        <f>SUM(C26:C27)</f>
        <v>27733</v>
      </c>
      <c r="D28" s="9">
        <f>SUM(D26:D27)</f>
        <v>88.74</v>
      </c>
      <c r="E28" s="9">
        <f>SUM(E26:E27)</f>
        <v>719.26</v>
      </c>
      <c r="F28" s="9">
        <f aca="true" t="shared" si="8" ref="F28:L28">SUM(F26:F27)</f>
        <v>0</v>
      </c>
      <c r="G28" s="9">
        <f t="shared" si="8"/>
        <v>1631.3200000000004</v>
      </c>
      <c r="H28" s="9">
        <f t="shared" si="8"/>
        <v>12094.409999999998</v>
      </c>
      <c r="I28" s="9">
        <f t="shared" si="8"/>
        <v>0</v>
      </c>
      <c r="J28" s="9">
        <f t="shared" si="8"/>
        <v>13725.73</v>
      </c>
      <c r="K28" s="9">
        <f t="shared" si="8"/>
        <v>14007.27</v>
      </c>
      <c r="L28" s="9">
        <f t="shared" si="8"/>
        <v>9820.92235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346.72</v>
      </c>
      <c r="E30" s="26">
        <v>1892.16</v>
      </c>
      <c r="F30" s="26">
        <v>0</v>
      </c>
      <c r="G30" s="26">
        <f>'3-18-10'!G30+'4-1-10'!D30</f>
        <v>2358.54</v>
      </c>
      <c r="H30" s="26">
        <f>'3-18-10'!H30+'4-1-10'!E30</f>
        <v>39343.07000000001</v>
      </c>
      <c r="I30" s="26">
        <f>'3-18-10'!I30+'4-1-10'!F30</f>
        <v>0</v>
      </c>
      <c r="J30" s="6">
        <f>SUM(G30:I30)</f>
        <v>41701.61000000001</v>
      </c>
      <c r="K30" s="26">
        <f>C30-J30</f>
        <v>19969.389999999992</v>
      </c>
      <c r="L30" s="26">
        <f>C30-(J30/20*26.1)</f>
        <v>7250.398949999988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585.32</v>
      </c>
      <c r="F31" s="26">
        <v>0</v>
      </c>
      <c r="G31" s="26">
        <f>'3-18-10'!G31+'4-1-10'!D31</f>
        <v>0</v>
      </c>
      <c r="H31" s="26">
        <f>'3-18-10'!H31+'4-1-10'!E31</f>
        <v>10265.259999999998</v>
      </c>
      <c r="I31" s="26">
        <f>'3-18-10'!I31+'4-1-10'!F31</f>
        <v>0</v>
      </c>
      <c r="J31" s="6">
        <f>SUM(G31:I31)</f>
        <v>10265.259999999998</v>
      </c>
      <c r="K31" s="6">
        <f>C31-J31</f>
        <v>5815.740000000002</v>
      </c>
      <c r="L31" s="26">
        <f>C31-(J31/20*26.1)</f>
        <v>2684.8357000000015</v>
      </c>
    </row>
    <row r="32" spans="1:12" s="24" customFormat="1" ht="11.25">
      <c r="A32" s="21" t="s">
        <v>32</v>
      </c>
      <c r="B32" s="54"/>
      <c r="C32" s="55">
        <f>SUM(C30:C31)</f>
        <v>77752</v>
      </c>
      <c r="D32" s="9">
        <f>SUM(D30:D31)</f>
        <v>346.72</v>
      </c>
      <c r="E32" s="9">
        <f>SUM(E30:E31)</f>
        <v>2477.48</v>
      </c>
      <c r="F32" s="9">
        <f aca="true" t="shared" si="9" ref="F32:L32">SUM(F30:F31)</f>
        <v>0</v>
      </c>
      <c r="G32" s="9">
        <f t="shared" si="9"/>
        <v>2358.54</v>
      </c>
      <c r="H32" s="9">
        <f t="shared" si="9"/>
        <v>49608.33</v>
      </c>
      <c r="I32" s="9">
        <f t="shared" si="9"/>
        <v>0</v>
      </c>
      <c r="J32" s="9">
        <f t="shared" si="9"/>
        <v>51966.87000000001</v>
      </c>
      <c r="K32" s="9">
        <f t="shared" si="9"/>
        <v>25785.129999999994</v>
      </c>
      <c r="L32" s="9">
        <f t="shared" si="9"/>
        <v>9935.23464999999</v>
      </c>
    </row>
    <row r="33" spans="1:12" s="24" customFormat="1" ht="11.25">
      <c r="A33" s="23"/>
      <c r="B33" s="23"/>
      <c r="C33" s="14">
        <f aca="true" t="shared" si="10" ref="C33:L33">C16+C24+C28+C32</f>
        <v>338320.86</v>
      </c>
      <c r="D33" s="14">
        <f t="shared" si="10"/>
        <v>4881.19</v>
      </c>
      <c r="E33" s="14">
        <f t="shared" si="10"/>
        <v>8695.84</v>
      </c>
      <c r="F33" s="14">
        <f t="shared" si="10"/>
        <v>0</v>
      </c>
      <c r="G33" s="14">
        <f t="shared" si="10"/>
        <v>60808.4</v>
      </c>
      <c r="H33" s="14">
        <f t="shared" si="10"/>
        <v>146807.59000000003</v>
      </c>
      <c r="I33" s="14">
        <f t="shared" si="10"/>
        <v>0</v>
      </c>
      <c r="J33" s="14">
        <f t="shared" si="10"/>
        <v>207615.99000000005</v>
      </c>
      <c r="K33" s="14">
        <f t="shared" si="10"/>
        <v>130704.87</v>
      </c>
      <c r="L33" s="14">
        <f t="shared" si="10"/>
        <v>67381.99304999998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52" t="s">
        <v>40</v>
      </c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52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4-1-10</oddHeader>
    <oddFooter>&amp;CFY 2009-2010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C1">
      <selection activeCell="H19" sqref="H19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222.55</v>
      </c>
      <c r="E4" s="26">
        <v>89.64</v>
      </c>
      <c r="F4" s="26">
        <v>0</v>
      </c>
      <c r="G4" s="26">
        <f>'4-1-10'!G4+'4-15-10'!D4</f>
        <v>2299.0800000000004</v>
      </c>
      <c r="H4" s="26">
        <f>'4-1-10'!H4+'4-15-10'!E4</f>
        <v>4812.539999999999</v>
      </c>
      <c r="I4" s="26">
        <f>'4-1-10'!I4+'4-15-10'!F4</f>
        <v>0</v>
      </c>
      <c r="J4" s="44">
        <f>SUM(G4:I4)</f>
        <v>7111.619999999999</v>
      </c>
      <c r="K4" s="26">
        <f>C4-J4</f>
        <v>6207.380000000001</v>
      </c>
      <c r="L4" s="26">
        <f aca="true" t="shared" si="0" ref="L4:L15">C4-(J4/21*26.1)</f>
        <v>4480.272285714287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511.11</v>
      </c>
      <c r="E5" s="26">
        <v>280.32</v>
      </c>
      <c r="F5" s="26">
        <v>0</v>
      </c>
      <c r="G5" s="26">
        <f>'4-1-10'!G5+'4-15-10'!D5</f>
        <v>8571.66</v>
      </c>
      <c r="H5" s="26">
        <f>'4-1-10'!H5+'4-15-10'!E5</f>
        <v>5482.630000000001</v>
      </c>
      <c r="I5" s="26">
        <f>'4-1-10'!I5+'4-15-10'!F5</f>
        <v>0</v>
      </c>
      <c r="J5" s="46">
        <f aca="true" t="shared" si="1" ref="J5:J15">SUM(G5:I5)</f>
        <v>14054.29</v>
      </c>
      <c r="K5" s="6">
        <f aca="true" t="shared" si="2" ref="K5:K15">C5-J5</f>
        <v>7994.709999999999</v>
      </c>
      <c r="L5" s="26">
        <f t="shared" si="0"/>
        <v>4581.525285714284</v>
      </c>
    </row>
    <row r="6" spans="1:12" s="24" customFormat="1" ht="11.25">
      <c r="A6" s="7" t="s">
        <v>14</v>
      </c>
      <c r="B6" s="7">
        <v>55020500</v>
      </c>
      <c r="C6" s="8">
        <f>6601+3500+3500</f>
        <v>13601</v>
      </c>
      <c r="D6" s="44">
        <v>172.78</v>
      </c>
      <c r="E6" s="44">
        <v>161.26</v>
      </c>
      <c r="F6" s="26">
        <v>0</v>
      </c>
      <c r="G6" s="26">
        <f>'4-1-10'!G6+'4-15-10'!D6</f>
        <v>2252.8100000000004</v>
      </c>
      <c r="H6" s="26">
        <f>'4-1-10'!H6+'4-15-10'!E6</f>
        <v>4882.210000000001</v>
      </c>
      <c r="I6" s="26">
        <f>'4-1-10'!I6+'4-15-10'!F6</f>
        <v>0</v>
      </c>
      <c r="J6" s="46">
        <f t="shared" si="1"/>
        <v>7135.020000000001</v>
      </c>
      <c r="K6" s="6">
        <f t="shared" si="2"/>
        <v>6465.979999999999</v>
      </c>
      <c r="L6" s="26">
        <f t="shared" si="0"/>
        <v>4733.189428571426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300.92</v>
      </c>
      <c r="E7" s="26">
        <v>0</v>
      </c>
      <c r="F7" s="26">
        <v>0</v>
      </c>
      <c r="G7" s="26">
        <f>'4-1-10'!G7+'4-15-10'!D7</f>
        <v>4742.52</v>
      </c>
      <c r="H7" s="26">
        <f>'4-1-10'!H7+'4-15-10'!E7</f>
        <v>135.97</v>
      </c>
      <c r="I7" s="26">
        <f>'4-1-10'!I7+'4-15-10'!F7</f>
        <v>0</v>
      </c>
      <c r="J7" s="46">
        <f t="shared" si="1"/>
        <v>4878.490000000001</v>
      </c>
      <c r="K7" s="6">
        <f t="shared" si="2"/>
        <v>1671.5099999999993</v>
      </c>
      <c r="L7" s="26">
        <f t="shared" si="0"/>
        <v>486.7338571428563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236.54</v>
      </c>
      <c r="E8" s="26">
        <v>0</v>
      </c>
      <c r="F8" s="26">
        <v>0</v>
      </c>
      <c r="G8" s="26">
        <f>'4-1-10'!G8+'4-15-10'!D8</f>
        <v>3972.34</v>
      </c>
      <c r="H8" s="26">
        <f>'4-1-10'!H8+'4-15-10'!E8</f>
        <v>0</v>
      </c>
      <c r="I8" s="26">
        <f>'4-1-10'!I8+'4-15-10'!F8</f>
        <v>0</v>
      </c>
      <c r="J8" s="46">
        <f t="shared" si="1"/>
        <v>3972.34</v>
      </c>
      <c r="K8" s="6">
        <f t="shared" si="2"/>
        <v>5810.66</v>
      </c>
      <c r="L8" s="26">
        <f t="shared" si="0"/>
        <v>4845.948857142857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279.97</v>
      </c>
      <c r="E9" s="26">
        <v>400</v>
      </c>
      <c r="F9" s="26">
        <v>0</v>
      </c>
      <c r="G9" s="26">
        <f>'4-1-10'!G9+'4-15-10'!D9</f>
        <v>4023.08</v>
      </c>
      <c r="H9" s="26">
        <f>'4-1-10'!H9+'4-15-10'!E9</f>
        <v>1625</v>
      </c>
      <c r="I9" s="26">
        <f>'4-1-10'!I9+'4-15-10'!F9</f>
        <v>0</v>
      </c>
      <c r="J9" s="46">
        <f t="shared" si="1"/>
        <v>5648.08</v>
      </c>
      <c r="K9" s="6">
        <f t="shared" si="2"/>
        <v>2357.92</v>
      </c>
      <c r="L9" s="26">
        <f t="shared" si="0"/>
        <v>986.243428571428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459.06</v>
      </c>
      <c r="E10" s="26">
        <v>1026</v>
      </c>
      <c r="F10" s="26">
        <v>0</v>
      </c>
      <c r="G10" s="26">
        <f>'4-1-10'!G10+'4-15-10'!D10</f>
        <v>5909.780000000002</v>
      </c>
      <c r="H10" s="26">
        <f>'4-1-10'!H10+'4-15-10'!E10</f>
        <v>13750.269999999999</v>
      </c>
      <c r="I10" s="26">
        <f>'4-1-10'!I10+'4-15-10'!F10</f>
        <v>0</v>
      </c>
      <c r="J10" s="46">
        <f t="shared" si="1"/>
        <v>19660.05</v>
      </c>
      <c r="K10" s="6">
        <f t="shared" si="2"/>
        <v>5535.950000000001</v>
      </c>
      <c r="L10" s="26">
        <f t="shared" si="0"/>
        <v>761.3664285714294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'4-1-10'!G11+'4-15-10'!D11</f>
        <v>0</v>
      </c>
      <c r="H11" s="26">
        <f>'4-1-10'!H11+'4-15-10'!E11</f>
        <v>6574.599999999999</v>
      </c>
      <c r="I11" s="26">
        <f>'4-1-10'!I11+'4-15-10'!F11</f>
        <v>0</v>
      </c>
      <c r="J11" s="46">
        <f t="shared" si="1"/>
        <v>6574.599999999999</v>
      </c>
      <c r="K11" s="6">
        <f t="shared" si="2"/>
        <v>925.4000000000005</v>
      </c>
      <c r="L11" s="26">
        <f t="shared" si="0"/>
        <v>-671.2885714285712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60.73</v>
      </c>
      <c r="E12" s="26">
        <v>168.56</v>
      </c>
      <c r="F12" s="26">
        <v>0</v>
      </c>
      <c r="G12" s="26">
        <f>'4-1-10'!G12+'4-15-10'!D12</f>
        <v>1253.73</v>
      </c>
      <c r="H12" s="26">
        <f>'4-1-10'!H12+'4-15-10'!E12</f>
        <v>1847.15</v>
      </c>
      <c r="I12" s="26">
        <f>'4-1-10'!I12+'4-15-10'!F12</f>
        <v>0</v>
      </c>
      <c r="J12" s="46">
        <f t="shared" si="1"/>
        <v>3100.88</v>
      </c>
      <c r="K12" s="6">
        <f t="shared" si="2"/>
        <v>1043.12</v>
      </c>
      <c r="L12" s="26">
        <f t="shared" si="0"/>
        <v>290.04914285714267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117.15</v>
      </c>
      <c r="E13" s="26">
        <v>321.63</v>
      </c>
      <c r="F13" s="26">
        <v>0</v>
      </c>
      <c r="G13" s="26">
        <f>'4-1-10'!G13+'4-15-10'!D13</f>
        <v>1656.5700000000002</v>
      </c>
      <c r="H13" s="26">
        <f>'4-1-10'!H13+'4-15-10'!E13</f>
        <v>8076.4800000000005</v>
      </c>
      <c r="I13" s="26">
        <f>'4-1-10'!I13+'4-15-10'!F13</f>
        <v>0</v>
      </c>
      <c r="J13" s="46">
        <f t="shared" si="1"/>
        <v>9733.050000000001</v>
      </c>
      <c r="K13" s="6">
        <f t="shared" si="2"/>
        <v>10440.949999999999</v>
      </c>
      <c r="L13" s="26">
        <f t="shared" si="0"/>
        <v>8077.209285714285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655.98</v>
      </c>
      <c r="E14" s="26">
        <v>773.26</v>
      </c>
      <c r="F14" s="26">
        <v>0</v>
      </c>
      <c r="G14" s="26">
        <f>'4-1-10'!G14+'4-15-10'!D14</f>
        <v>9677.569999999998</v>
      </c>
      <c r="H14" s="26">
        <f>'4-1-10'!H14+'4-15-10'!E14</f>
        <v>13058.5</v>
      </c>
      <c r="I14" s="26">
        <f>'4-1-10'!I14+'4-15-10'!F14</f>
        <v>0</v>
      </c>
      <c r="J14" s="46">
        <f t="shared" si="1"/>
        <v>22736.07</v>
      </c>
      <c r="K14" s="6">
        <f t="shared" si="2"/>
        <v>8272.93</v>
      </c>
      <c r="L14" s="26">
        <f t="shared" si="0"/>
        <v>2751.3129999999983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145.05</v>
      </c>
      <c r="E15" s="26">
        <v>368.16</v>
      </c>
      <c r="F15" s="26">
        <v>0</v>
      </c>
      <c r="G15" s="26">
        <f>'4-1-10'!G15+'4-15-10'!D15</f>
        <v>2591.6999999999994</v>
      </c>
      <c r="H15" s="26">
        <f>'4-1-10'!H15+'4-15-10'!E15</f>
        <v>6172.759999999999</v>
      </c>
      <c r="I15" s="26">
        <f>'4-1-10'!I15+'4-15-10'!F15</f>
        <v>0</v>
      </c>
      <c r="J15" s="46">
        <f t="shared" si="1"/>
        <v>8764.46</v>
      </c>
      <c r="K15" s="6">
        <f t="shared" si="2"/>
        <v>4527.540000000001</v>
      </c>
      <c r="L15" s="26">
        <f t="shared" si="0"/>
        <v>2399.0282857142865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3161.8400000000006</v>
      </c>
      <c r="E16" s="25">
        <f t="shared" si="3"/>
        <v>3973.45</v>
      </c>
      <c r="F16" s="25">
        <f t="shared" si="3"/>
        <v>0</v>
      </c>
      <c r="G16" s="25">
        <f t="shared" si="3"/>
        <v>46950.84</v>
      </c>
      <c r="H16" s="25">
        <f t="shared" si="3"/>
        <v>66418.11</v>
      </c>
      <c r="I16" s="25">
        <f t="shared" si="3"/>
        <v>0</v>
      </c>
      <c r="J16" s="49">
        <f t="shared" si="3"/>
        <v>113368.95000000001</v>
      </c>
      <c r="K16" s="25">
        <f t="shared" si="3"/>
        <v>61254.05</v>
      </c>
      <c r="L16" s="9">
        <f t="shared" si="3"/>
        <v>33721.59071428571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115.1</v>
      </c>
      <c r="E18" s="6">
        <v>673.65</v>
      </c>
      <c r="F18" s="6">
        <v>0</v>
      </c>
      <c r="G18" s="6">
        <f>'4-1-10'!G18+'4-15-10'!D18</f>
        <v>1866.1499999999996</v>
      </c>
      <c r="H18" s="6">
        <f>'4-1-10'!H18+'4-15-10'!E18</f>
        <v>10386.419999999998</v>
      </c>
      <c r="I18" s="6">
        <f>'4-1-10'!I18+'4-15-10'!F18</f>
        <v>0</v>
      </c>
      <c r="J18" s="46">
        <f aca="true" t="shared" si="4" ref="J18:J23">SUM(G18:I18)</f>
        <v>12252.569999999998</v>
      </c>
      <c r="K18" s="6">
        <f aca="true" t="shared" si="5" ref="K18:K23">C18-J18</f>
        <v>3638.430000000002</v>
      </c>
      <c r="L18" s="6">
        <f aca="true" t="shared" si="6" ref="L18:L23">C18-(J18/21*26.1)</f>
        <v>662.8058571428592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228.74</v>
      </c>
      <c r="E19" s="26">
        <v>307.94</v>
      </c>
      <c r="F19" s="26">
        <v>0</v>
      </c>
      <c r="G19" s="26">
        <f>'4-1-10'!G19+'4-15-10'!D19</f>
        <v>2924.26</v>
      </c>
      <c r="H19" s="26">
        <f>'4-1-10'!H19+'4-15-10'!E19</f>
        <v>6060.140000000001</v>
      </c>
      <c r="I19" s="26">
        <f>'4-1-10'!I19+'4-15-10'!F19</f>
        <v>0</v>
      </c>
      <c r="J19" s="46">
        <f t="shared" si="4"/>
        <v>8984.400000000001</v>
      </c>
      <c r="K19" s="6">
        <f t="shared" si="5"/>
        <v>6408.5999999999985</v>
      </c>
      <c r="L19" s="26">
        <f t="shared" si="6"/>
        <v>4226.6742857142835</v>
      </c>
    </row>
    <row r="20" spans="1:12" s="24" customFormat="1" ht="11.25">
      <c r="A20" s="7" t="s">
        <v>33</v>
      </c>
      <c r="B20" s="7">
        <v>55030100</v>
      </c>
      <c r="C20" s="8">
        <f>14568-1092.14</f>
        <v>13475.86</v>
      </c>
      <c r="D20" s="26">
        <v>312.69</v>
      </c>
      <c r="E20" s="26">
        <v>130.5</v>
      </c>
      <c r="F20" s="26">
        <v>0</v>
      </c>
      <c r="G20" s="26">
        <f>'4-1-10'!G20+'4-15-10'!D20</f>
        <v>3243.7900000000004</v>
      </c>
      <c r="H20" s="26">
        <f>'4-1-10'!H20+'4-15-10'!E20</f>
        <v>2750.96</v>
      </c>
      <c r="I20" s="26">
        <f>'4-1-10'!I20+'4-15-10'!F20</f>
        <v>0</v>
      </c>
      <c r="J20" s="46">
        <f t="shared" si="4"/>
        <v>5994.75</v>
      </c>
      <c r="K20" s="6">
        <f t="shared" si="5"/>
        <v>7481.110000000001</v>
      </c>
      <c r="L20" s="26">
        <f t="shared" si="6"/>
        <v>6025.242142857142</v>
      </c>
    </row>
    <row r="21" spans="1:12" s="24" customFormat="1" ht="11.25">
      <c r="A21" s="7" t="s">
        <v>23</v>
      </c>
      <c r="B21" s="7">
        <v>55100100</v>
      </c>
      <c r="C21" s="8">
        <f>6082-4056</f>
        <v>2026</v>
      </c>
      <c r="D21" s="26">
        <v>6.52</v>
      </c>
      <c r="E21" s="26">
        <v>145</v>
      </c>
      <c r="F21" s="26">
        <v>0</v>
      </c>
      <c r="G21" s="26">
        <f>'4-1-10'!G21+'4-15-10'!D21</f>
        <v>359.50999999999993</v>
      </c>
      <c r="H21" s="26">
        <f>'4-1-10'!H21+'4-15-10'!E21</f>
        <v>884.5</v>
      </c>
      <c r="I21" s="26">
        <f>'4-1-10'!I21+'4-15-10'!F21</f>
        <v>0</v>
      </c>
      <c r="J21" s="46">
        <f t="shared" si="4"/>
        <v>1244.01</v>
      </c>
      <c r="K21" s="6">
        <f t="shared" si="5"/>
        <v>781.99</v>
      </c>
      <c r="L21" s="26">
        <f t="shared" si="6"/>
        <v>479.87328571428566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383.95</v>
      </c>
      <c r="E22" s="26">
        <v>391.51</v>
      </c>
      <c r="F22" s="26">
        <v>0</v>
      </c>
      <c r="G22" s="26">
        <f>'4-1-10'!G22+'4-15-10'!D22</f>
        <v>3542.73</v>
      </c>
      <c r="H22" s="26">
        <f>'4-1-10'!H22+'4-15-10'!E22</f>
        <v>4226.77</v>
      </c>
      <c r="I22" s="26">
        <f>'4-1-10'!I22+'4-15-10'!F22</f>
        <v>0</v>
      </c>
      <c r="J22" s="46">
        <f t="shared" si="4"/>
        <v>7769.5</v>
      </c>
      <c r="K22" s="6">
        <f t="shared" si="5"/>
        <v>-77.5</v>
      </c>
      <c r="L22" s="26">
        <f t="shared" si="6"/>
        <v>-1964.3785714285714</v>
      </c>
    </row>
    <row r="23" spans="1:12" s="24" customFormat="1" ht="11.25">
      <c r="A23" s="7" t="s">
        <v>25</v>
      </c>
      <c r="B23" s="19">
        <v>55110100</v>
      </c>
      <c r="C23" s="8">
        <f>8035-1500-2800</f>
        <v>3735</v>
      </c>
      <c r="D23" s="26">
        <v>142.29</v>
      </c>
      <c r="E23" s="26">
        <v>0</v>
      </c>
      <c r="F23" s="26">
        <v>0</v>
      </c>
      <c r="G23" s="26">
        <f>'4-1-10'!G23+'4-15-10'!D23</f>
        <v>2282.3900000000003</v>
      </c>
      <c r="H23" s="26">
        <f>'4-1-10'!H23+'4-15-10'!E23</f>
        <v>0</v>
      </c>
      <c r="I23" s="26">
        <f>'4-1-10'!I23+'4-15-10'!F23</f>
        <v>0</v>
      </c>
      <c r="J23" s="46">
        <f t="shared" si="4"/>
        <v>2282.3900000000003</v>
      </c>
      <c r="K23" s="6">
        <f t="shared" si="5"/>
        <v>1452.6099999999997</v>
      </c>
      <c r="L23" s="26">
        <f t="shared" si="6"/>
        <v>898.3152857142854</v>
      </c>
    </row>
    <row r="24" spans="1:12" s="24" customFormat="1" ht="11.25">
      <c r="A24" s="16" t="s">
        <v>26</v>
      </c>
      <c r="B24" s="20"/>
      <c r="C24" s="9">
        <f>SUM(C18:C23)</f>
        <v>58212.86</v>
      </c>
      <c r="D24" s="9">
        <f>SUM(D18:D23)</f>
        <v>1189.29</v>
      </c>
      <c r="E24" s="9">
        <f aca="true" t="shared" si="7" ref="E24:L24">SUM(E18:E23)</f>
        <v>1648.6</v>
      </c>
      <c r="F24" s="9">
        <f t="shared" si="7"/>
        <v>0</v>
      </c>
      <c r="G24" s="9">
        <f t="shared" si="7"/>
        <v>14218.830000000002</v>
      </c>
      <c r="H24" s="9">
        <f t="shared" si="7"/>
        <v>24308.789999999997</v>
      </c>
      <c r="I24" s="9">
        <f t="shared" si="7"/>
        <v>0</v>
      </c>
      <c r="J24" s="9">
        <f t="shared" si="7"/>
        <v>38527.619999999995</v>
      </c>
      <c r="K24" s="9">
        <f t="shared" si="7"/>
        <v>19685.24</v>
      </c>
      <c r="L24" s="9">
        <f t="shared" si="7"/>
        <v>10328.532285714284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596</v>
      </c>
      <c r="F26" s="26">
        <v>0</v>
      </c>
      <c r="G26" s="26">
        <f>'4-1-10'!G26+'4-15-10'!D26</f>
        <v>0</v>
      </c>
      <c r="H26" s="26">
        <f>'4-1-10'!H26+'4-15-10'!E26</f>
        <v>10962.679999999998</v>
      </c>
      <c r="I26" s="26">
        <f>'4-1-10'!I26+'4-15-10'!F26</f>
        <v>0</v>
      </c>
      <c r="J26" s="46">
        <f>SUM(G26:I26)</f>
        <v>10962.679999999998</v>
      </c>
      <c r="K26" s="26">
        <f>C26-J26</f>
        <v>11069.320000000002</v>
      </c>
      <c r="L26" s="26">
        <f>C26-(J26/21*26.1)</f>
        <v>8406.954857142859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87.32</v>
      </c>
      <c r="E27" s="26">
        <v>125.07</v>
      </c>
      <c r="F27" s="26">
        <v>0</v>
      </c>
      <c r="G27" s="26">
        <f>'4-1-10'!G27+'4-15-10'!D27</f>
        <v>1718.6400000000003</v>
      </c>
      <c r="H27" s="26">
        <f>'4-1-10'!H27+'4-15-10'!E27</f>
        <v>1852.7999999999997</v>
      </c>
      <c r="I27" s="26">
        <f>'4-1-10'!I27+'4-15-10'!F27</f>
        <v>0</v>
      </c>
      <c r="J27" s="46">
        <f>SUM(G27:I27)</f>
        <v>3571.44</v>
      </c>
      <c r="K27" s="6">
        <f>C27-J27</f>
        <v>2129.56</v>
      </c>
      <c r="L27" s="26">
        <f>C27-(J27/21*26.1)</f>
        <v>1262.2102857142854</v>
      </c>
    </row>
    <row r="28" spans="1:12" s="24" customFormat="1" ht="11.25">
      <c r="A28" s="16" t="s">
        <v>29</v>
      </c>
      <c r="B28" s="20"/>
      <c r="C28" s="9">
        <f>SUM(C26:C27)</f>
        <v>27733</v>
      </c>
      <c r="D28" s="9">
        <f>SUM(D26:D27)</f>
        <v>87.32</v>
      </c>
      <c r="E28" s="9">
        <f>SUM(E26:E27)</f>
        <v>721.0699999999999</v>
      </c>
      <c r="F28" s="9">
        <f aca="true" t="shared" si="8" ref="F28:L28">SUM(F26:F27)</f>
        <v>0</v>
      </c>
      <c r="G28" s="9">
        <f t="shared" si="8"/>
        <v>1718.6400000000003</v>
      </c>
      <c r="H28" s="9">
        <f t="shared" si="8"/>
        <v>12815.479999999998</v>
      </c>
      <c r="I28" s="9">
        <f t="shared" si="8"/>
        <v>0</v>
      </c>
      <c r="J28" s="9">
        <f t="shared" si="8"/>
        <v>14534.119999999999</v>
      </c>
      <c r="K28" s="9">
        <f t="shared" si="8"/>
        <v>13198.880000000001</v>
      </c>
      <c r="L28" s="9">
        <f t="shared" si="8"/>
        <v>9669.165142857144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367.57</v>
      </c>
      <c r="E30" s="26">
        <v>1750.51</v>
      </c>
      <c r="F30" s="26">
        <v>0</v>
      </c>
      <c r="G30" s="26">
        <f>'4-1-10'!G30+'4-15-10'!D30</f>
        <v>2726.11</v>
      </c>
      <c r="H30" s="26">
        <f>'4-1-10'!H30+'4-15-10'!E30</f>
        <v>41093.58000000001</v>
      </c>
      <c r="I30" s="26">
        <f>'4-1-10'!I30+'4-15-10'!F30</f>
        <v>0</v>
      </c>
      <c r="J30" s="6">
        <f>SUM(G30:I30)</f>
        <v>43819.69000000001</v>
      </c>
      <c r="K30" s="26">
        <f>C30-J30</f>
        <v>17851.30999999999</v>
      </c>
      <c r="L30" s="26">
        <f>C30-(J30/21*26.1)</f>
        <v>7209.38528571427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f>616.8-700</f>
        <v>-83.20000000000005</v>
      </c>
      <c r="F31" s="26">
        <v>0</v>
      </c>
      <c r="G31" s="26">
        <f>'4-1-10'!G31+'4-15-10'!D31</f>
        <v>0</v>
      </c>
      <c r="H31" s="26">
        <f>'4-1-10'!H31+'4-15-10'!E31</f>
        <v>10182.059999999998</v>
      </c>
      <c r="I31" s="26">
        <f>'4-1-10'!I31+'4-15-10'!F31</f>
        <v>0</v>
      </c>
      <c r="J31" s="6">
        <f>SUM(G31:I31)</f>
        <v>10182.059999999998</v>
      </c>
      <c r="K31" s="6">
        <f>C31-J31</f>
        <v>5898.940000000002</v>
      </c>
      <c r="L31" s="26">
        <f>C31-(J31/21*26.1)</f>
        <v>3426.1540000000023</v>
      </c>
    </row>
    <row r="32" spans="1:12" s="24" customFormat="1" ht="11.25">
      <c r="A32" s="21" t="s">
        <v>32</v>
      </c>
      <c r="B32" s="54"/>
      <c r="C32" s="55">
        <f>SUM(C30:C31)</f>
        <v>77752</v>
      </c>
      <c r="D32" s="9">
        <f>SUM(D30:D31)</f>
        <v>367.57</v>
      </c>
      <c r="E32" s="9">
        <f>SUM(E30:E31)</f>
        <v>1667.31</v>
      </c>
      <c r="F32" s="9">
        <f aca="true" t="shared" si="9" ref="F32:L32">SUM(F30:F31)</f>
        <v>0</v>
      </c>
      <c r="G32" s="9">
        <f t="shared" si="9"/>
        <v>2726.11</v>
      </c>
      <c r="H32" s="9">
        <f t="shared" si="9"/>
        <v>51275.64000000001</v>
      </c>
      <c r="I32" s="9">
        <f t="shared" si="9"/>
        <v>0</v>
      </c>
      <c r="J32" s="9">
        <f t="shared" si="9"/>
        <v>54001.75000000001</v>
      </c>
      <c r="K32" s="9">
        <f t="shared" si="9"/>
        <v>23750.249999999993</v>
      </c>
      <c r="L32" s="9">
        <f t="shared" si="9"/>
        <v>10635.539285714272</v>
      </c>
    </row>
    <row r="33" spans="1:12" s="24" customFormat="1" ht="11.25">
      <c r="A33" s="23"/>
      <c r="B33" s="23"/>
      <c r="C33" s="14">
        <f aca="true" t="shared" si="10" ref="C33:L33">C16+C24+C28+C32</f>
        <v>338320.86</v>
      </c>
      <c r="D33" s="14">
        <f t="shared" si="10"/>
        <v>4806.02</v>
      </c>
      <c r="E33" s="14">
        <f t="shared" si="10"/>
        <v>8010.4299999999985</v>
      </c>
      <c r="F33" s="14">
        <f t="shared" si="10"/>
        <v>0</v>
      </c>
      <c r="G33" s="14">
        <f t="shared" si="10"/>
        <v>65614.42</v>
      </c>
      <c r="H33" s="14">
        <f t="shared" si="10"/>
        <v>154818.02</v>
      </c>
      <c r="I33" s="14">
        <f t="shared" si="10"/>
        <v>0</v>
      </c>
      <c r="J33" s="14">
        <f t="shared" si="10"/>
        <v>220432.44</v>
      </c>
      <c r="K33" s="14">
        <f t="shared" si="10"/>
        <v>117888.42000000001</v>
      </c>
      <c r="L33" s="14">
        <f t="shared" si="10"/>
        <v>64354.82742857141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5">
      <c r="A38" s="52" t="s">
        <v>40</v>
      </c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52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4-15-10</oddHeader>
    <oddFooter>&amp;CFY 2009-2010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10">
      <selection activeCell="J14" sqref="J14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f>13319-800</f>
        <v>12519</v>
      </c>
      <c r="D4" s="26">
        <v>187.75</v>
      </c>
      <c r="E4" s="26">
        <v>134.46</v>
      </c>
      <c r="F4" s="26">
        <v>0</v>
      </c>
      <c r="G4" s="26">
        <f>'4-15-10'!G4+'4-29-10'!D4</f>
        <v>2486.8300000000004</v>
      </c>
      <c r="H4" s="26">
        <f>'4-15-10'!H4+'4-29-10'!E4</f>
        <v>4946.999999999999</v>
      </c>
      <c r="I4" s="26">
        <f>'4-15-10'!I4+'4-29-10'!F4</f>
        <v>0</v>
      </c>
      <c r="J4" s="44">
        <f>SUM(G4:I4)</f>
        <v>7433.83</v>
      </c>
      <c r="K4" s="26">
        <f>C4-J4</f>
        <v>5085.17</v>
      </c>
      <c r="L4" s="26">
        <f aca="true" t="shared" si="0" ref="L4:L15">C4-(J4/22*26.1)</f>
        <v>3699.774409090909</v>
      </c>
    </row>
    <row r="5" spans="1:12" s="24" customFormat="1" ht="11.25">
      <c r="A5" s="7" t="s">
        <v>13</v>
      </c>
      <c r="B5" s="7">
        <v>55020400</v>
      </c>
      <c r="C5" s="8">
        <f>22049-800</f>
        <v>21249</v>
      </c>
      <c r="D5" s="26">
        <v>548.5</v>
      </c>
      <c r="E5" s="26">
        <v>273.75</v>
      </c>
      <c r="F5" s="26">
        <v>0</v>
      </c>
      <c r="G5" s="26">
        <f>'4-15-10'!G5+'4-29-10'!D5</f>
        <v>9120.16</v>
      </c>
      <c r="H5" s="26">
        <f>'4-15-10'!H5+'4-29-10'!E5</f>
        <v>5756.380000000001</v>
      </c>
      <c r="I5" s="26">
        <f>'4-15-10'!I5+'4-29-10'!F5</f>
        <v>0</v>
      </c>
      <c r="J5" s="46">
        <f aca="true" t="shared" si="1" ref="J5:J15">SUM(G5:I5)</f>
        <v>14876.54</v>
      </c>
      <c r="K5" s="6">
        <f aca="true" t="shared" si="2" ref="K5:K15">C5-J5</f>
        <v>6372.459999999999</v>
      </c>
      <c r="L5" s="26">
        <f t="shared" si="0"/>
        <v>3600.013909090907</v>
      </c>
    </row>
    <row r="6" spans="1:12" s="24" customFormat="1" ht="11.25">
      <c r="A6" s="7" t="s">
        <v>14</v>
      </c>
      <c r="B6" s="7">
        <v>55020500</v>
      </c>
      <c r="C6" s="8">
        <f>13601-800</f>
        <v>12801</v>
      </c>
      <c r="D6" s="44">
        <v>161.08</v>
      </c>
      <c r="E6" s="44">
        <v>171.26</v>
      </c>
      <c r="F6" s="26">
        <v>0</v>
      </c>
      <c r="G6" s="26">
        <f>'4-15-10'!G6+'4-29-10'!D6</f>
        <v>2413.8900000000003</v>
      </c>
      <c r="H6" s="26">
        <f>'4-15-10'!H6+'4-29-10'!E6</f>
        <v>5053.470000000001</v>
      </c>
      <c r="I6" s="26">
        <f>'4-15-10'!I6+'4-29-10'!F6</f>
        <v>0</v>
      </c>
      <c r="J6" s="46">
        <f t="shared" si="1"/>
        <v>7467.3600000000015</v>
      </c>
      <c r="K6" s="6">
        <f t="shared" si="2"/>
        <v>5333.6399999999985</v>
      </c>
      <c r="L6" s="26">
        <f t="shared" si="0"/>
        <v>3941.995636363634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250.62</v>
      </c>
      <c r="E7" s="26">
        <v>0</v>
      </c>
      <c r="F7" s="26">
        <v>0</v>
      </c>
      <c r="G7" s="26">
        <f>'4-15-10'!G7+'4-29-10'!D7</f>
        <v>4993.14</v>
      </c>
      <c r="H7" s="26">
        <f>'4-15-10'!H7+'4-29-10'!E7</f>
        <v>135.97</v>
      </c>
      <c r="I7" s="26">
        <f>'4-15-10'!I7+'4-29-10'!F7</f>
        <v>0</v>
      </c>
      <c r="J7" s="46">
        <f t="shared" si="1"/>
        <v>5129.110000000001</v>
      </c>
      <c r="K7" s="6">
        <f t="shared" si="2"/>
        <v>1420.8899999999994</v>
      </c>
      <c r="L7" s="26">
        <f t="shared" si="0"/>
        <v>465.01040909090807</v>
      </c>
    </row>
    <row r="8" spans="1:12" s="24" customFormat="1" ht="11.25">
      <c r="A8" s="7" t="s">
        <v>16</v>
      </c>
      <c r="B8" s="7">
        <v>55040100</v>
      </c>
      <c r="C8" s="8">
        <f>9783+2400</f>
        <v>12183</v>
      </c>
      <c r="D8" s="26">
        <v>235.4</v>
      </c>
      <c r="E8" s="26">
        <v>0</v>
      </c>
      <c r="F8" s="26">
        <v>0</v>
      </c>
      <c r="G8" s="26">
        <f>'4-15-10'!G8+'4-29-10'!D8</f>
        <v>4207.74</v>
      </c>
      <c r="H8" s="26">
        <f>'4-15-10'!H8+'4-29-10'!E8</f>
        <v>0</v>
      </c>
      <c r="I8" s="26">
        <f>'4-15-10'!I8+'4-29-10'!F8</f>
        <v>0</v>
      </c>
      <c r="J8" s="46">
        <f t="shared" si="1"/>
        <v>4207.74</v>
      </c>
      <c r="K8" s="6">
        <f t="shared" si="2"/>
        <v>7975.26</v>
      </c>
      <c r="L8" s="26">
        <f t="shared" si="0"/>
        <v>7191.090272727272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191.59</v>
      </c>
      <c r="E9" s="26">
        <v>362.5</v>
      </c>
      <c r="F9" s="26">
        <v>0</v>
      </c>
      <c r="G9" s="26">
        <f>'4-15-10'!G9+'4-29-10'!D9</f>
        <v>4214.67</v>
      </c>
      <c r="H9" s="26">
        <f>'4-15-10'!H9+'4-29-10'!E9</f>
        <v>1987.5</v>
      </c>
      <c r="I9" s="26">
        <f>'4-15-10'!I9+'4-29-10'!F9</f>
        <v>0</v>
      </c>
      <c r="J9" s="46">
        <f t="shared" si="1"/>
        <v>6202.17</v>
      </c>
      <c r="K9" s="6">
        <f t="shared" si="2"/>
        <v>1803.83</v>
      </c>
      <c r="L9" s="26">
        <f t="shared" si="0"/>
        <v>647.9710454545448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f>314.6+67.94</f>
        <v>382.54</v>
      </c>
      <c r="E10" s="26">
        <v>1430.65</v>
      </c>
      <c r="F10" s="26">
        <v>0</v>
      </c>
      <c r="G10" s="26">
        <f>'4-15-10'!G10+'4-29-10'!D10</f>
        <v>6292.3200000000015</v>
      </c>
      <c r="H10" s="26">
        <f>'4-15-10'!H10+'4-29-10'!E10</f>
        <v>15180.919999999998</v>
      </c>
      <c r="I10" s="26">
        <f>'4-15-10'!I10+'4-29-10'!F10</f>
        <v>0</v>
      </c>
      <c r="J10" s="46">
        <f>SUM(G10:I10)</f>
        <v>21473.239999999998</v>
      </c>
      <c r="K10" s="6">
        <f t="shared" si="2"/>
        <v>3722.760000000002</v>
      </c>
      <c r="L10" s="26">
        <f t="shared" si="0"/>
        <v>-279.07109090909216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'4-15-10'!G11+'4-29-10'!D11</f>
        <v>0</v>
      </c>
      <c r="H11" s="26">
        <f>'4-15-10'!H11+'4-29-10'!E11</f>
        <v>6959.219999999999</v>
      </c>
      <c r="I11" s="26">
        <f>'4-15-10'!I11+'4-29-10'!F11</f>
        <v>0</v>
      </c>
      <c r="J11" s="46">
        <f t="shared" si="1"/>
        <v>6959.219999999999</v>
      </c>
      <c r="K11" s="6">
        <f t="shared" si="2"/>
        <v>540.7800000000007</v>
      </c>
      <c r="L11" s="26">
        <f t="shared" si="0"/>
        <v>-756.1655454545453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49.85</v>
      </c>
      <c r="E12" s="26">
        <v>203</v>
      </c>
      <c r="F12" s="26">
        <v>0</v>
      </c>
      <c r="G12" s="26">
        <f>'4-15-10'!G12+'4-29-10'!D12</f>
        <v>1303.58</v>
      </c>
      <c r="H12" s="26">
        <f>'4-15-10'!H12+'4-29-10'!E12</f>
        <v>2050.15</v>
      </c>
      <c r="I12" s="26">
        <f>'4-15-10'!I12+'4-29-10'!F12</f>
        <v>0</v>
      </c>
      <c r="J12" s="46">
        <f t="shared" si="1"/>
        <v>3353.73</v>
      </c>
      <c r="K12" s="6">
        <f t="shared" si="2"/>
        <v>790.27</v>
      </c>
      <c r="L12" s="26">
        <f t="shared" si="0"/>
        <v>165.25668181818173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125.64</v>
      </c>
      <c r="E13" s="26">
        <v>366.84</v>
      </c>
      <c r="F13" s="26">
        <v>0</v>
      </c>
      <c r="G13" s="26">
        <f>'4-15-10'!G13+'4-29-10'!D13</f>
        <v>1782.2100000000003</v>
      </c>
      <c r="H13" s="26">
        <f>'4-15-10'!H13+'4-29-10'!E13</f>
        <v>8443.32</v>
      </c>
      <c r="I13" s="26">
        <f>'4-15-10'!I13+'4-29-10'!F13</f>
        <v>0</v>
      </c>
      <c r="J13" s="46">
        <f t="shared" si="1"/>
        <v>10225.53</v>
      </c>
      <c r="K13" s="6">
        <f t="shared" si="2"/>
        <v>9948.47</v>
      </c>
      <c r="L13" s="26">
        <f t="shared" si="0"/>
        <v>8042.803045454544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684.17</v>
      </c>
      <c r="E14" s="26">
        <v>1292.39</v>
      </c>
      <c r="F14" s="26">
        <v>0</v>
      </c>
      <c r="G14" s="26">
        <f>'4-15-10'!G14+'4-29-10'!D14</f>
        <v>10361.739999999998</v>
      </c>
      <c r="H14" s="26">
        <f>'4-15-10'!H14+'4-29-10'!E14</f>
        <v>14350.89</v>
      </c>
      <c r="I14" s="26">
        <f>'4-15-10'!I14+'4-29-10'!F14</f>
        <v>0</v>
      </c>
      <c r="J14" s="46">
        <f t="shared" si="1"/>
        <v>24712.629999999997</v>
      </c>
      <c r="K14" s="6">
        <f t="shared" si="2"/>
        <v>6296.370000000003</v>
      </c>
      <c r="L14" s="26">
        <f t="shared" si="0"/>
        <v>1690.8344090909122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215.18</v>
      </c>
      <c r="E15" s="26">
        <v>337.48</v>
      </c>
      <c r="F15" s="26">
        <v>0</v>
      </c>
      <c r="G15" s="26">
        <f>'4-15-10'!G15+'4-29-10'!D15</f>
        <v>2806.879999999999</v>
      </c>
      <c r="H15" s="26">
        <f>'4-15-10'!H15+'4-29-10'!E15</f>
        <v>6510.24</v>
      </c>
      <c r="I15" s="26">
        <f>'4-15-10'!I15+'4-29-10'!F15</f>
        <v>0</v>
      </c>
      <c r="J15" s="46">
        <f t="shared" si="1"/>
        <v>9317.119999999999</v>
      </c>
      <c r="K15" s="6">
        <f t="shared" si="2"/>
        <v>3974.880000000001</v>
      </c>
      <c r="L15" s="26">
        <f t="shared" si="0"/>
        <v>2238.507636363638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3032.3199999999997</v>
      </c>
      <c r="E16" s="25">
        <f t="shared" si="3"/>
        <v>4956.950000000001</v>
      </c>
      <c r="F16" s="25">
        <f t="shared" si="3"/>
        <v>0</v>
      </c>
      <c r="G16" s="25">
        <f t="shared" si="3"/>
        <v>49983.159999999996</v>
      </c>
      <c r="H16" s="25">
        <f t="shared" si="3"/>
        <v>71375.06</v>
      </c>
      <c r="I16" s="25">
        <f t="shared" si="3"/>
        <v>0</v>
      </c>
      <c r="J16" s="49">
        <f t="shared" si="3"/>
        <v>121358.21999999997</v>
      </c>
      <c r="K16" s="25">
        <f t="shared" si="3"/>
        <v>53264.78</v>
      </c>
      <c r="L16" s="9">
        <f t="shared" si="3"/>
        <v>30648.02081818181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41.26</v>
      </c>
      <c r="E18" s="6">
        <v>504.33</v>
      </c>
      <c r="F18" s="6">
        <v>0</v>
      </c>
      <c r="G18" s="6">
        <f>'4-15-10'!G18+'4-29-10'!D18</f>
        <v>1907.4099999999996</v>
      </c>
      <c r="H18" s="6">
        <f>'4-15-10'!H18+'4-29-10'!E18</f>
        <v>10890.749999999998</v>
      </c>
      <c r="I18" s="6">
        <f>'4-15-10'!I18+'4-29-10'!F18</f>
        <v>0</v>
      </c>
      <c r="J18" s="46">
        <f aca="true" t="shared" si="4" ref="J18:J23">SUM(G18:I18)</f>
        <v>12798.159999999998</v>
      </c>
      <c r="K18" s="6">
        <f aca="true" t="shared" si="5" ref="K18:K23">C18-J18</f>
        <v>3092.840000000002</v>
      </c>
      <c r="L18" s="6">
        <f aca="true" t="shared" si="6" ref="L18:L23">C18-(J18/22*26.1)</f>
        <v>707.7283636363645</v>
      </c>
    </row>
    <row r="19" spans="1:12" s="24" customFormat="1" ht="11.25">
      <c r="A19" s="10" t="s">
        <v>34</v>
      </c>
      <c r="B19" s="10">
        <v>55160100</v>
      </c>
      <c r="C19" s="11">
        <f>15893-500-1300</f>
        <v>14093</v>
      </c>
      <c r="D19" s="26">
        <v>176.38</v>
      </c>
      <c r="E19" s="26">
        <v>163.15</v>
      </c>
      <c r="F19" s="26">
        <v>0</v>
      </c>
      <c r="G19" s="26">
        <f>'4-15-10'!G19+'4-29-10'!D19</f>
        <v>3100.6400000000003</v>
      </c>
      <c r="H19" s="26">
        <f>'4-15-10'!H19+'4-29-10'!E19</f>
        <v>6223.290000000001</v>
      </c>
      <c r="I19" s="26">
        <f>'4-15-10'!I19+'4-29-10'!F19</f>
        <v>0</v>
      </c>
      <c r="J19" s="46">
        <f t="shared" si="4"/>
        <v>9323.93</v>
      </c>
      <c r="K19" s="6">
        <f t="shared" si="5"/>
        <v>4769.07</v>
      </c>
      <c r="L19" s="26">
        <f t="shared" si="6"/>
        <v>3031.4285</v>
      </c>
    </row>
    <row r="20" spans="1:12" s="24" customFormat="1" ht="11.25">
      <c r="A20" s="7" t="s">
        <v>33</v>
      </c>
      <c r="B20" s="7">
        <v>55030100</v>
      </c>
      <c r="C20" s="8">
        <f>14568-1092.14-563.62</f>
        <v>12912.24</v>
      </c>
      <c r="D20" s="26">
        <v>235.2</v>
      </c>
      <c r="E20" s="26">
        <v>164.94</v>
      </c>
      <c r="F20" s="26">
        <v>0</v>
      </c>
      <c r="G20" s="26">
        <f>'4-15-10'!G20+'4-29-10'!D20</f>
        <v>3478.9900000000002</v>
      </c>
      <c r="H20" s="26">
        <f>'4-15-10'!H20+'4-29-10'!E20</f>
        <v>2915.9</v>
      </c>
      <c r="I20" s="26">
        <f>'4-15-10'!I20+'4-29-10'!F20</f>
        <v>0</v>
      </c>
      <c r="J20" s="46">
        <f t="shared" si="4"/>
        <v>6394.89</v>
      </c>
      <c r="K20" s="6">
        <f t="shared" si="5"/>
        <v>6517.349999999999</v>
      </c>
      <c r="L20" s="26">
        <f t="shared" si="6"/>
        <v>5325.575045454544</v>
      </c>
    </row>
    <row r="21" spans="1:12" s="24" customFormat="1" ht="11.25">
      <c r="A21" s="7" t="s">
        <v>23</v>
      </c>
      <c r="B21" s="7">
        <v>55100100</v>
      </c>
      <c r="C21" s="8">
        <f>6082-4056</f>
        <v>2026</v>
      </c>
      <c r="D21" s="26">
        <v>3.73</v>
      </c>
      <c r="E21" s="26">
        <v>184.88</v>
      </c>
      <c r="F21" s="26">
        <v>0</v>
      </c>
      <c r="G21" s="26">
        <f>'4-15-10'!G21+'4-29-10'!D21</f>
        <v>363.23999999999995</v>
      </c>
      <c r="H21" s="26">
        <f>'4-15-10'!H21+'4-29-10'!E21</f>
        <v>1069.38</v>
      </c>
      <c r="I21" s="26">
        <f>'4-15-10'!I21+'4-29-10'!F21</f>
        <v>0</v>
      </c>
      <c r="J21" s="46">
        <f t="shared" si="4"/>
        <v>1432.6200000000001</v>
      </c>
      <c r="K21" s="6">
        <f t="shared" si="5"/>
        <v>593.3799999999999</v>
      </c>
      <c r="L21" s="26">
        <f t="shared" si="6"/>
        <v>326.39172727272694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f>27.19+242.22</f>
        <v>269.41</v>
      </c>
      <c r="E22" s="26">
        <f>59.76+29</f>
        <v>88.75999999999999</v>
      </c>
      <c r="F22" s="26">
        <v>0</v>
      </c>
      <c r="G22" s="26">
        <f>'4-15-10'!G22+'4-29-10'!D22</f>
        <v>3812.14</v>
      </c>
      <c r="H22" s="26">
        <f>'4-15-10'!H22+'4-29-10'!E22</f>
        <v>4315.530000000001</v>
      </c>
      <c r="I22" s="26">
        <f>'4-15-10'!I22+'4-29-10'!F22</f>
        <v>0</v>
      </c>
      <c r="J22" s="46">
        <f t="shared" si="4"/>
        <v>8127.67</v>
      </c>
      <c r="K22" s="6">
        <f t="shared" si="5"/>
        <v>-435.6700000000001</v>
      </c>
      <c r="L22" s="26">
        <f t="shared" si="6"/>
        <v>-1950.372136363636</v>
      </c>
    </row>
    <row r="23" spans="1:12" s="24" customFormat="1" ht="11.25">
      <c r="A23" s="7" t="s">
        <v>25</v>
      </c>
      <c r="B23" s="19">
        <v>55110100</v>
      </c>
      <c r="C23" s="8">
        <f>8035-1500-2800</f>
        <v>3735</v>
      </c>
      <c r="D23" s="26">
        <v>136.4</v>
      </c>
      <c r="E23" s="26">
        <v>0</v>
      </c>
      <c r="F23" s="26">
        <v>0</v>
      </c>
      <c r="G23" s="26">
        <f>'4-15-10'!G23+'4-29-10'!D23</f>
        <v>2418.7900000000004</v>
      </c>
      <c r="H23" s="26">
        <f>'4-15-10'!H23+'4-29-10'!E23</f>
        <v>0</v>
      </c>
      <c r="I23" s="26">
        <f>'4-15-10'!I23+'4-29-10'!F23</f>
        <v>0</v>
      </c>
      <c r="J23" s="46">
        <f t="shared" si="4"/>
        <v>2418.7900000000004</v>
      </c>
      <c r="K23" s="6">
        <f t="shared" si="5"/>
        <v>1316.2099999999996</v>
      </c>
      <c r="L23" s="26">
        <f t="shared" si="6"/>
        <v>865.4354999999991</v>
      </c>
    </row>
    <row r="24" spans="1:12" s="24" customFormat="1" ht="11.25">
      <c r="A24" s="16" t="s">
        <v>26</v>
      </c>
      <c r="B24" s="20"/>
      <c r="C24" s="9">
        <f>SUM(C18:C23)</f>
        <v>56349.24</v>
      </c>
      <c r="D24" s="9">
        <f>SUM(D18:D23)</f>
        <v>862.38</v>
      </c>
      <c r="E24" s="9">
        <f aca="true" t="shared" si="7" ref="E24:L24">SUM(E18:E23)</f>
        <v>1106.06</v>
      </c>
      <c r="F24" s="9">
        <f t="shared" si="7"/>
        <v>0</v>
      </c>
      <c r="G24" s="9">
        <f t="shared" si="7"/>
        <v>15081.210000000001</v>
      </c>
      <c r="H24" s="9">
        <f t="shared" si="7"/>
        <v>25414.850000000006</v>
      </c>
      <c r="I24" s="9">
        <f t="shared" si="7"/>
        <v>0</v>
      </c>
      <c r="J24" s="9">
        <f t="shared" si="7"/>
        <v>40496.06</v>
      </c>
      <c r="K24" s="9">
        <f t="shared" si="7"/>
        <v>15853.18</v>
      </c>
      <c r="L24" s="9">
        <f t="shared" si="7"/>
        <v>8306.186999999998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596</v>
      </c>
      <c r="F26" s="26">
        <v>0</v>
      </c>
      <c r="G26" s="26">
        <f>'4-15-10'!G26+'4-29-10'!D26</f>
        <v>0</v>
      </c>
      <c r="H26" s="26">
        <f>'4-15-10'!H26+'4-29-10'!E26</f>
        <v>11558.679999999998</v>
      </c>
      <c r="I26" s="26">
        <f>'4-15-10'!I26+'4-29-10'!F26</f>
        <v>0</v>
      </c>
      <c r="J26" s="46">
        <f>SUM(G26:I26)</f>
        <v>11558.679999999998</v>
      </c>
      <c r="K26" s="26">
        <f>C26-J26</f>
        <v>10473.320000000002</v>
      </c>
      <c r="L26" s="26">
        <f>C26-(J26/22*26.1)</f>
        <v>8319.202363636363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83.11</v>
      </c>
      <c r="E27" s="26">
        <v>114.19</v>
      </c>
      <c r="F27" s="26">
        <v>0</v>
      </c>
      <c r="G27" s="26">
        <f>'4-15-10'!G27+'4-29-10'!D27</f>
        <v>1801.7500000000002</v>
      </c>
      <c r="H27" s="26">
        <f>'4-15-10'!H27+'4-29-10'!E27</f>
        <v>1966.9899999999998</v>
      </c>
      <c r="I27" s="26">
        <f>'4-15-10'!I27+'4-29-10'!F27</f>
        <v>0</v>
      </c>
      <c r="J27" s="46">
        <f>SUM(G27:I27)</f>
        <v>3768.74</v>
      </c>
      <c r="K27" s="6">
        <f>C27-J27</f>
        <v>1932.2600000000002</v>
      </c>
      <c r="L27" s="26">
        <f>C27-(J27/22*26.1)</f>
        <v>1229.903909090909</v>
      </c>
    </row>
    <row r="28" spans="1:12" s="24" customFormat="1" ht="11.25">
      <c r="A28" s="16" t="s">
        <v>29</v>
      </c>
      <c r="B28" s="20"/>
      <c r="C28" s="9">
        <f>SUM(C26:C27)</f>
        <v>27733</v>
      </c>
      <c r="D28" s="9">
        <f>SUM(D26:D27)</f>
        <v>83.11</v>
      </c>
      <c r="E28" s="9">
        <f>SUM(E26:E27)</f>
        <v>710.19</v>
      </c>
      <c r="F28" s="9">
        <f aca="true" t="shared" si="8" ref="F28:L28">SUM(F26:F27)</f>
        <v>0</v>
      </c>
      <c r="G28" s="9">
        <f t="shared" si="8"/>
        <v>1801.7500000000002</v>
      </c>
      <c r="H28" s="9">
        <f t="shared" si="8"/>
        <v>13525.669999999998</v>
      </c>
      <c r="I28" s="9">
        <f t="shared" si="8"/>
        <v>0</v>
      </c>
      <c r="J28" s="9">
        <f t="shared" si="8"/>
        <v>15327.419999999998</v>
      </c>
      <c r="K28" s="9">
        <f t="shared" si="8"/>
        <v>12405.580000000002</v>
      </c>
      <c r="L28" s="9">
        <f t="shared" si="8"/>
        <v>9549.106272727273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315.46</v>
      </c>
      <c r="E30" s="26">
        <v>1822.2</v>
      </c>
      <c r="F30" s="26">
        <v>0</v>
      </c>
      <c r="G30" s="26">
        <f>'4-15-10'!G30+'4-29-10'!D30</f>
        <v>3041.57</v>
      </c>
      <c r="H30" s="26">
        <f>'4-15-10'!H30+'4-29-10'!E30</f>
        <v>42915.780000000006</v>
      </c>
      <c r="I30" s="26">
        <f>'4-15-10'!I30+'4-29-10'!F30</f>
        <v>0</v>
      </c>
      <c r="J30" s="6">
        <f>SUM(G30:I30)</f>
        <v>45957.350000000006</v>
      </c>
      <c r="K30" s="26">
        <f>C30-J30</f>
        <v>15713.649999999994</v>
      </c>
      <c r="L30" s="26">
        <f>C30-(J30/22*26.1)</f>
        <v>7148.871136363632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616.8</v>
      </c>
      <c r="F31" s="26">
        <v>0</v>
      </c>
      <c r="G31" s="26">
        <f>'4-15-10'!G31+'4-29-10'!D31</f>
        <v>0</v>
      </c>
      <c r="H31" s="26">
        <f>'4-15-10'!H31+'4-29-10'!E31</f>
        <v>10798.859999999997</v>
      </c>
      <c r="I31" s="26">
        <f>'4-15-10'!I31+'4-29-10'!F31</f>
        <v>0</v>
      </c>
      <c r="J31" s="6">
        <f>SUM(G31:I31)</f>
        <v>10798.859999999997</v>
      </c>
      <c r="K31" s="6">
        <f>C31-J31</f>
        <v>5282.140000000003</v>
      </c>
      <c r="L31" s="26">
        <f>C31-(J31/22*26.1)</f>
        <v>3269.6251818181845</v>
      </c>
    </row>
    <row r="32" spans="1:12" s="24" customFormat="1" ht="11.25">
      <c r="A32" s="21" t="s">
        <v>32</v>
      </c>
      <c r="B32" s="54"/>
      <c r="C32" s="55">
        <f>SUM(C30:C31)</f>
        <v>77752</v>
      </c>
      <c r="D32" s="9">
        <f>SUM(D30:D31)</f>
        <v>315.46</v>
      </c>
      <c r="E32" s="9">
        <f>SUM(E30:E31)</f>
        <v>2439</v>
      </c>
      <c r="F32" s="9">
        <f aca="true" t="shared" si="9" ref="F32:L32">SUM(F30:F31)</f>
        <v>0</v>
      </c>
      <c r="G32" s="9">
        <f t="shared" si="9"/>
        <v>3041.57</v>
      </c>
      <c r="H32" s="9">
        <f t="shared" si="9"/>
        <v>53714.64</v>
      </c>
      <c r="I32" s="9">
        <f t="shared" si="9"/>
        <v>0</v>
      </c>
      <c r="J32" s="9">
        <f t="shared" si="9"/>
        <v>56756.21000000001</v>
      </c>
      <c r="K32" s="9">
        <f t="shared" si="9"/>
        <v>20995.789999999997</v>
      </c>
      <c r="L32" s="9">
        <f t="shared" si="9"/>
        <v>10418.496318181817</v>
      </c>
    </row>
    <row r="33" spans="1:12" s="24" customFormat="1" ht="11.25">
      <c r="A33" s="23"/>
      <c r="B33" s="23"/>
      <c r="C33" s="14">
        <f aca="true" t="shared" si="10" ref="C33:L33">C16+C24+C28+C32</f>
        <v>336457.24</v>
      </c>
      <c r="D33" s="14">
        <f t="shared" si="10"/>
        <v>4293.2699999999995</v>
      </c>
      <c r="E33" s="14">
        <f t="shared" si="10"/>
        <v>9212.2</v>
      </c>
      <c r="F33" s="14">
        <f t="shared" si="10"/>
        <v>0</v>
      </c>
      <c r="G33" s="14">
        <f t="shared" si="10"/>
        <v>69907.69</v>
      </c>
      <c r="H33" s="14">
        <f t="shared" si="10"/>
        <v>164030.22</v>
      </c>
      <c r="I33" s="14">
        <f t="shared" si="10"/>
        <v>0</v>
      </c>
      <c r="J33" s="14">
        <f t="shared" si="10"/>
        <v>233937.90999999997</v>
      </c>
      <c r="K33" s="14">
        <f t="shared" si="10"/>
        <v>102519.32999999999</v>
      </c>
      <c r="L33" s="14">
        <f t="shared" si="10"/>
        <v>58921.8104090909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1.25" customHeight="1">
      <c r="A39" s="52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25" customHeight="1">
      <c r="A40" s="3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4-29-10</oddHeader>
    <oddFooter>&amp;CFY 2009-2010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B8">
      <selection activeCell="H38" sqref="H38"/>
    </sheetView>
  </sheetViews>
  <sheetFormatPr defaultColWidth="9.140625" defaultRowHeight="15"/>
  <cols>
    <col min="1" max="1" width="23.140625" style="24" customWidth="1"/>
    <col min="2" max="2" width="12.28125" style="24" bestFit="1" customWidth="1"/>
    <col min="3" max="3" width="12.57421875" style="24" bestFit="1" customWidth="1"/>
    <col min="4" max="4" width="12.28125" style="24" bestFit="1" customWidth="1"/>
    <col min="5" max="5" width="10.8515625" style="24" bestFit="1" customWidth="1"/>
    <col min="6" max="6" width="11.28125" style="24" bestFit="1" customWidth="1"/>
    <col min="7" max="7" width="11.57421875" style="24" bestFit="1" customWidth="1"/>
    <col min="8" max="8" width="12.57421875" style="24" bestFit="1" customWidth="1"/>
    <col min="9" max="9" width="9.28125" style="24" bestFit="1" customWidth="1"/>
    <col min="10" max="10" width="12.57421875" style="24" bestFit="1" customWidth="1"/>
    <col min="11" max="11" width="11.57421875" style="24" bestFit="1" customWidth="1"/>
    <col min="12" max="12" width="13.57421875" style="24" bestFit="1" customWidth="1"/>
    <col min="13" max="16384" width="9.140625" style="24" customWidth="1"/>
  </cols>
  <sheetData>
    <row r="1" spans="1:12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ht="11.25">
      <c r="A4" s="31" t="s">
        <v>12</v>
      </c>
      <c r="B4" s="31">
        <v>55020300</v>
      </c>
      <c r="C4" s="32">
        <f>13319-800</f>
        <v>12519</v>
      </c>
      <c r="D4" s="26">
        <v>22.66</v>
      </c>
      <c r="E4" s="26">
        <v>0</v>
      </c>
      <c r="F4" s="26">
        <v>0</v>
      </c>
      <c r="G4" s="26">
        <f>'4-29-10'!G4+'5-13-10'!D4</f>
        <v>2509.4900000000002</v>
      </c>
      <c r="H4" s="26">
        <f>'4-29-10'!H4+'5-13-10'!E4</f>
        <v>4946.999999999999</v>
      </c>
      <c r="I4" s="26">
        <f>'4-29-10'!I4+'5-13-10'!F4</f>
        <v>0</v>
      </c>
      <c r="J4" s="44">
        <f>SUM(G4:I4)</f>
        <v>7456.49</v>
      </c>
      <c r="K4" s="26">
        <f>C4-J4</f>
        <v>5062.51</v>
      </c>
      <c r="L4" s="26">
        <f>C4-(J4/23*26.1)</f>
        <v>4057.504826086957</v>
      </c>
    </row>
    <row r="5" spans="1:12" ht="11.25">
      <c r="A5" s="7" t="s">
        <v>13</v>
      </c>
      <c r="B5" s="7">
        <v>55020400</v>
      </c>
      <c r="C5" s="8">
        <f>22049-800</f>
        <v>21249</v>
      </c>
      <c r="D5" s="26">
        <v>134.14</v>
      </c>
      <c r="E5" s="26">
        <v>78.84</v>
      </c>
      <c r="F5" s="26">
        <v>0</v>
      </c>
      <c r="G5" s="26">
        <f>'4-29-10'!G5+'5-13-10'!D5</f>
        <v>9254.3</v>
      </c>
      <c r="H5" s="26">
        <f>'4-29-10'!H5+'5-13-10'!E5</f>
        <v>5835.220000000001</v>
      </c>
      <c r="I5" s="26">
        <f>'4-29-10'!I5+'5-13-10'!F5</f>
        <v>0</v>
      </c>
      <c r="J5" s="46">
        <f aca="true" t="shared" si="0" ref="J5:J15">SUM(G5:I5)</f>
        <v>15089.52</v>
      </c>
      <c r="K5" s="6">
        <f aca="true" t="shared" si="1" ref="K5:K15">C5-J5</f>
        <v>6159.48</v>
      </c>
      <c r="L5" s="26">
        <f aca="true" t="shared" si="2" ref="L5:L15">C5-(J5/23*26.1)</f>
        <v>4125.675130434782</v>
      </c>
    </row>
    <row r="6" spans="1:12" ht="11.25">
      <c r="A6" s="7" t="s">
        <v>14</v>
      </c>
      <c r="B6" s="7">
        <v>55020500</v>
      </c>
      <c r="C6" s="8">
        <f>13601-800</f>
        <v>12801</v>
      </c>
      <c r="D6" s="44">
        <v>102.41</v>
      </c>
      <c r="E6" s="44">
        <v>279.13</v>
      </c>
      <c r="F6" s="26">
        <v>0</v>
      </c>
      <c r="G6" s="26">
        <f>'4-29-10'!G6+'5-13-10'!D6</f>
        <v>2516.3</v>
      </c>
      <c r="H6" s="26">
        <f>'4-29-10'!H6+'5-13-10'!E6</f>
        <v>5332.600000000001</v>
      </c>
      <c r="I6" s="26">
        <f>'4-29-10'!I6+'5-13-10'!F6</f>
        <v>0</v>
      </c>
      <c r="J6" s="46">
        <f t="shared" si="0"/>
        <v>7848.9000000000015</v>
      </c>
      <c r="K6" s="6">
        <f t="shared" si="1"/>
        <v>4952.0999999999985</v>
      </c>
      <c r="L6" s="26">
        <f t="shared" si="2"/>
        <v>3894.2047826086928</v>
      </c>
    </row>
    <row r="7" spans="1:12" ht="11.25" customHeight="1">
      <c r="A7" s="7" t="s">
        <v>15</v>
      </c>
      <c r="B7" s="7">
        <v>55020600</v>
      </c>
      <c r="C7" s="8">
        <v>6550</v>
      </c>
      <c r="D7" s="26">
        <v>62.55</v>
      </c>
      <c r="E7" s="26">
        <v>0</v>
      </c>
      <c r="F7" s="26">
        <v>0</v>
      </c>
      <c r="G7" s="26">
        <f>'4-29-10'!G7+'5-13-10'!D7</f>
        <v>5055.6900000000005</v>
      </c>
      <c r="H7" s="26">
        <f>'4-29-10'!H7+'5-13-10'!E7</f>
        <v>135.97</v>
      </c>
      <c r="I7" s="26">
        <f>'4-29-10'!I7+'5-13-10'!F7</f>
        <v>0</v>
      </c>
      <c r="J7" s="46">
        <f t="shared" si="0"/>
        <v>5191.660000000001</v>
      </c>
      <c r="K7" s="6">
        <f t="shared" si="1"/>
        <v>1358.3399999999992</v>
      </c>
      <c r="L7" s="26">
        <f t="shared" si="2"/>
        <v>658.594521739129</v>
      </c>
    </row>
    <row r="8" spans="1:12" ht="11.25">
      <c r="A8" s="7" t="s">
        <v>16</v>
      </c>
      <c r="B8" s="7">
        <v>55040100</v>
      </c>
      <c r="C8" s="8">
        <f>9783+2400</f>
        <v>12183</v>
      </c>
      <c r="D8" s="26">
        <v>96.01</v>
      </c>
      <c r="E8" s="26">
        <v>0</v>
      </c>
      <c r="F8" s="26">
        <v>0</v>
      </c>
      <c r="G8" s="26">
        <f>'4-29-10'!G8+'5-13-10'!D8</f>
        <v>4303.75</v>
      </c>
      <c r="H8" s="26">
        <f>'4-29-10'!H8+'5-13-10'!E8</f>
        <v>0</v>
      </c>
      <c r="I8" s="26">
        <f>'4-29-10'!I8+'5-13-10'!F8</f>
        <v>0</v>
      </c>
      <c r="J8" s="46">
        <f t="shared" si="0"/>
        <v>4303.75</v>
      </c>
      <c r="K8" s="6">
        <f t="shared" si="1"/>
        <v>7879.25</v>
      </c>
      <c r="L8" s="26">
        <f t="shared" si="2"/>
        <v>7299.179347826086</v>
      </c>
    </row>
    <row r="9" spans="1:12" ht="11.25">
      <c r="A9" s="7" t="s">
        <v>17</v>
      </c>
      <c r="B9" s="7">
        <v>55040200</v>
      </c>
      <c r="C9" s="8">
        <v>8006</v>
      </c>
      <c r="D9" s="26">
        <v>197.52</v>
      </c>
      <c r="E9" s="26">
        <v>387.5</v>
      </c>
      <c r="F9" s="26">
        <v>0</v>
      </c>
      <c r="G9" s="26">
        <f>'4-29-10'!G9+'5-13-10'!D9</f>
        <v>4412.1900000000005</v>
      </c>
      <c r="H9" s="26">
        <f>'4-29-10'!H9+'5-13-10'!E9</f>
        <v>2375</v>
      </c>
      <c r="I9" s="26">
        <f>'4-29-10'!I9+'5-13-10'!F9</f>
        <v>0</v>
      </c>
      <c r="J9" s="46">
        <f t="shared" si="0"/>
        <v>6787.1900000000005</v>
      </c>
      <c r="K9" s="6">
        <f t="shared" si="1"/>
        <v>1218.8099999999995</v>
      </c>
      <c r="L9" s="26">
        <f t="shared" si="2"/>
        <v>304.0148260869564</v>
      </c>
    </row>
    <row r="10" spans="1:12" ht="11.25">
      <c r="A10" s="7" t="s">
        <v>18</v>
      </c>
      <c r="B10" s="7">
        <v>55050200</v>
      </c>
      <c r="C10" s="8">
        <v>25196</v>
      </c>
      <c r="D10" s="26">
        <v>126.9</v>
      </c>
      <c r="E10" s="26">
        <v>413.58</v>
      </c>
      <c r="F10" s="26">
        <v>0</v>
      </c>
      <c r="G10" s="26">
        <f>'4-29-10'!G10+'5-13-10'!D10</f>
        <v>6419.220000000001</v>
      </c>
      <c r="H10" s="26">
        <f>'4-29-10'!H10+'5-13-10'!E10</f>
        <v>15594.499999999998</v>
      </c>
      <c r="I10" s="26">
        <f>'4-29-10'!I10+'5-13-10'!F10</f>
        <v>0</v>
      </c>
      <c r="J10" s="46">
        <f t="shared" si="0"/>
        <v>22013.72</v>
      </c>
      <c r="K10" s="6">
        <f t="shared" si="1"/>
        <v>3182.279999999999</v>
      </c>
      <c r="L10" s="26">
        <f t="shared" si="2"/>
        <v>215.21339130434717</v>
      </c>
    </row>
    <row r="11" spans="1:12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384.62</v>
      </c>
      <c r="F11" s="26">
        <v>0</v>
      </c>
      <c r="G11" s="26">
        <f>'4-29-10'!G11+'5-13-10'!D11</f>
        <v>0</v>
      </c>
      <c r="H11" s="26">
        <f>'4-29-10'!H11+'5-13-10'!E11</f>
        <v>7343.839999999999</v>
      </c>
      <c r="I11" s="26">
        <f>'4-29-10'!I11+'5-13-10'!F11</f>
        <v>0</v>
      </c>
      <c r="J11" s="46">
        <f t="shared" si="0"/>
        <v>7343.839999999999</v>
      </c>
      <c r="K11" s="6">
        <f t="shared" si="1"/>
        <v>156.16000000000076</v>
      </c>
      <c r="L11" s="26">
        <f t="shared" si="2"/>
        <v>-833.6619130434774</v>
      </c>
    </row>
    <row r="12" spans="1:12" ht="11.25">
      <c r="A12" s="7" t="s">
        <v>20</v>
      </c>
      <c r="B12" s="7">
        <v>55070200</v>
      </c>
      <c r="C12" s="8">
        <v>4144</v>
      </c>
      <c r="D12" s="26">
        <v>35.12</v>
      </c>
      <c r="E12" s="26">
        <v>119.63</v>
      </c>
      <c r="F12" s="26">
        <v>0</v>
      </c>
      <c r="G12" s="26">
        <f>'4-29-10'!G12+'5-13-10'!D12</f>
        <v>1338.6999999999998</v>
      </c>
      <c r="H12" s="26">
        <f>'4-29-10'!H12+'5-13-10'!E12</f>
        <v>2169.78</v>
      </c>
      <c r="I12" s="26">
        <f>'4-29-10'!I12+'5-13-10'!F12</f>
        <v>0</v>
      </c>
      <c r="J12" s="46">
        <f t="shared" si="0"/>
        <v>3508.48</v>
      </c>
      <c r="K12" s="6">
        <f t="shared" si="1"/>
        <v>635.52</v>
      </c>
      <c r="L12" s="26">
        <f t="shared" si="2"/>
        <v>162.63791304347797</v>
      </c>
    </row>
    <row r="13" spans="1:12" ht="11.25">
      <c r="A13" s="7" t="s">
        <v>21</v>
      </c>
      <c r="B13" s="7">
        <v>55070100</v>
      </c>
      <c r="C13" s="8">
        <v>20174</v>
      </c>
      <c r="D13" s="26">
        <f>79.09-47.13</f>
        <v>31.96</v>
      </c>
      <c r="E13" s="26">
        <v>331.44</v>
      </c>
      <c r="F13" s="26">
        <v>0</v>
      </c>
      <c r="G13" s="26">
        <f>'4-29-10'!G13+'5-13-10'!D13</f>
        <v>1814.1700000000003</v>
      </c>
      <c r="H13" s="26">
        <f>'4-29-10'!H13+'5-13-10'!E13</f>
        <v>8774.76</v>
      </c>
      <c r="I13" s="26">
        <f>'4-29-10'!I13+'5-13-10'!F13</f>
        <v>0</v>
      </c>
      <c r="J13" s="46">
        <f t="shared" si="0"/>
        <v>10588.93</v>
      </c>
      <c r="K13" s="6">
        <f t="shared" si="1"/>
        <v>9585.07</v>
      </c>
      <c r="L13" s="26">
        <f t="shared" si="2"/>
        <v>8157.866391304347</v>
      </c>
    </row>
    <row r="14" spans="1:12" ht="11.25">
      <c r="A14" s="7" t="s">
        <v>37</v>
      </c>
      <c r="B14" s="7">
        <v>55030200</v>
      </c>
      <c r="C14" s="8">
        <v>31009</v>
      </c>
      <c r="D14" s="26">
        <v>216.45</v>
      </c>
      <c r="E14" s="26">
        <v>547.24</v>
      </c>
      <c r="F14" s="26">
        <v>0</v>
      </c>
      <c r="G14" s="26">
        <f>'4-29-10'!G14+'5-13-10'!D14</f>
        <v>10578.189999999999</v>
      </c>
      <c r="H14" s="26">
        <f>'4-29-10'!H14+'5-13-10'!E14</f>
        <v>14898.13</v>
      </c>
      <c r="I14" s="26">
        <f>'4-29-10'!I14+'5-13-10'!F14</f>
        <v>0</v>
      </c>
      <c r="J14" s="46">
        <f t="shared" si="0"/>
        <v>25476.32</v>
      </c>
      <c r="K14" s="6">
        <f t="shared" si="1"/>
        <v>5532.68</v>
      </c>
      <c r="L14" s="26">
        <f t="shared" si="2"/>
        <v>2098.9151304347834</v>
      </c>
    </row>
    <row r="15" spans="1:12" ht="11.25">
      <c r="A15" s="7" t="s">
        <v>36</v>
      </c>
      <c r="B15" s="7">
        <v>55020200</v>
      </c>
      <c r="C15" s="8">
        <v>13292</v>
      </c>
      <c r="D15" s="26">
        <v>32.6</v>
      </c>
      <c r="E15" s="26">
        <v>356.5</v>
      </c>
      <c r="F15" s="26">
        <v>0</v>
      </c>
      <c r="G15" s="26">
        <f>'4-29-10'!G15+'5-13-10'!D15</f>
        <v>2839.479999999999</v>
      </c>
      <c r="H15" s="26">
        <f>'4-29-10'!H15+'5-13-10'!E15</f>
        <v>6866.74</v>
      </c>
      <c r="I15" s="26">
        <f>'4-29-10'!I15+'5-13-10'!F15</f>
        <v>0</v>
      </c>
      <c r="J15" s="46">
        <f t="shared" si="0"/>
        <v>9706.22</v>
      </c>
      <c r="K15" s="6">
        <f t="shared" si="1"/>
        <v>3585.7800000000007</v>
      </c>
      <c r="L15" s="26">
        <f t="shared" si="2"/>
        <v>2277.550347826087</v>
      </c>
    </row>
    <row r="16" spans="1:12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1058.32</v>
      </c>
      <c r="E16" s="25">
        <f t="shared" si="3"/>
        <v>2898.4800000000005</v>
      </c>
      <c r="F16" s="25">
        <f t="shared" si="3"/>
        <v>0</v>
      </c>
      <c r="G16" s="25">
        <f t="shared" si="3"/>
        <v>51041.479999999996</v>
      </c>
      <c r="H16" s="25">
        <f t="shared" si="3"/>
        <v>74273.54000000001</v>
      </c>
      <c r="I16" s="25">
        <f t="shared" si="3"/>
        <v>0</v>
      </c>
      <c r="J16" s="49">
        <f t="shared" si="3"/>
        <v>125315.02000000002</v>
      </c>
      <c r="K16" s="25">
        <f t="shared" si="3"/>
        <v>49307.979999999996</v>
      </c>
      <c r="L16" s="9">
        <f t="shared" si="3"/>
        <v>32417.69469565217</v>
      </c>
    </row>
    <row r="17" spans="1:12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ht="11.25">
      <c r="A18" s="10" t="s">
        <v>35</v>
      </c>
      <c r="B18" s="10">
        <v>55080100</v>
      </c>
      <c r="C18" s="11">
        <f>13891+500+1500</f>
        <v>15891</v>
      </c>
      <c r="D18" s="6">
        <v>68.62</v>
      </c>
      <c r="E18" s="6">
        <v>-120.58</v>
      </c>
      <c r="F18" s="6">
        <v>0</v>
      </c>
      <c r="G18" s="6">
        <f>'4-29-10'!G18+'5-13-10'!D18</f>
        <v>1976.0299999999997</v>
      </c>
      <c r="H18" s="6">
        <f>'4-29-10'!H18+'5-13-10'!E18</f>
        <v>10770.169999999998</v>
      </c>
      <c r="I18" s="6">
        <f>'4-29-10'!I18+'5-13-10'!F18</f>
        <v>0</v>
      </c>
      <c r="J18" s="46">
        <f aca="true" t="shared" si="4" ref="J18:J23">SUM(G18:I18)</f>
        <v>12746.199999999997</v>
      </c>
      <c r="K18" s="6">
        <f aca="true" t="shared" si="5" ref="K18:K23">C18-J18</f>
        <v>3144.800000000003</v>
      </c>
      <c r="L18" s="6">
        <f>C18-(J18/23*26.1)</f>
        <v>1426.8339130434815</v>
      </c>
    </row>
    <row r="19" spans="1:12" ht="11.25">
      <c r="A19" s="10" t="s">
        <v>34</v>
      </c>
      <c r="B19" s="10">
        <v>55160100</v>
      </c>
      <c r="C19" s="11">
        <f>15893-500-1300</f>
        <v>14093</v>
      </c>
      <c r="D19" s="26">
        <v>117.11</v>
      </c>
      <c r="E19" s="26">
        <v>319.87</v>
      </c>
      <c r="F19" s="26">
        <v>0</v>
      </c>
      <c r="G19" s="6">
        <f>'4-29-10'!G19+'5-13-10'!D19</f>
        <v>3217.7500000000005</v>
      </c>
      <c r="H19" s="6">
        <f>'4-29-10'!H19+'5-13-10'!E19</f>
        <v>6543.160000000001</v>
      </c>
      <c r="I19" s="6">
        <f>'4-29-10'!I19+'5-13-10'!F19</f>
        <v>0</v>
      </c>
      <c r="J19" s="46">
        <f t="shared" si="4"/>
        <v>9760.910000000002</v>
      </c>
      <c r="K19" s="6">
        <f t="shared" si="5"/>
        <v>4332.089999999998</v>
      </c>
      <c r="L19" s="26">
        <f>C19-(J19/23*26.1)</f>
        <v>3016.489086956519</v>
      </c>
    </row>
    <row r="20" spans="1:12" ht="11.25">
      <c r="A20" s="7" t="s">
        <v>33</v>
      </c>
      <c r="B20" s="7">
        <v>55030100</v>
      </c>
      <c r="C20" s="8">
        <f>14568-1092.14-563.62</f>
        <v>12912.24</v>
      </c>
      <c r="D20" s="26">
        <v>29</v>
      </c>
      <c r="E20" s="26">
        <v>36.25</v>
      </c>
      <c r="F20" s="26">
        <v>0</v>
      </c>
      <c r="G20" s="6">
        <f>'4-29-10'!G20+'5-13-10'!D20</f>
        <v>3507.9900000000002</v>
      </c>
      <c r="H20" s="6">
        <f>'4-29-10'!H20+'5-13-10'!E20</f>
        <v>2952.15</v>
      </c>
      <c r="I20" s="6">
        <f>'4-29-10'!I20+'5-13-10'!F20</f>
        <v>0</v>
      </c>
      <c r="J20" s="46">
        <f t="shared" si="4"/>
        <v>6460.14</v>
      </c>
      <c r="K20" s="6">
        <f t="shared" si="5"/>
        <v>6452.099999999999</v>
      </c>
      <c r="L20" s="26">
        <f>C20-(J20/23*26.1)</f>
        <v>5581.385478260869</v>
      </c>
    </row>
    <row r="21" spans="1:12" ht="11.25">
      <c r="A21" s="7" t="s">
        <v>23</v>
      </c>
      <c r="B21" s="7">
        <v>55100100</v>
      </c>
      <c r="C21" s="8">
        <f>6082-4056</f>
        <v>2026</v>
      </c>
      <c r="D21" s="26">
        <v>0</v>
      </c>
      <c r="E21" s="26">
        <v>321.1</v>
      </c>
      <c r="F21" s="26">
        <v>0</v>
      </c>
      <c r="G21" s="6">
        <f>'4-29-10'!G21+'5-13-10'!D21</f>
        <v>363.23999999999995</v>
      </c>
      <c r="H21" s="6">
        <f>'4-29-10'!H21+'5-13-10'!E21</f>
        <v>1390.48</v>
      </c>
      <c r="I21" s="6">
        <f>'4-29-10'!I21+'5-13-10'!F21</f>
        <v>0</v>
      </c>
      <c r="J21" s="46">
        <f t="shared" si="4"/>
        <v>1753.72</v>
      </c>
      <c r="K21" s="6">
        <f t="shared" si="5"/>
        <v>272.28</v>
      </c>
      <c r="L21" s="26">
        <f>C21-(J21/23*26.1)</f>
        <v>35.909043478260855</v>
      </c>
    </row>
    <row r="22" spans="1:12" ht="11.25">
      <c r="A22" s="7" t="s">
        <v>24</v>
      </c>
      <c r="B22" s="7">
        <v>55090100</v>
      </c>
      <c r="C22" s="8">
        <v>7692</v>
      </c>
      <c r="D22" s="26">
        <v>0</v>
      </c>
      <c r="E22" s="26">
        <v>319.72</v>
      </c>
      <c r="F22" s="26">
        <v>0</v>
      </c>
      <c r="G22" s="6">
        <f>'4-29-10'!G22+'5-13-10'!D22</f>
        <v>3812.14</v>
      </c>
      <c r="H22" s="6">
        <f>'4-29-10'!H22+'5-13-10'!E22</f>
        <v>4635.250000000001</v>
      </c>
      <c r="I22" s="6">
        <f>'4-29-10'!I22+'5-13-10'!F22</f>
        <v>0</v>
      </c>
      <c r="J22" s="46">
        <f t="shared" si="4"/>
        <v>8447.390000000001</v>
      </c>
      <c r="K22" s="6">
        <f t="shared" si="5"/>
        <v>-755.3900000000012</v>
      </c>
      <c r="L22" s="26">
        <f>C22-(J22/23*26.1)</f>
        <v>-1893.9512608695677</v>
      </c>
    </row>
    <row r="23" spans="1:12" ht="11.25">
      <c r="A23" s="7" t="s">
        <v>25</v>
      </c>
      <c r="B23" s="19">
        <v>55110100</v>
      </c>
      <c r="C23" s="8">
        <f>8035-1500-2800</f>
        <v>3735</v>
      </c>
      <c r="D23" s="26">
        <v>91.54</v>
      </c>
      <c r="E23" s="26">
        <v>0</v>
      </c>
      <c r="F23" s="26">
        <v>0</v>
      </c>
      <c r="G23" s="6">
        <f>'4-29-10'!G23+'5-13-10'!D23</f>
        <v>2510.3300000000004</v>
      </c>
      <c r="H23" s="6">
        <f>'4-29-10'!H23+'5-13-10'!E23</f>
        <v>0</v>
      </c>
      <c r="I23" s="6">
        <f>'4-29-10'!I23+'5-13-10'!F23</f>
        <v>0</v>
      </c>
      <c r="J23" s="46">
        <f t="shared" si="4"/>
        <v>2510.3300000000004</v>
      </c>
      <c r="K23" s="6">
        <f t="shared" si="5"/>
        <v>1224.6699999999996</v>
      </c>
      <c r="L23" s="26">
        <f>C23-(J23/23*26.1)</f>
        <v>886.3211739130429</v>
      </c>
    </row>
    <row r="24" spans="1:12" ht="11.25">
      <c r="A24" s="16" t="s">
        <v>26</v>
      </c>
      <c r="B24" s="20"/>
      <c r="C24" s="9">
        <f>SUM(C18:C23)</f>
        <v>56349.24</v>
      </c>
      <c r="D24" s="9">
        <f>SUM(D18:D23)</f>
        <v>306.27000000000004</v>
      </c>
      <c r="E24" s="9">
        <f aca="true" t="shared" si="6" ref="E24:L24">SUM(E18:E23)</f>
        <v>876.3600000000001</v>
      </c>
      <c r="F24" s="9">
        <f t="shared" si="6"/>
        <v>0</v>
      </c>
      <c r="G24" s="9">
        <f t="shared" si="6"/>
        <v>15387.48</v>
      </c>
      <c r="H24" s="9">
        <f t="shared" si="6"/>
        <v>26291.21</v>
      </c>
      <c r="I24" s="9">
        <f t="shared" si="6"/>
        <v>0</v>
      </c>
      <c r="J24" s="9">
        <f t="shared" si="6"/>
        <v>41678.69</v>
      </c>
      <c r="K24" s="9">
        <f t="shared" si="6"/>
        <v>14670.550000000001</v>
      </c>
      <c r="L24" s="9">
        <f t="shared" si="6"/>
        <v>9052.987434782604</v>
      </c>
    </row>
    <row r="25" spans="1:12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777.72</v>
      </c>
      <c r="F26" s="26">
        <v>0</v>
      </c>
      <c r="G26" s="26">
        <f>'4-29-10'!G26+'5-13-10'!D26</f>
        <v>0</v>
      </c>
      <c r="H26" s="26">
        <f>'4-29-10'!H26+'5-13-10'!E26</f>
        <v>12336.399999999998</v>
      </c>
      <c r="I26" s="26">
        <f>'4-29-10'!I26+'5-13-10'!F26</f>
        <v>0</v>
      </c>
      <c r="J26" s="46">
        <f>SUM(G26:I26)</f>
        <v>12336.399999999998</v>
      </c>
      <c r="K26" s="26">
        <f>C26-J26</f>
        <v>9695.600000000002</v>
      </c>
      <c r="L26" s="26">
        <f>C26-(J26/23*26.1)</f>
        <v>8032.86782608696</v>
      </c>
    </row>
    <row r="27" spans="1:12" ht="11.25">
      <c r="A27" s="7" t="s">
        <v>28</v>
      </c>
      <c r="B27" s="7">
        <v>55010100</v>
      </c>
      <c r="C27" s="8">
        <v>5701</v>
      </c>
      <c r="D27" s="26">
        <v>50.15</v>
      </c>
      <c r="E27" s="26">
        <v>0</v>
      </c>
      <c r="F27" s="26">
        <v>0</v>
      </c>
      <c r="G27" s="26">
        <f>'4-29-10'!G27+'5-13-10'!D27</f>
        <v>1851.9000000000003</v>
      </c>
      <c r="H27" s="26">
        <f>'4-29-10'!H27+'5-13-10'!E27</f>
        <v>1966.9899999999998</v>
      </c>
      <c r="I27" s="26">
        <f>'4-29-10'!I27+'5-13-10'!F27</f>
        <v>0</v>
      </c>
      <c r="J27" s="46">
        <f>SUM(G27:I27)</f>
        <v>3818.8900000000003</v>
      </c>
      <c r="K27" s="6">
        <f>C27-J27</f>
        <v>1882.1099999999997</v>
      </c>
      <c r="L27" s="26">
        <f>C27-(J27/23*26.1)</f>
        <v>1367.3900434782608</v>
      </c>
    </row>
    <row r="28" spans="1:12" ht="11.25">
      <c r="A28" s="16" t="s">
        <v>29</v>
      </c>
      <c r="B28" s="20"/>
      <c r="C28" s="9">
        <f>SUM(C26:C27)</f>
        <v>27733</v>
      </c>
      <c r="D28" s="9">
        <f>SUM(D26:D27)</f>
        <v>50.15</v>
      </c>
      <c r="E28" s="9">
        <f>SUM(E26:E27)</f>
        <v>777.72</v>
      </c>
      <c r="F28" s="9">
        <f aca="true" t="shared" si="7" ref="F28:L28">SUM(F26:F27)</f>
        <v>0</v>
      </c>
      <c r="G28" s="9">
        <f t="shared" si="7"/>
        <v>1851.9000000000003</v>
      </c>
      <c r="H28" s="9">
        <f t="shared" si="7"/>
        <v>14303.389999999998</v>
      </c>
      <c r="I28" s="9">
        <f t="shared" si="7"/>
        <v>0</v>
      </c>
      <c r="J28" s="9">
        <f t="shared" si="7"/>
        <v>16155.289999999997</v>
      </c>
      <c r="K28" s="9">
        <f t="shared" si="7"/>
        <v>11577.710000000003</v>
      </c>
      <c r="L28" s="9">
        <f t="shared" si="7"/>
        <v>9400.257869565221</v>
      </c>
    </row>
    <row r="29" spans="1:12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ht="11.25">
      <c r="A30" s="15" t="s">
        <v>30</v>
      </c>
      <c r="B30" s="36">
        <v>55170100</v>
      </c>
      <c r="C30" s="37">
        <v>61671</v>
      </c>
      <c r="D30" s="26">
        <v>194.47</v>
      </c>
      <c r="E30" s="26">
        <v>2027.04</v>
      </c>
      <c r="F30" s="26">
        <v>0</v>
      </c>
      <c r="G30" s="26">
        <f>'4-29-10'!G30+'5-13-10'!D30</f>
        <v>3236.04</v>
      </c>
      <c r="H30" s="26">
        <f>'4-29-10'!H30+'5-13-10'!E30</f>
        <v>44942.82000000001</v>
      </c>
      <c r="I30" s="26">
        <f>'4-29-10'!I30+'5-13-10'!F30</f>
        <v>0</v>
      </c>
      <c r="J30" s="6">
        <f>SUM(G30:I30)</f>
        <v>48178.86000000001</v>
      </c>
      <c r="K30" s="26">
        <f>C30-J30</f>
        <v>13492.139999999992</v>
      </c>
      <c r="L30" s="26">
        <f>C30-(J30/23*26.1)</f>
        <v>6998.467565217383</v>
      </c>
    </row>
    <row r="31" spans="1:12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585.32</v>
      </c>
      <c r="F31" s="26">
        <v>0</v>
      </c>
      <c r="G31" s="26">
        <f>'4-29-10'!G31+'5-13-10'!D31</f>
        <v>0</v>
      </c>
      <c r="H31" s="26">
        <f>'4-29-10'!H31+'5-13-10'!E31</f>
        <v>11384.179999999997</v>
      </c>
      <c r="I31" s="26">
        <f>'4-29-10'!I31+'5-13-10'!F31</f>
        <v>0</v>
      </c>
      <c r="J31" s="6">
        <f>SUM(G31:I31)</f>
        <v>11384.179999999997</v>
      </c>
      <c r="K31" s="6">
        <f>C31-J31</f>
        <v>4696.820000000003</v>
      </c>
      <c r="L31" s="26">
        <f>C31-(J31/23*26.1)</f>
        <v>3162.430521739134</v>
      </c>
    </row>
    <row r="32" spans="1:12" ht="11.25">
      <c r="A32" s="21" t="s">
        <v>32</v>
      </c>
      <c r="B32" s="54"/>
      <c r="C32" s="55">
        <f>SUM(C30:C31)</f>
        <v>77752</v>
      </c>
      <c r="D32" s="9">
        <f>SUM(D30:D31)</f>
        <v>194.47</v>
      </c>
      <c r="E32" s="9">
        <f>SUM(E30:E31)</f>
        <v>2612.36</v>
      </c>
      <c r="F32" s="9">
        <f aca="true" t="shared" si="8" ref="F32:L32">SUM(F30:F31)</f>
        <v>0</v>
      </c>
      <c r="G32" s="9">
        <f t="shared" si="8"/>
        <v>3236.04</v>
      </c>
      <c r="H32" s="9">
        <f t="shared" si="8"/>
        <v>56327</v>
      </c>
      <c r="I32" s="9">
        <f t="shared" si="8"/>
        <v>0</v>
      </c>
      <c r="J32" s="9">
        <f t="shared" si="8"/>
        <v>59563.04000000001</v>
      </c>
      <c r="K32" s="9">
        <f t="shared" si="8"/>
        <v>18188.959999999995</v>
      </c>
      <c r="L32" s="9">
        <f t="shared" si="8"/>
        <v>10160.898086956517</v>
      </c>
    </row>
    <row r="33" spans="1:12" ht="11.25">
      <c r="A33" s="23"/>
      <c r="B33" s="23"/>
      <c r="C33" s="14">
        <f aca="true" t="shared" si="9" ref="C33:L33">C16+C24+C28+C32</f>
        <v>336457.24</v>
      </c>
      <c r="D33" s="14">
        <f t="shared" si="9"/>
        <v>1609.21</v>
      </c>
      <c r="E33" s="14">
        <f t="shared" si="9"/>
        <v>7164.92</v>
      </c>
      <c r="F33" s="14">
        <f t="shared" si="9"/>
        <v>0</v>
      </c>
      <c r="G33" s="14">
        <f t="shared" si="9"/>
        <v>71516.89999999998</v>
      </c>
      <c r="H33" s="14">
        <f t="shared" si="9"/>
        <v>171195.14</v>
      </c>
      <c r="I33" s="14">
        <f t="shared" si="9"/>
        <v>0</v>
      </c>
      <c r="J33" s="14">
        <f t="shared" si="9"/>
        <v>242712.04000000004</v>
      </c>
      <c r="K33" s="14">
        <f t="shared" si="9"/>
        <v>93745.2</v>
      </c>
      <c r="L33" s="14">
        <f t="shared" si="9"/>
        <v>61031.838086956515</v>
      </c>
    </row>
    <row r="35" spans="1:12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23"/>
      <c r="C38" s="23"/>
      <c r="D38" s="23"/>
      <c r="E38" s="13"/>
      <c r="F38" s="23"/>
      <c r="G38" s="23"/>
      <c r="H38" s="23"/>
      <c r="I38" s="23"/>
      <c r="J38" s="23"/>
      <c r="K38" s="23"/>
      <c r="L38" s="23"/>
    </row>
    <row r="39" spans="1:12" ht="11.25" customHeight="1">
      <c r="A39" s="5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1.25" customHeight="1">
      <c r="A40" s="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&amp;CBiweekly OPS Report
5-13-10</oddHeader>
    <oddFooter>&amp;CFY 2009-2010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Layout" showRuler="0" workbookViewId="0" topLeftCell="B1">
      <selection activeCell="K7" sqref="K7"/>
    </sheetView>
  </sheetViews>
  <sheetFormatPr defaultColWidth="9.140625" defaultRowHeight="15"/>
  <cols>
    <col min="1" max="1" width="23.140625" style="24" customWidth="1"/>
    <col min="2" max="2" width="12.28125" style="24" bestFit="1" customWidth="1"/>
    <col min="3" max="3" width="12.57421875" style="24" bestFit="1" customWidth="1"/>
    <col min="4" max="4" width="12.28125" style="24" bestFit="1" customWidth="1"/>
    <col min="5" max="5" width="10.8515625" style="24" bestFit="1" customWidth="1"/>
    <col min="6" max="6" width="11.28125" style="24" bestFit="1" customWidth="1"/>
    <col min="7" max="7" width="11.57421875" style="24" bestFit="1" customWidth="1"/>
    <col min="8" max="8" width="12.57421875" style="24" bestFit="1" customWidth="1"/>
    <col min="9" max="9" width="9.28125" style="24" bestFit="1" customWidth="1"/>
    <col min="10" max="10" width="12.57421875" style="24" bestFit="1" customWidth="1"/>
    <col min="11" max="11" width="11.57421875" style="24" bestFit="1" customWidth="1"/>
    <col min="12" max="12" width="13.57421875" style="24" bestFit="1" customWidth="1"/>
    <col min="13" max="16384" width="9.140625" style="24" customWidth="1"/>
  </cols>
  <sheetData>
    <row r="1" spans="1:12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ht="11.25">
      <c r="A4" s="31" t="s">
        <v>12</v>
      </c>
      <c r="B4" s="31">
        <v>55020300</v>
      </c>
      <c r="C4" s="32">
        <f>13319-800</f>
        <v>12519</v>
      </c>
      <c r="D4" s="26">
        <v>94.25</v>
      </c>
      <c r="E4" s="26">
        <v>0</v>
      </c>
      <c r="F4" s="26">
        <v>0</v>
      </c>
      <c r="G4" s="26">
        <f>'5-13-10'!G4+'5-27-10'!D4</f>
        <v>2603.7400000000002</v>
      </c>
      <c r="H4" s="26">
        <f>'5-13-10'!H4+'5-27-10'!E4</f>
        <v>4946.999999999999</v>
      </c>
      <c r="I4" s="26">
        <f>'5-13-10'!I4+'5-27-10'!F4</f>
        <v>0</v>
      </c>
      <c r="J4" s="44">
        <f>SUM(G4:I4)</f>
        <v>7550.74</v>
      </c>
      <c r="K4" s="26">
        <f>C4-J4</f>
        <v>4968.26</v>
      </c>
      <c r="L4" s="26">
        <f>C4-(J4/24*26.1)</f>
        <v>4307.570249999999</v>
      </c>
    </row>
    <row r="5" spans="1:12" ht="11.25">
      <c r="A5" s="7" t="s">
        <v>13</v>
      </c>
      <c r="B5" s="7">
        <v>55020400</v>
      </c>
      <c r="C5" s="8">
        <f>22049-800</f>
        <v>21249</v>
      </c>
      <c r="D5" s="26">
        <v>351.66</v>
      </c>
      <c r="E5" s="26">
        <v>359.16</v>
      </c>
      <c r="F5" s="26">
        <v>0</v>
      </c>
      <c r="G5" s="26">
        <f>'5-13-10'!G5+'5-27-10'!D5</f>
        <v>9605.96</v>
      </c>
      <c r="H5" s="26">
        <f>'5-13-10'!H5+'5-27-10'!E5</f>
        <v>6194.380000000001</v>
      </c>
      <c r="I5" s="26">
        <f>'5-13-10'!I5+'5-27-10'!F5</f>
        <v>0</v>
      </c>
      <c r="J5" s="46">
        <f aca="true" t="shared" si="0" ref="J5:J15">SUM(G5:I5)</f>
        <v>15800.34</v>
      </c>
      <c r="K5" s="6">
        <f aca="true" t="shared" si="1" ref="K5:K15">C5-J5</f>
        <v>5448.66</v>
      </c>
      <c r="L5" s="26">
        <f aca="true" t="shared" si="2" ref="L5:L15">C5-(J5/24*26.1)</f>
        <v>4066.1302499999983</v>
      </c>
    </row>
    <row r="6" spans="1:12" ht="11.25">
      <c r="A6" s="7" t="s">
        <v>14</v>
      </c>
      <c r="B6" s="7">
        <v>55020500</v>
      </c>
      <c r="C6" s="8">
        <f>13601-800</f>
        <v>12801</v>
      </c>
      <c r="D6" s="44">
        <v>-120.52</v>
      </c>
      <c r="E6" s="44">
        <f>551+125.67+27.94</f>
        <v>704.61</v>
      </c>
      <c r="F6" s="26">
        <v>0</v>
      </c>
      <c r="G6" s="26">
        <f>'5-13-10'!G6+'5-27-10'!D6</f>
        <v>2395.78</v>
      </c>
      <c r="H6" s="26">
        <f>'5-13-10'!H6+'5-27-10'!E6</f>
        <v>6037.210000000001</v>
      </c>
      <c r="I6" s="26">
        <f>'5-13-10'!I6+'5-27-10'!F6</f>
        <v>0</v>
      </c>
      <c r="J6" s="46">
        <f t="shared" si="0"/>
        <v>8432.990000000002</v>
      </c>
      <c r="K6" s="6">
        <f t="shared" si="1"/>
        <v>4368.009999999998</v>
      </c>
      <c r="L6" s="26">
        <f t="shared" si="2"/>
        <v>3630.1233749999974</v>
      </c>
    </row>
    <row r="7" spans="1:12" ht="11.25" customHeight="1">
      <c r="A7" s="7" t="s">
        <v>15</v>
      </c>
      <c r="B7" s="7">
        <v>55020600</v>
      </c>
      <c r="C7" s="8">
        <v>6550</v>
      </c>
      <c r="D7" s="26">
        <v>105.13</v>
      </c>
      <c r="E7" s="26">
        <v>0</v>
      </c>
      <c r="F7" s="26">
        <v>0</v>
      </c>
      <c r="G7" s="26">
        <f>'5-13-10'!G7+'5-27-10'!D7</f>
        <v>5160.820000000001</v>
      </c>
      <c r="H7" s="26">
        <f>'5-13-10'!H7+'5-27-10'!E7</f>
        <v>135.97</v>
      </c>
      <c r="I7" s="26">
        <f>'5-13-10'!I7+'5-27-10'!F7</f>
        <v>0</v>
      </c>
      <c r="J7" s="46">
        <f t="shared" si="0"/>
        <v>5296.790000000001</v>
      </c>
      <c r="K7" s="6">
        <f t="shared" si="1"/>
        <v>1253.2099999999991</v>
      </c>
      <c r="L7" s="26">
        <f t="shared" si="2"/>
        <v>789.7408749999986</v>
      </c>
    </row>
    <row r="8" spans="1:12" ht="11.25">
      <c r="A8" s="7" t="s">
        <v>16</v>
      </c>
      <c r="B8" s="7">
        <v>55040100</v>
      </c>
      <c r="C8" s="8">
        <f>9783+2400</f>
        <v>12183</v>
      </c>
      <c r="D8" s="26">
        <v>225.92</v>
      </c>
      <c r="E8" s="26">
        <f>43.5-65.25</f>
        <v>-21.75</v>
      </c>
      <c r="F8" s="26">
        <v>0</v>
      </c>
      <c r="G8" s="26">
        <f>'5-13-10'!G8+'5-27-10'!D8</f>
        <v>4529.67</v>
      </c>
      <c r="H8" s="26">
        <f>'5-13-10'!H8+'5-27-10'!E8</f>
        <v>-21.75</v>
      </c>
      <c r="I8" s="26">
        <f>'5-13-10'!I8+'5-27-10'!F8</f>
        <v>0</v>
      </c>
      <c r="J8" s="46">
        <f t="shared" si="0"/>
        <v>4507.92</v>
      </c>
      <c r="K8" s="6">
        <f t="shared" si="1"/>
        <v>7675.08</v>
      </c>
      <c r="L8" s="26">
        <f t="shared" si="2"/>
        <v>7280.637</v>
      </c>
    </row>
    <row r="9" spans="1:12" ht="11.25">
      <c r="A9" s="7" t="s">
        <v>17</v>
      </c>
      <c r="B9" s="7">
        <v>55040200</v>
      </c>
      <c r="C9" s="56">
        <v>8006</v>
      </c>
      <c r="D9" s="26">
        <v>248.88</v>
      </c>
      <c r="E9" s="26">
        <v>400</v>
      </c>
      <c r="F9" s="26">
        <v>0</v>
      </c>
      <c r="G9" s="26">
        <f>'5-13-10'!G9+'5-27-10'!D9</f>
        <v>4661.070000000001</v>
      </c>
      <c r="H9" s="26">
        <f>'5-13-10'!H9+'5-27-10'!E9</f>
        <v>2775</v>
      </c>
      <c r="I9" s="26">
        <f>'5-13-10'!I9+'5-27-10'!F9</f>
        <v>0</v>
      </c>
      <c r="J9" s="46">
        <f t="shared" si="0"/>
        <v>7436.070000000001</v>
      </c>
      <c r="K9" s="6">
        <f t="shared" si="1"/>
        <v>569.9299999999994</v>
      </c>
      <c r="L9" s="26">
        <f t="shared" si="2"/>
        <v>-80.72612500000105</v>
      </c>
    </row>
    <row r="10" spans="1:12" ht="11.25">
      <c r="A10" s="7" t="s">
        <v>18</v>
      </c>
      <c r="B10" s="7">
        <v>55050200</v>
      </c>
      <c r="C10" s="8">
        <v>25196</v>
      </c>
      <c r="D10" s="26">
        <v>212.22</v>
      </c>
      <c r="E10" s="26">
        <f>651.56-0.53+21.6</f>
        <v>672.63</v>
      </c>
      <c r="F10" s="26">
        <v>0</v>
      </c>
      <c r="G10" s="26">
        <f>'5-13-10'!G10+'5-27-10'!D10</f>
        <v>6631.440000000001</v>
      </c>
      <c r="H10" s="26">
        <f>'5-13-10'!H10+'5-27-10'!E10</f>
        <v>16267.129999999997</v>
      </c>
      <c r="I10" s="26">
        <f>'5-13-10'!I10+'5-27-10'!F10</f>
        <v>0</v>
      </c>
      <c r="J10" s="46">
        <f>SUM(G10:I10)</f>
        <v>22898.57</v>
      </c>
      <c r="K10" s="6">
        <f t="shared" si="1"/>
        <v>2297.4300000000003</v>
      </c>
      <c r="L10" s="26">
        <f t="shared" si="2"/>
        <v>293.80512499999895</v>
      </c>
    </row>
    <row r="11" spans="1:12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61.54</v>
      </c>
      <c r="F11" s="26">
        <v>0</v>
      </c>
      <c r="G11" s="26">
        <f>'5-13-10'!G11+'5-27-10'!D11</f>
        <v>0</v>
      </c>
      <c r="H11" s="26">
        <f>'5-13-10'!H11+'5-27-10'!E11</f>
        <v>7405.379999999999</v>
      </c>
      <c r="I11" s="26">
        <f>'5-13-10'!I11+'5-27-10'!F11</f>
        <v>0</v>
      </c>
      <c r="J11" s="46">
        <f t="shared" si="0"/>
        <v>7405.379999999999</v>
      </c>
      <c r="K11" s="6">
        <f t="shared" si="1"/>
        <v>94.6200000000008</v>
      </c>
      <c r="L11" s="26">
        <f t="shared" si="2"/>
        <v>-553.3507499999987</v>
      </c>
    </row>
    <row r="12" spans="1:12" ht="11.25">
      <c r="A12" s="7" t="s">
        <v>20</v>
      </c>
      <c r="B12" s="7">
        <v>55070200</v>
      </c>
      <c r="C12" s="8">
        <v>4144</v>
      </c>
      <c r="D12" s="26">
        <v>52.12</v>
      </c>
      <c r="E12" s="26">
        <v>46.22</v>
      </c>
      <c r="F12" s="26">
        <v>0</v>
      </c>
      <c r="G12" s="26">
        <f>'5-13-10'!G12+'5-27-10'!D12</f>
        <v>1390.8199999999997</v>
      </c>
      <c r="H12" s="26">
        <f>'5-13-10'!H12+'5-27-10'!E12</f>
        <v>2216</v>
      </c>
      <c r="I12" s="26">
        <f>'5-13-10'!I12+'5-27-10'!F12</f>
        <v>0</v>
      </c>
      <c r="J12" s="46">
        <f t="shared" si="0"/>
        <v>3606.8199999999997</v>
      </c>
      <c r="K12" s="6">
        <f t="shared" si="1"/>
        <v>537.1800000000003</v>
      </c>
      <c r="L12" s="26">
        <f t="shared" si="2"/>
        <v>221.58324999999968</v>
      </c>
    </row>
    <row r="13" spans="1:12" ht="11.25">
      <c r="A13" s="7" t="s">
        <v>21</v>
      </c>
      <c r="B13" s="7">
        <v>55070100</v>
      </c>
      <c r="C13" s="8">
        <v>20174</v>
      </c>
      <c r="D13" s="26">
        <v>78.29</v>
      </c>
      <c r="E13" s="26">
        <f>1107.88+52.87</f>
        <v>1160.75</v>
      </c>
      <c r="F13" s="26">
        <v>0</v>
      </c>
      <c r="G13" s="26">
        <f>'5-13-10'!G13+'5-27-10'!D13</f>
        <v>1892.4600000000003</v>
      </c>
      <c r="H13" s="26">
        <f>'5-13-10'!H13+'5-27-10'!E13</f>
        <v>9935.51</v>
      </c>
      <c r="I13" s="26">
        <f>'5-13-10'!I13+'5-27-10'!F13</f>
        <v>0</v>
      </c>
      <c r="J13" s="46">
        <f t="shared" si="0"/>
        <v>11827.970000000001</v>
      </c>
      <c r="K13" s="6">
        <f t="shared" si="1"/>
        <v>8346.029999999999</v>
      </c>
      <c r="L13" s="26">
        <f t="shared" si="2"/>
        <v>7311.082624999997</v>
      </c>
    </row>
    <row r="14" spans="1:12" ht="11.25">
      <c r="A14" s="7" t="s">
        <v>37</v>
      </c>
      <c r="B14" s="7">
        <v>55030200</v>
      </c>
      <c r="C14" s="8">
        <v>31009</v>
      </c>
      <c r="D14" s="26">
        <f>278.53-100.31</f>
        <v>178.21999999999997</v>
      </c>
      <c r="E14" s="26">
        <f>668.67+285.74</f>
        <v>954.41</v>
      </c>
      <c r="F14" s="26">
        <v>0</v>
      </c>
      <c r="G14" s="26">
        <f>'5-13-10'!G14+'5-27-10'!D14</f>
        <v>10756.409999999998</v>
      </c>
      <c r="H14" s="26">
        <f>'5-13-10'!H14+'5-27-10'!E14</f>
        <v>15852.539999999999</v>
      </c>
      <c r="I14" s="26">
        <f>'5-13-10'!I14+'5-27-10'!F14</f>
        <v>0</v>
      </c>
      <c r="J14" s="46">
        <f>SUM(G14:I14)</f>
        <v>26608.949999999997</v>
      </c>
      <c r="K14" s="6">
        <f t="shared" si="1"/>
        <v>4400.050000000003</v>
      </c>
      <c r="L14" s="26">
        <f t="shared" si="2"/>
        <v>2071.766875000001</v>
      </c>
    </row>
    <row r="15" spans="1:12" ht="11.25">
      <c r="A15" s="7" t="s">
        <v>36</v>
      </c>
      <c r="B15" s="7">
        <v>55020200</v>
      </c>
      <c r="C15" s="8">
        <v>13292</v>
      </c>
      <c r="D15" s="26">
        <v>140.94</v>
      </c>
      <c r="E15" s="26">
        <v>623.72</v>
      </c>
      <c r="F15" s="26">
        <v>0</v>
      </c>
      <c r="G15" s="26">
        <f>'5-13-10'!G15+'5-27-10'!D15</f>
        <v>2980.419999999999</v>
      </c>
      <c r="H15" s="26">
        <f>'5-13-10'!H15+'5-27-10'!E15</f>
        <v>7490.46</v>
      </c>
      <c r="I15" s="26">
        <f>'5-13-10'!I15+'5-27-10'!F15</f>
        <v>0</v>
      </c>
      <c r="J15" s="46">
        <f t="shared" si="0"/>
        <v>10470.88</v>
      </c>
      <c r="K15" s="6">
        <f t="shared" si="1"/>
        <v>2821.120000000001</v>
      </c>
      <c r="L15" s="26">
        <f t="shared" si="2"/>
        <v>1904.9179999999997</v>
      </c>
    </row>
    <row r="16" spans="1:12" ht="11.25">
      <c r="A16" s="16" t="s">
        <v>22</v>
      </c>
      <c r="B16" s="20"/>
      <c r="C16" s="25">
        <f aca="true" t="shared" si="3" ref="C16:L16">SUM(C4:C15)</f>
        <v>174623</v>
      </c>
      <c r="D16" s="25">
        <f t="shared" si="3"/>
        <v>1567.11</v>
      </c>
      <c r="E16" s="25">
        <f>SUM(E4:E15)</f>
        <v>4961.29</v>
      </c>
      <c r="F16" s="25">
        <f t="shared" si="3"/>
        <v>0</v>
      </c>
      <c r="G16" s="25">
        <f t="shared" si="3"/>
        <v>52608.59</v>
      </c>
      <c r="H16" s="25">
        <f t="shared" si="3"/>
        <v>79234.83</v>
      </c>
      <c r="I16" s="25">
        <f t="shared" si="3"/>
        <v>0</v>
      </c>
      <c r="J16" s="49">
        <f t="shared" si="3"/>
        <v>131843.41999999998</v>
      </c>
      <c r="K16" s="25">
        <f t="shared" si="3"/>
        <v>42779.58</v>
      </c>
      <c r="L16" s="9">
        <f t="shared" si="3"/>
        <v>31243.28074999999</v>
      </c>
    </row>
    <row r="17" spans="1:12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ht="11.25">
      <c r="A18" s="10" t="s">
        <v>35</v>
      </c>
      <c r="B18" s="10">
        <v>55080100</v>
      </c>
      <c r="C18" s="11">
        <f>13891+500+1500</f>
        <v>15891</v>
      </c>
      <c r="D18" s="6">
        <v>116.49</v>
      </c>
      <c r="E18" s="6">
        <v>487.8</v>
      </c>
      <c r="F18" s="6">
        <v>0</v>
      </c>
      <c r="G18" s="6">
        <f>'5-13-10'!G18+'5-27-10'!D18</f>
        <v>2092.5199999999995</v>
      </c>
      <c r="H18" s="6">
        <f>'5-13-10'!H18+'5-27-10'!E18</f>
        <v>11257.969999999998</v>
      </c>
      <c r="I18" s="6">
        <f>'5-13-10'!I18+'5-27-10'!F18</f>
        <v>0</v>
      </c>
      <c r="J18" s="46">
        <f aca="true" t="shared" si="4" ref="J18:J23">SUM(G18:I18)</f>
        <v>13350.489999999998</v>
      </c>
      <c r="K18" s="6">
        <f aca="true" t="shared" si="5" ref="K18:K23">C18-J18</f>
        <v>2540.510000000002</v>
      </c>
      <c r="L18" s="6">
        <f aca="true" t="shared" si="6" ref="L18:L23">C18-(J18/24*26.1)</f>
        <v>1372.342125000001</v>
      </c>
    </row>
    <row r="19" spans="1:12" ht="11.25">
      <c r="A19" s="10" t="s">
        <v>34</v>
      </c>
      <c r="B19" s="10">
        <v>55160100</v>
      </c>
      <c r="C19" s="11">
        <f>15893-500-1300</f>
        <v>14093</v>
      </c>
      <c r="D19" s="26">
        <v>183.62</v>
      </c>
      <c r="E19" s="26">
        <f>1748.34+26.2+25.82</f>
        <v>1800.36</v>
      </c>
      <c r="F19" s="26">
        <v>0</v>
      </c>
      <c r="G19" s="26">
        <f>'5-13-10'!G19+'5-27-10'!D19</f>
        <v>3401.3700000000003</v>
      </c>
      <c r="H19" s="26">
        <f>'5-13-10'!H19+'5-27-10'!E19</f>
        <v>8343.52</v>
      </c>
      <c r="I19" s="26">
        <f>'5-13-10'!I19+'5-27-10'!F19</f>
        <v>0</v>
      </c>
      <c r="J19" s="46">
        <f>SUM(G19:I19)</f>
        <v>11744.890000000001</v>
      </c>
      <c r="K19" s="6">
        <f t="shared" si="5"/>
        <v>2348.1099999999988</v>
      </c>
      <c r="L19" s="26">
        <f t="shared" si="6"/>
        <v>1320.4321249999994</v>
      </c>
    </row>
    <row r="20" spans="1:12" ht="11.25">
      <c r="A20" s="7" t="s">
        <v>33</v>
      </c>
      <c r="B20" s="7">
        <v>55030100</v>
      </c>
      <c r="C20" s="8">
        <f>14568-1092.14-563.62</f>
        <v>12912.24</v>
      </c>
      <c r="D20" s="26">
        <v>-14.04</v>
      </c>
      <c r="E20" s="26">
        <f>732.26+48.34</f>
        <v>780.6</v>
      </c>
      <c r="F20" s="26">
        <v>0</v>
      </c>
      <c r="G20" s="26">
        <f>'5-13-10'!G20+'5-27-10'!D20</f>
        <v>3493.9500000000003</v>
      </c>
      <c r="H20" s="26">
        <f>'5-13-10'!H20+'5-27-10'!E20</f>
        <v>3732.75</v>
      </c>
      <c r="I20" s="26">
        <f>'5-13-10'!I20+'5-27-10'!F20</f>
        <v>0</v>
      </c>
      <c r="J20" s="46">
        <f t="shared" si="4"/>
        <v>7226.700000000001</v>
      </c>
      <c r="K20" s="6">
        <f t="shared" si="5"/>
        <v>5685.539999999999</v>
      </c>
      <c r="L20" s="26">
        <f t="shared" si="6"/>
        <v>5053.203749999999</v>
      </c>
    </row>
    <row r="21" spans="1:12" ht="11.25">
      <c r="A21" s="7" t="s">
        <v>23</v>
      </c>
      <c r="B21" s="7">
        <v>55100100</v>
      </c>
      <c r="C21" s="8">
        <f>6082-4056</f>
        <v>2026</v>
      </c>
      <c r="D21" s="26">
        <v>0</v>
      </c>
      <c r="E21" s="26">
        <v>436.33</v>
      </c>
      <c r="F21" s="26">
        <v>0</v>
      </c>
      <c r="G21" s="26">
        <f>'5-13-10'!G21+'5-27-10'!D21</f>
        <v>363.23999999999995</v>
      </c>
      <c r="H21" s="26">
        <f>'5-13-10'!H21+'5-27-10'!E21</f>
        <v>1826.81</v>
      </c>
      <c r="I21" s="26">
        <f>'5-13-10'!I21+'5-27-10'!F21</f>
        <v>0</v>
      </c>
      <c r="J21" s="46">
        <f>SUM(G21:I21)</f>
        <v>2190.0499999999997</v>
      </c>
      <c r="K21" s="6">
        <f t="shared" si="5"/>
        <v>-164.04999999999973</v>
      </c>
      <c r="L21" s="26">
        <f t="shared" si="6"/>
        <v>-355.6793749999997</v>
      </c>
    </row>
    <row r="22" spans="1:12" ht="11.25">
      <c r="A22" s="7" t="s">
        <v>24</v>
      </c>
      <c r="B22" s="7">
        <v>55090100</v>
      </c>
      <c r="C22" s="8">
        <v>7692</v>
      </c>
      <c r="D22" s="26">
        <v>0</v>
      </c>
      <c r="E22" s="26">
        <f>212.9+422.31-271.22</f>
        <v>363.99</v>
      </c>
      <c r="F22" s="26">
        <v>0</v>
      </c>
      <c r="G22" s="26">
        <f>'5-13-10'!G22+'5-27-10'!D22</f>
        <v>3812.14</v>
      </c>
      <c r="H22" s="26">
        <f>'5-13-10'!H22+'5-27-10'!E22</f>
        <v>4999.240000000001</v>
      </c>
      <c r="I22" s="26">
        <f>'5-13-10'!I22+'5-27-10'!F22</f>
        <v>0</v>
      </c>
      <c r="J22" s="46">
        <f t="shared" si="4"/>
        <v>8811.380000000001</v>
      </c>
      <c r="K22" s="6">
        <f t="shared" si="5"/>
        <v>-1119.380000000001</v>
      </c>
      <c r="L22" s="26">
        <f t="shared" si="6"/>
        <v>-1890.375750000001</v>
      </c>
    </row>
    <row r="23" spans="1:12" ht="11.25">
      <c r="A23" s="7" t="s">
        <v>25</v>
      </c>
      <c r="B23" s="19">
        <v>55110100</v>
      </c>
      <c r="C23" s="8">
        <f>8035-1500-2800</f>
        <v>3735</v>
      </c>
      <c r="D23" s="26">
        <v>136.85</v>
      </c>
      <c r="E23" s="26">
        <v>0</v>
      </c>
      <c r="F23" s="26">
        <v>0</v>
      </c>
      <c r="G23" s="26">
        <f>'5-13-10'!G23+'5-27-10'!D23</f>
        <v>2647.1800000000003</v>
      </c>
      <c r="H23" s="26">
        <f>'5-13-10'!H23+'5-27-10'!E23</f>
        <v>0</v>
      </c>
      <c r="I23" s="26">
        <f>'5-13-10'!I23+'5-27-10'!F23</f>
        <v>0</v>
      </c>
      <c r="J23" s="46">
        <f t="shared" si="4"/>
        <v>2647.1800000000003</v>
      </c>
      <c r="K23" s="6">
        <f t="shared" si="5"/>
        <v>1087.8199999999997</v>
      </c>
      <c r="L23" s="26">
        <f t="shared" si="6"/>
        <v>856.1917499999995</v>
      </c>
    </row>
    <row r="24" spans="1:12" ht="11.25">
      <c r="A24" s="16" t="s">
        <v>26</v>
      </c>
      <c r="B24" s="20"/>
      <c r="C24" s="9">
        <f>SUM(C18:C23)</f>
        <v>56349.24</v>
      </c>
      <c r="D24" s="9">
        <f>SUM(D18:D23)</f>
        <v>422.91999999999996</v>
      </c>
      <c r="E24" s="9">
        <f>SUM(E18:E23)</f>
        <v>3869.08</v>
      </c>
      <c r="F24" s="9">
        <f aca="true" t="shared" si="7" ref="F24:L24">SUM(F18:F23)</f>
        <v>0</v>
      </c>
      <c r="G24" s="9">
        <f t="shared" si="7"/>
        <v>15810.4</v>
      </c>
      <c r="H24" s="9">
        <f t="shared" si="7"/>
        <v>30160.29</v>
      </c>
      <c r="I24" s="9">
        <f t="shared" si="7"/>
        <v>0</v>
      </c>
      <c r="J24" s="9">
        <f t="shared" si="7"/>
        <v>45970.689999999995</v>
      </c>
      <c r="K24" s="9">
        <f t="shared" si="7"/>
        <v>10378.55</v>
      </c>
      <c r="L24" s="9">
        <f t="shared" si="7"/>
        <v>6356.114624999998</v>
      </c>
    </row>
    <row r="25" spans="1:12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1595.46</v>
      </c>
      <c r="F26" s="26">
        <v>0</v>
      </c>
      <c r="G26" s="26">
        <f>'5-13-10'!G26+'5-27-10'!D26</f>
        <v>0</v>
      </c>
      <c r="H26" s="26">
        <f>'5-13-10'!H26+'5-27-10'!E26</f>
        <v>13931.859999999997</v>
      </c>
      <c r="I26" s="26">
        <f>'5-13-10'!I26+'5-27-10'!F26</f>
        <v>0</v>
      </c>
      <c r="J26" s="46">
        <f>SUM(G26:I26)</f>
        <v>13931.859999999997</v>
      </c>
      <c r="K26" s="26">
        <f>C26-J26</f>
        <v>8100.140000000003</v>
      </c>
      <c r="L26" s="26">
        <f>C26-(J26/24*26.1)</f>
        <v>6881.102250000004</v>
      </c>
    </row>
    <row r="27" spans="1:12" ht="11.25">
      <c r="A27" s="7" t="s">
        <v>28</v>
      </c>
      <c r="B27" s="7">
        <v>55010100</v>
      </c>
      <c r="C27" s="8">
        <v>5701</v>
      </c>
      <c r="D27" s="26">
        <v>163.89</v>
      </c>
      <c r="E27" s="26">
        <v>0</v>
      </c>
      <c r="F27" s="26">
        <v>0</v>
      </c>
      <c r="G27" s="26">
        <f>'5-13-10'!G27+'5-27-10'!D27</f>
        <v>2015.7900000000004</v>
      </c>
      <c r="H27" s="26">
        <f>'5-13-10'!H27+'5-27-10'!E27</f>
        <v>1966.9899999999998</v>
      </c>
      <c r="I27" s="26">
        <f>'5-13-10'!I27+'5-27-10'!F27</f>
        <v>0</v>
      </c>
      <c r="J27" s="46">
        <f>SUM(G27:I27)</f>
        <v>3982.78</v>
      </c>
      <c r="K27" s="6">
        <f>C27-J27</f>
        <v>1718.2199999999998</v>
      </c>
      <c r="L27" s="26">
        <f>C27-(J27/24*26.1)</f>
        <v>1369.726749999999</v>
      </c>
    </row>
    <row r="28" spans="1:12" ht="11.25">
      <c r="A28" s="16" t="s">
        <v>29</v>
      </c>
      <c r="B28" s="20"/>
      <c r="C28" s="9">
        <f>SUM(C26:C27)</f>
        <v>27733</v>
      </c>
      <c r="D28" s="9">
        <f>SUM(D26:D27)</f>
        <v>163.89</v>
      </c>
      <c r="E28" s="9">
        <f>SUM(E26:E27)</f>
        <v>1595.46</v>
      </c>
      <c r="F28" s="9">
        <f aca="true" t="shared" si="8" ref="F28:L28">SUM(F26:F27)</f>
        <v>0</v>
      </c>
      <c r="G28" s="9">
        <f t="shared" si="8"/>
        <v>2015.7900000000004</v>
      </c>
      <c r="H28" s="9">
        <f t="shared" si="8"/>
        <v>15898.849999999997</v>
      </c>
      <c r="I28" s="9">
        <f t="shared" si="8"/>
        <v>0</v>
      </c>
      <c r="J28" s="9">
        <f t="shared" si="8"/>
        <v>17914.639999999996</v>
      </c>
      <c r="K28" s="9">
        <f t="shared" si="8"/>
        <v>9818.360000000002</v>
      </c>
      <c r="L28" s="9">
        <f t="shared" si="8"/>
        <v>8250.829000000002</v>
      </c>
    </row>
    <row r="29" spans="1:12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ht="11.25">
      <c r="A30" s="15" t="s">
        <v>30</v>
      </c>
      <c r="B30" s="36">
        <v>55170100</v>
      </c>
      <c r="C30" s="37">
        <v>61671</v>
      </c>
      <c r="D30" s="26">
        <v>315.33</v>
      </c>
      <c r="E30" s="26">
        <f>2525.55+26.65-2.67</f>
        <v>2549.53</v>
      </c>
      <c r="F30" s="26">
        <v>0</v>
      </c>
      <c r="G30" s="26">
        <f>'5-13-10'!G30+'5-27-10'!D30</f>
        <v>3551.37</v>
      </c>
      <c r="H30" s="26">
        <f>'5-13-10'!H30+'5-27-10'!E30</f>
        <v>47492.350000000006</v>
      </c>
      <c r="I30" s="26">
        <f>'5-13-10'!I30+'5-27-10'!F30</f>
        <v>0</v>
      </c>
      <c r="J30" s="6">
        <f>SUM(G30:I30)</f>
        <v>51043.72000000001</v>
      </c>
      <c r="K30" s="26">
        <f>C30-J30</f>
        <v>10627.279999999992</v>
      </c>
      <c r="L30" s="26">
        <f>C30-(J30/24*26.1)</f>
        <v>6160.954499999985</v>
      </c>
    </row>
    <row r="31" spans="1:12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616.8</v>
      </c>
      <c r="F31" s="26">
        <v>0</v>
      </c>
      <c r="G31" s="26">
        <f>'5-13-10'!G31+'5-27-10'!D31</f>
        <v>0</v>
      </c>
      <c r="H31" s="26">
        <f>'5-13-10'!H31+'5-27-10'!E31</f>
        <v>12000.979999999996</v>
      </c>
      <c r="I31" s="26">
        <f>'5-13-10'!I31+'5-27-10'!F31</f>
        <v>0</v>
      </c>
      <c r="J31" s="6">
        <f>SUM(G31:I31)</f>
        <v>12000.979999999996</v>
      </c>
      <c r="K31" s="6">
        <f>C31-J31</f>
        <v>4080.020000000004</v>
      </c>
      <c r="L31" s="26">
        <f>C31-(J31/24*26.1)</f>
        <v>3029.934250000004</v>
      </c>
    </row>
    <row r="32" spans="1:12" ht="11.25">
      <c r="A32" s="21" t="s">
        <v>32</v>
      </c>
      <c r="B32" s="54"/>
      <c r="C32" s="55">
        <f>SUM(C30:C31)</f>
        <v>77752</v>
      </c>
      <c r="D32" s="9">
        <f>SUM(D30:D31)</f>
        <v>315.33</v>
      </c>
      <c r="E32" s="9">
        <f>SUM(E30:E31)</f>
        <v>3166.33</v>
      </c>
      <c r="F32" s="9">
        <f aca="true" t="shared" si="9" ref="F32:L32">SUM(F30:F31)</f>
        <v>0</v>
      </c>
      <c r="G32" s="9">
        <f t="shared" si="9"/>
        <v>3551.37</v>
      </c>
      <c r="H32" s="9">
        <f t="shared" si="9"/>
        <v>59493.33</v>
      </c>
      <c r="I32" s="9">
        <f t="shared" si="9"/>
        <v>0</v>
      </c>
      <c r="J32" s="9">
        <f t="shared" si="9"/>
        <v>63044.700000000004</v>
      </c>
      <c r="K32" s="9">
        <f t="shared" si="9"/>
        <v>14707.299999999996</v>
      </c>
      <c r="L32" s="9">
        <f t="shared" si="9"/>
        <v>9190.88874999999</v>
      </c>
    </row>
    <row r="33" spans="1:12" ht="11.25">
      <c r="A33" s="23"/>
      <c r="B33" s="23"/>
      <c r="C33" s="14">
        <f aca="true" t="shared" si="10" ref="C33:L33">C16+C24+C28+C32</f>
        <v>336457.24</v>
      </c>
      <c r="D33" s="14">
        <f t="shared" si="10"/>
        <v>2469.2499999999995</v>
      </c>
      <c r="E33" s="14">
        <f t="shared" si="10"/>
        <v>13592.159999999998</v>
      </c>
      <c r="F33" s="14">
        <f t="shared" si="10"/>
        <v>0</v>
      </c>
      <c r="G33" s="14">
        <f t="shared" si="10"/>
        <v>73986.14999999998</v>
      </c>
      <c r="H33" s="14">
        <f t="shared" si="10"/>
        <v>184787.3</v>
      </c>
      <c r="I33" s="14">
        <f t="shared" si="10"/>
        <v>0</v>
      </c>
      <c r="J33" s="14">
        <f t="shared" si="10"/>
        <v>258773.44999999998</v>
      </c>
      <c r="K33" s="14">
        <f t="shared" si="10"/>
        <v>77683.79000000001</v>
      </c>
      <c r="L33" s="14">
        <f t="shared" si="10"/>
        <v>55041.11312499998</v>
      </c>
    </row>
    <row r="35" spans="1:12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23"/>
      <c r="C38" s="23"/>
      <c r="D38" s="23"/>
      <c r="E38" s="13"/>
      <c r="F38" s="23"/>
      <c r="G38" s="23"/>
      <c r="H38" s="23"/>
      <c r="I38" s="23"/>
      <c r="J38" s="23"/>
      <c r="K38" s="23"/>
      <c r="L38" s="23"/>
    </row>
    <row r="39" spans="1:12" ht="11.25" customHeight="1">
      <c r="A39" s="5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1.25" customHeight="1">
      <c r="A40" s="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&amp;CBiweekly OPS Report
5-27-10</oddHeader>
    <oddFooter>&amp;CFY 2009-2010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Layout" showRuler="0" workbookViewId="0" topLeftCell="B7">
      <selection activeCell="E22" sqref="E22"/>
    </sheetView>
  </sheetViews>
  <sheetFormatPr defaultColWidth="9.140625" defaultRowHeight="15"/>
  <cols>
    <col min="1" max="1" width="23.140625" style="24" customWidth="1"/>
    <col min="2" max="2" width="12.28125" style="24" bestFit="1" customWidth="1"/>
    <col min="3" max="3" width="12.57421875" style="24" bestFit="1" customWidth="1"/>
    <col min="4" max="4" width="12.28125" style="24" bestFit="1" customWidth="1"/>
    <col min="5" max="5" width="10.8515625" style="24" bestFit="1" customWidth="1"/>
    <col min="6" max="6" width="11.28125" style="24" bestFit="1" customWidth="1"/>
    <col min="7" max="7" width="11.57421875" style="24" bestFit="1" customWidth="1"/>
    <col min="8" max="8" width="12.57421875" style="24" bestFit="1" customWidth="1"/>
    <col min="9" max="9" width="9.28125" style="24" bestFit="1" customWidth="1"/>
    <col min="10" max="10" width="12.57421875" style="24" bestFit="1" customWidth="1"/>
    <col min="11" max="11" width="11.57421875" style="24" bestFit="1" customWidth="1"/>
    <col min="12" max="12" width="13.57421875" style="24" bestFit="1" customWidth="1"/>
    <col min="13" max="16384" width="9.140625" style="24" customWidth="1"/>
  </cols>
  <sheetData>
    <row r="1" spans="1:12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ht="11.25">
      <c r="A4" s="31" t="s">
        <v>12</v>
      </c>
      <c r="B4" s="31">
        <v>55020300</v>
      </c>
      <c r="C4" s="32">
        <f>13319-800</f>
        <v>12519</v>
      </c>
      <c r="D4" s="26">
        <v>81.57</v>
      </c>
      <c r="E4" s="26">
        <v>74.7</v>
      </c>
      <c r="F4" s="26">
        <v>0</v>
      </c>
      <c r="G4" s="26">
        <f>'5-27-10'!G4+'6-10-10'!D4</f>
        <v>2685.3100000000004</v>
      </c>
      <c r="H4" s="26">
        <f>'5-27-10'!H4+'6-10-10'!E4</f>
        <v>5021.699999999999</v>
      </c>
      <c r="I4" s="26">
        <f>'5-27-10'!I4+'6-10-10'!F4</f>
        <v>0</v>
      </c>
      <c r="J4" s="44">
        <f>SUM(G4:I4)</f>
        <v>7707.009999999999</v>
      </c>
      <c r="K4" s="26">
        <f>C4-J4</f>
        <v>4811.990000000001</v>
      </c>
      <c r="L4" s="26">
        <f>C4-(J4/25*26.1)</f>
        <v>4472.88156</v>
      </c>
    </row>
    <row r="5" spans="1:12" ht="11.25">
      <c r="A5" s="7" t="s">
        <v>13</v>
      </c>
      <c r="B5" s="7">
        <v>55020400</v>
      </c>
      <c r="C5" s="8">
        <f>22049-800</f>
        <v>21249</v>
      </c>
      <c r="D5" s="26">
        <v>443.66</v>
      </c>
      <c r="E5" s="26">
        <v>280.32</v>
      </c>
      <c r="F5" s="26">
        <v>0</v>
      </c>
      <c r="G5" s="26">
        <f>'5-27-10'!G5+'6-10-10'!D5</f>
        <v>10049.619999999999</v>
      </c>
      <c r="H5" s="26">
        <f>'5-27-10'!H5+'6-10-10'!E5</f>
        <v>6474.700000000001</v>
      </c>
      <c r="I5" s="26">
        <f>'5-27-10'!I5+'6-10-10'!F5</f>
        <v>0</v>
      </c>
      <c r="J5" s="46">
        <f aca="true" t="shared" si="0" ref="J5:J15">SUM(G5:I5)</f>
        <v>16524.32</v>
      </c>
      <c r="K5" s="6">
        <f aca="true" t="shared" si="1" ref="K5:K15">C5-J5</f>
        <v>4724.68</v>
      </c>
      <c r="L5" s="26">
        <f aca="true" t="shared" si="2" ref="L5:L15">C5-(J5/25*26.1)</f>
        <v>3997.609919999999</v>
      </c>
    </row>
    <row r="6" spans="1:12" ht="11.25">
      <c r="A6" s="7" t="s">
        <v>14</v>
      </c>
      <c r="B6" s="7">
        <v>55020500</v>
      </c>
      <c r="C6" s="8">
        <f>13601-800</f>
        <v>12801</v>
      </c>
      <c r="D6" s="44">
        <v>21.76</v>
      </c>
      <c r="E6" s="44">
        <v>465.82</v>
      </c>
      <c r="F6" s="26">
        <v>0</v>
      </c>
      <c r="G6" s="26">
        <f>'5-27-10'!G6+'6-10-10'!D6</f>
        <v>2417.5400000000004</v>
      </c>
      <c r="H6" s="26">
        <f>'5-27-10'!H6+'6-10-10'!E6</f>
        <v>6503.030000000001</v>
      </c>
      <c r="I6" s="26">
        <f>'5-27-10'!I6+'6-10-10'!F6</f>
        <v>0</v>
      </c>
      <c r="J6" s="46">
        <f t="shared" si="0"/>
        <v>8920.570000000002</v>
      </c>
      <c r="K6" s="6">
        <f t="shared" si="1"/>
        <v>3880.4299999999985</v>
      </c>
      <c r="L6" s="26">
        <f t="shared" si="2"/>
        <v>3487.9249199999977</v>
      </c>
    </row>
    <row r="7" spans="1:12" ht="11.25" customHeight="1">
      <c r="A7" s="7" t="s">
        <v>15</v>
      </c>
      <c r="B7" s="7">
        <v>55020600</v>
      </c>
      <c r="C7" s="8">
        <v>6550</v>
      </c>
      <c r="D7" s="26">
        <v>87.93</v>
      </c>
      <c r="E7" s="26">
        <v>0</v>
      </c>
      <c r="F7" s="26">
        <v>0</v>
      </c>
      <c r="G7" s="26">
        <f>'5-27-10'!G7+'6-10-10'!D7</f>
        <v>5248.750000000001</v>
      </c>
      <c r="H7" s="26">
        <f>'5-27-10'!H7+'6-10-10'!E7</f>
        <v>135.97</v>
      </c>
      <c r="I7" s="26">
        <f>'5-27-10'!I7+'6-10-10'!F7</f>
        <v>0</v>
      </c>
      <c r="J7" s="46">
        <f t="shared" si="0"/>
        <v>5384.720000000001</v>
      </c>
      <c r="K7" s="6">
        <f>C7-J7</f>
        <v>1165.2799999999988</v>
      </c>
      <c r="L7" s="26">
        <f t="shared" si="2"/>
        <v>928.3523199999981</v>
      </c>
    </row>
    <row r="8" spans="1:12" ht="11.25">
      <c r="A8" s="7" t="s">
        <v>16</v>
      </c>
      <c r="B8" s="7">
        <v>55040100</v>
      </c>
      <c r="C8" s="8">
        <f>9783+2400</f>
        <v>12183</v>
      </c>
      <c r="D8" s="26">
        <v>49.79</v>
      </c>
      <c r="E8" s="26">
        <v>340.76</v>
      </c>
      <c r="F8" s="26">
        <v>0</v>
      </c>
      <c r="G8" s="26">
        <f>'5-27-10'!G8+'6-10-10'!D8</f>
        <v>4579.46</v>
      </c>
      <c r="H8" s="26">
        <f>'5-27-10'!H8+'6-10-10'!E8</f>
        <v>319.01</v>
      </c>
      <c r="I8" s="26">
        <f>'5-27-10'!I8+'6-10-10'!F8</f>
        <v>0</v>
      </c>
      <c r="J8" s="46">
        <f t="shared" si="0"/>
        <v>4898.47</v>
      </c>
      <c r="K8" s="6">
        <f t="shared" si="1"/>
        <v>7284.53</v>
      </c>
      <c r="L8" s="26">
        <f t="shared" si="2"/>
        <v>7068.9973199999995</v>
      </c>
    </row>
    <row r="9" spans="1:12" ht="11.25">
      <c r="A9" s="7" t="s">
        <v>17</v>
      </c>
      <c r="B9" s="7">
        <v>55040200</v>
      </c>
      <c r="C9" s="56">
        <v>8006</v>
      </c>
      <c r="D9" s="26">
        <v>214.79</v>
      </c>
      <c r="E9" s="26">
        <v>0</v>
      </c>
      <c r="F9" s="26">
        <v>0</v>
      </c>
      <c r="G9" s="26">
        <f>'5-27-10'!G9+'6-10-10'!D9</f>
        <v>4875.860000000001</v>
      </c>
      <c r="H9" s="26">
        <f>'5-27-10'!H9+'6-10-10'!E9</f>
        <v>2775</v>
      </c>
      <c r="I9" s="26">
        <f>'5-27-10'!I9+'6-10-10'!F9</f>
        <v>0</v>
      </c>
      <c r="J9" s="46">
        <f t="shared" si="0"/>
        <v>7650.860000000001</v>
      </c>
      <c r="K9" s="6">
        <f t="shared" si="1"/>
        <v>355.1399999999994</v>
      </c>
      <c r="L9" s="26">
        <f t="shared" si="2"/>
        <v>18.502159999999094</v>
      </c>
    </row>
    <row r="10" spans="1:12" ht="11.25">
      <c r="A10" s="7" t="s">
        <v>18</v>
      </c>
      <c r="B10" s="7">
        <v>55050200</v>
      </c>
      <c r="C10" s="8">
        <v>25196</v>
      </c>
      <c r="D10" s="26">
        <v>265.78</v>
      </c>
      <c r="E10" s="26">
        <v>583.53</v>
      </c>
      <c r="F10" s="26">
        <v>0</v>
      </c>
      <c r="G10" s="26">
        <f>'5-27-10'!G10+'6-10-10'!D10</f>
        <v>6897.220000000001</v>
      </c>
      <c r="H10" s="26">
        <f>'5-27-10'!H10+'6-10-10'!E10</f>
        <v>16850.659999999996</v>
      </c>
      <c r="I10" s="26">
        <f>'5-27-10'!I10+'6-10-10'!F10</f>
        <v>0</v>
      </c>
      <c r="J10" s="46">
        <f>SUM(G10:I10)</f>
        <v>23747.879999999997</v>
      </c>
      <c r="K10" s="6">
        <f t="shared" si="1"/>
        <v>1448.1200000000026</v>
      </c>
      <c r="L10" s="26">
        <f t="shared" si="2"/>
        <v>403.21327999999994</v>
      </c>
    </row>
    <row r="11" spans="1:12" ht="11.25">
      <c r="A11" s="7" t="s">
        <v>19</v>
      </c>
      <c r="B11" s="7">
        <v>55070400</v>
      </c>
      <c r="C11" s="8">
        <f>4310+3190+66+44.57</f>
        <v>7610.57</v>
      </c>
      <c r="D11" s="26">
        <v>0</v>
      </c>
      <c r="E11" s="26">
        <v>0</v>
      </c>
      <c r="F11" s="26">
        <v>0</v>
      </c>
      <c r="G11" s="26">
        <f>'5-27-10'!G11+'6-10-10'!D11</f>
        <v>0</v>
      </c>
      <c r="H11" s="26">
        <f>'5-27-10'!H11+'6-10-10'!E11</f>
        <v>7405.379999999999</v>
      </c>
      <c r="I11" s="26">
        <f>'5-27-10'!I11+'6-10-10'!F11</f>
        <v>0</v>
      </c>
      <c r="J11" s="46">
        <f t="shared" si="0"/>
        <v>7405.379999999999</v>
      </c>
      <c r="K11" s="6">
        <f t="shared" si="1"/>
        <v>205.1900000000005</v>
      </c>
      <c r="L11" s="26">
        <f t="shared" si="2"/>
        <v>-120.64672000000064</v>
      </c>
    </row>
    <row r="12" spans="1:12" ht="11.25">
      <c r="A12" s="7" t="s">
        <v>20</v>
      </c>
      <c r="B12" s="7">
        <v>55070200</v>
      </c>
      <c r="C12" s="8">
        <v>4144</v>
      </c>
      <c r="D12" s="26">
        <v>28.11</v>
      </c>
      <c r="E12" s="26">
        <v>0</v>
      </c>
      <c r="F12" s="26">
        <v>0</v>
      </c>
      <c r="G12" s="26">
        <f>'5-27-10'!G12+'6-10-10'!D12</f>
        <v>1418.9299999999996</v>
      </c>
      <c r="H12" s="26">
        <f>'5-27-10'!H12+'6-10-10'!E12</f>
        <v>2216</v>
      </c>
      <c r="I12" s="26">
        <f>'5-27-10'!I12+'6-10-10'!F12</f>
        <v>0</v>
      </c>
      <c r="J12" s="46">
        <f t="shared" si="0"/>
        <v>3634.9299999999994</v>
      </c>
      <c r="K12" s="6">
        <f t="shared" si="1"/>
        <v>509.0700000000006</v>
      </c>
      <c r="L12" s="26">
        <f t="shared" si="2"/>
        <v>349.1330800000005</v>
      </c>
    </row>
    <row r="13" spans="1:12" ht="11.25">
      <c r="A13" s="7" t="s">
        <v>21</v>
      </c>
      <c r="B13" s="7">
        <v>55070100</v>
      </c>
      <c r="C13" s="8">
        <f>20174-66+44.57</f>
        <v>20152.57</v>
      </c>
      <c r="D13" s="26">
        <v>-115.66</v>
      </c>
      <c r="E13" s="26">
        <v>1284.27</v>
      </c>
      <c r="F13" s="26">
        <v>0</v>
      </c>
      <c r="G13" s="26">
        <f>'5-27-10'!G13+'6-10-10'!D13</f>
        <v>1776.8000000000002</v>
      </c>
      <c r="H13" s="26">
        <f>'5-27-10'!H13+'6-10-10'!E13</f>
        <v>11219.78</v>
      </c>
      <c r="I13" s="26">
        <f>'5-27-10'!I13+'6-10-10'!F13</f>
        <v>0</v>
      </c>
      <c r="J13" s="46">
        <f t="shared" si="0"/>
        <v>12996.580000000002</v>
      </c>
      <c r="K13" s="6">
        <f t="shared" si="1"/>
        <v>7155.989999999998</v>
      </c>
      <c r="L13" s="26">
        <f t="shared" si="2"/>
        <v>6584.140479999996</v>
      </c>
    </row>
    <row r="14" spans="1:12" ht="11.25">
      <c r="A14" s="7" t="s">
        <v>37</v>
      </c>
      <c r="B14" s="7">
        <v>55030200</v>
      </c>
      <c r="C14" s="8">
        <v>31009</v>
      </c>
      <c r="D14" s="26">
        <v>152.27</v>
      </c>
      <c r="E14" s="26">
        <v>932.06</v>
      </c>
      <c r="F14" s="26">
        <v>0</v>
      </c>
      <c r="G14" s="26">
        <f>'5-27-10'!G14+'6-10-10'!D14</f>
        <v>10908.679999999998</v>
      </c>
      <c r="H14" s="26">
        <f>'5-27-10'!H14+'6-10-10'!E14</f>
        <v>16784.6</v>
      </c>
      <c r="I14" s="26">
        <f>'5-27-10'!I14+'6-10-10'!F14</f>
        <v>0</v>
      </c>
      <c r="J14" s="46">
        <f>SUM(G14:I14)</f>
        <v>27693.28</v>
      </c>
      <c r="K14" s="6">
        <f t="shared" si="1"/>
        <v>3315.720000000001</v>
      </c>
      <c r="L14" s="26">
        <f t="shared" si="2"/>
        <v>2097.215680000001</v>
      </c>
    </row>
    <row r="15" spans="1:12" ht="11.25">
      <c r="A15" s="7" t="s">
        <v>36</v>
      </c>
      <c r="B15" s="7">
        <v>55020200</v>
      </c>
      <c r="C15" s="8">
        <v>13292</v>
      </c>
      <c r="D15" s="26">
        <v>128.48</v>
      </c>
      <c r="E15" s="26">
        <v>981.53</v>
      </c>
      <c r="F15" s="26">
        <v>0</v>
      </c>
      <c r="G15" s="26">
        <f>'5-27-10'!G15+'6-10-10'!D15</f>
        <v>3108.899999999999</v>
      </c>
      <c r="H15" s="26">
        <f>'5-27-10'!H15+'6-10-10'!E15</f>
        <v>8471.99</v>
      </c>
      <c r="I15" s="26">
        <f>'5-27-10'!I15+'6-10-10'!F15</f>
        <v>0</v>
      </c>
      <c r="J15" s="46">
        <f t="shared" si="0"/>
        <v>11580.89</v>
      </c>
      <c r="K15" s="6">
        <f t="shared" si="1"/>
        <v>1711.1100000000006</v>
      </c>
      <c r="L15" s="26">
        <f t="shared" si="2"/>
        <v>1201.5508399999999</v>
      </c>
    </row>
    <row r="16" spans="1:12" ht="11.25">
      <c r="A16" s="16" t="s">
        <v>22</v>
      </c>
      <c r="B16" s="20"/>
      <c r="C16" s="25">
        <f aca="true" t="shared" si="3" ref="C16:L16">SUM(C4:C15)</f>
        <v>174712.14</v>
      </c>
      <c r="D16" s="25">
        <f t="shared" si="3"/>
        <v>1358.4799999999998</v>
      </c>
      <c r="E16" s="25">
        <f>SUM(E4:E15)</f>
        <v>4942.99</v>
      </c>
      <c r="F16" s="25">
        <f t="shared" si="3"/>
        <v>0</v>
      </c>
      <c r="G16" s="25">
        <f t="shared" si="3"/>
        <v>53967.07000000001</v>
      </c>
      <c r="H16" s="25">
        <f t="shared" si="3"/>
        <v>84177.81999999999</v>
      </c>
      <c r="I16" s="25">
        <f t="shared" si="3"/>
        <v>0</v>
      </c>
      <c r="J16" s="49">
        <f t="shared" si="3"/>
        <v>138144.89</v>
      </c>
      <c r="K16" s="25">
        <f t="shared" si="3"/>
        <v>36567.25</v>
      </c>
      <c r="L16" s="9">
        <f t="shared" si="3"/>
        <v>30488.874839999993</v>
      </c>
    </row>
    <row r="17" spans="1:12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ht="11.25">
      <c r="A18" s="10" t="s">
        <v>35</v>
      </c>
      <c r="B18" s="10">
        <v>55080100</v>
      </c>
      <c r="C18" s="11">
        <f>13891+500+1500</f>
        <v>15891</v>
      </c>
      <c r="D18" s="6">
        <v>88.4</v>
      </c>
      <c r="E18" s="6">
        <v>390.24</v>
      </c>
      <c r="F18" s="6">
        <v>0</v>
      </c>
      <c r="G18" s="26">
        <f>'5-27-10'!G18+'6-10-10'!D18</f>
        <v>2180.9199999999996</v>
      </c>
      <c r="H18" s="26">
        <f>'5-27-10'!H18+'6-10-10'!E18</f>
        <v>11648.209999999997</v>
      </c>
      <c r="I18" s="26">
        <f>'5-27-10'!I18+'6-10-10'!F18</f>
        <v>0</v>
      </c>
      <c r="J18" s="46">
        <f aca="true" t="shared" si="4" ref="J18:J23">SUM(G18:I18)</f>
        <v>13829.129999999997</v>
      </c>
      <c r="K18" s="6">
        <f aca="true" t="shared" si="5" ref="K18:K23">C18-J18</f>
        <v>2061.8700000000026</v>
      </c>
      <c r="L18" s="26">
        <f aca="true" t="shared" si="6" ref="L18:L23">C18-(J18/25*26.1)</f>
        <v>1453.388280000001</v>
      </c>
    </row>
    <row r="19" spans="1:12" ht="11.25">
      <c r="A19" s="10" t="s">
        <v>34</v>
      </c>
      <c r="B19" s="10">
        <v>55160100</v>
      </c>
      <c r="C19" s="11">
        <f>15893-500-1300</f>
        <v>14093</v>
      </c>
      <c r="D19" s="26">
        <v>112.04</v>
      </c>
      <c r="E19" s="26">
        <v>972.94</v>
      </c>
      <c r="F19" s="26">
        <v>0</v>
      </c>
      <c r="G19" s="26">
        <f>'5-27-10'!G19+'6-10-10'!D19</f>
        <v>3513.4100000000003</v>
      </c>
      <c r="H19" s="26">
        <f>'5-27-10'!H19+'6-10-10'!E19</f>
        <v>9316.460000000001</v>
      </c>
      <c r="I19" s="26">
        <f>'5-27-10'!I19+'6-10-10'!F19</f>
        <v>0</v>
      </c>
      <c r="J19" s="46">
        <f>SUM(G19:I19)</f>
        <v>12829.87</v>
      </c>
      <c r="K19" s="6">
        <f t="shared" si="5"/>
        <v>1263.1299999999992</v>
      </c>
      <c r="L19" s="26">
        <f t="shared" si="6"/>
        <v>698.6157199999998</v>
      </c>
    </row>
    <row r="20" spans="1:12" ht="11.25">
      <c r="A20" s="7" t="s">
        <v>33</v>
      </c>
      <c r="B20" s="7">
        <v>55030100</v>
      </c>
      <c r="C20" s="8">
        <f>14568-1092.14-563.62</f>
        <v>12912.24</v>
      </c>
      <c r="D20" s="26">
        <v>80.66</v>
      </c>
      <c r="E20" s="26">
        <v>520.19</v>
      </c>
      <c r="F20" s="26">
        <v>0</v>
      </c>
      <c r="G20" s="26">
        <f>'5-27-10'!G20+'6-10-10'!D20</f>
        <v>3574.61</v>
      </c>
      <c r="H20" s="26">
        <f>'5-27-10'!H20+'6-10-10'!E20</f>
        <v>4252.9400000000005</v>
      </c>
      <c r="I20" s="26">
        <f>'5-27-10'!I20+'6-10-10'!F20</f>
        <v>0</v>
      </c>
      <c r="J20" s="46">
        <f t="shared" si="4"/>
        <v>7827.550000000001</v>
      </c>
      <c r="K20" s="6">
        <f t="shared" si="5"/>
        <v>5084.689999999999</v>
      </c>
      <c r="L20" s="26">
        <f t="shared" si="6"/>
        <v>4740.277799999999</v>
      </c>
    </row>
    <row r="21" spans="1:12" ht="11.25">
      <c r="A21" s="7" t="s">
        <v>23</v>
      </c>
      <c r="B21" s="7">
        <v>55100100</v>
      </c>
      <c r="C21" s="8">
        <f>6082-4056</f>
        <v>2026</v>
      </c>
      <c r="D21" s="26">
        <v>0</v>
      </c>
      <c r="E21" s="26">
        <f>199.16+218.5</f>
        <v>417.65999999999997</v>
      </c>
      <c r="F21" s="26">
        <v>0</v>
      </c>
      <c r="G21" s="26">
        <f>'5-27-10'!G21+'6-10-10'!D21</f>
        <v>363.23999999999995</v>
      </c>
      <c r="H21" s="26">
        <f>'5-27-10'!H21+'6-10-10'!E21</f>
        <v>2244.47</v>
      </c>
      <c r="I21" s="26">
        <f>'5-27-10'!I21+'6-10-10'!F21</f>
        <v>0</v>
      </c>
      <c r="J21" s="46">
        <f>SUM(G21:I21)</f>
        <v>2607.7099999999996</v>
      </c>
      <c r="K21" s="6">
        <f t="shared" si="5"/>
        <v>-581.7099999999996</v>
      </c>
      <c r="L21" s="26">
        <f t="shared" si="6"/>
        <v>-696.4492399999995</v>
      </c>
    </row>
    <row r="22" spans="1:12" ht="11.25">
      <c r="A22" s="7" t="s">
        <v>24</v>
      </c>
      <c r="B22" s="7">
        <v>55090100</v>
      </c>
      <c r="C22" s="8">
        <v>7692</v>
      </c>
      <c r="D22" s="26">
        <v>0</v>
      </c>
      <c r="E22" s="26">
        <v>0</v>
      </c>
      <c r="F22" s="26">
        <v>0</v>
      </c>
      <c r="G22" s="26">
        <f>'5-27-10'!G22+'6-10-10'!D22</f>
        <v>3812.14</v>
      </c>
      <c r="H22" s="26">
        <f>'5-27-10'!H22+'6-10-10'!E22</f>
        <v>4999.240000000001</v>
      </c>
      <c r="I22" s="26">
        <f>'5-27-10'!I22+'6-10-10'!F22</f>
        <v>0</v>
      </c>
      <c r="J22" s="46">
        <f t="shared" si="4"/>
        <v>8811.380000000001</v>
      </c>
      <c r="K22" s="6">
        <f t="shared" si="5"/>
        <v>-1119.380000000001</v>
      </c>
      <c r="L22" s="26">
        <f t="shared" si="6"/>
        <v>-1507.0807200000017</v>
      </c>
    </row>
    <row r="23" spans="1:12" ht="11.25">
      <c r="A23" s="7" t="s">
        <v>25</v>
      </c>
      <c r="B23" s="19">
        <v>55110100</v>
      </c>
      <c r="C23" s="8">
        <f>8035-1500-2800</f>
        <v>3735</v>
      </c>
      <c r="D23" s="26">
        <v>130</v>
      </c>
      <c r="E23" s="26">
        <v>0</v>
      </c>
      <c r="F23" s="26">
        <v>0</v>
      </c>
      <c r="G23" s="26">
        <f>'5-27-10'!G23+'6-10-10'!D23</f>
        <v>2777.1800000000003</v>
      </c>
      <c r="H23" s="26">
        <f>'5-27-10'!H23+'6-10-10'!E23</f>
        <v>0</v>
      </c>
      <c r="I23" s="26">
        <f>'5-27-10'!I23+'6-10-10'!F23</f>
        <v>0</v>
      </c>
      <c r="J23" s="46">
        <f t="shared" si="4"/>
        <v>2777.1800000000003</v>
      </c>
      <c r="K23" s="6">
        <f t="shared" si="5"/>
        <v>957.8199999999997</v>
      </c>
      <c r="L23" s="26">
        <f t="shared" si="6"/>
        <v>835.6240799999996</v>
      </c>
    </row>
    <row r="24" spans="1:12" ht="11.25">
      <c r="A24" s="16" t="s">
        <v>26</v>
      </c>
      <c r="B24" s="20"/>
      <c r="C24" s="9">
        <f>SUM(C18:C23)</f>
        <v>56349.24</v>
      </c>
      <c r="D24" s="9">
        <f>SUM(D18:D23)</f>
        <v>411.1</v>
      </c>
      <c r="E24" s="9">
        <f>SUM(E18:E23)</f>
        <v>2301.03</v>
      </c>
      <c r="F24" s="9">
        <f aca="true" t="shared" si="7" ref="F24:L24">SUM(F18:F23)</f>
        <v>0</v>
      </c>
      <c r="G24" s="9">
        <f t="shared" si="7"/>
        <v>16221.5</v>
      </c>
      <c r="H24" s="9">
        <f t="shared" si="7"/>
        <v>32461.320000000003</v>
      </c>
      <c r="I24" s="9">
        <f t="shared" si="7"/>
        <v>0</v>
      </c>
      <c r="J24" s="9">
        <f t="shared" si="7"/>
        <v>48682.82</v>
      </c>
      <c r="K24" s="9">
        <f t="shared" si="7"/>
        <v>7666.42</v>
      </c>
      <c r="L24" s="9">
        <f t="shared" si="7"/>
        <v>5524.375919999999</v>
      </c>
    </row>
    <row r="25" spans="1:12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1474.21</v>
      </c>
      <c r="F26" s="26">
        <v>0</v>
      </c>
      <c r="G26" s="26">
        <f>'5-27-10'!G26+'6-10-10'!D26</f>
        <v>0</v>
      </c>
      <c r="H26" s="26">
        <f>'5-27-10'!H26+'6-10-10'!E26</f>
        <v>15406.069999999996</v>
      </c>
      <c r="I26" s="26">
        <f>'5-27-10'!I26+'6-10-10'!F26</f>
        <v>0</v>
      </c>
      <c r="J26" s="46">
        <f>SUM(G26:I26)</f>
        <v>15406.069999999996</v>
      </c>
      <c r="K26" s="26">
        <f>C26-J26</f>
        <v>6625.930000000004</v>
      </c>
      <c r="L26" s="26">
        <f>C26-(J26/25*26.1)</f>
        <v>5948.062920000002</v>
      </c>
    </row>
    <row r="27" spans="1:12" ht="11.25">
      <c r="A27" s="7" t="s">
        <v>28</v>
      </c>
      <c r="B27" s="7">
        <v>55010100</v>
      </c>
      <c r="C27" s="8">
        <v>5701</v>
      </c>
      <c r="D27" s="26">
        <v>120.51</v>
      </c>
      <c r="E27" s="26">
        <v>0</v>
      </c>
      <c r="F27" s="26">
        <v>0</v>
      </c>
      <c r="G27" s="26">
        <f>'5-27-10'!G27+'6-10-10'!D27</f>
        <v>2136.3000000000006</v>
      </c>
      <c r="H27" s="26">
        <f>'5-27-10'!H27+'6-10-10'!E27</f>
        <v>1966.9899999999998</v>
      </c>
      <c r="I27" s="26">
        <f>'5-27-10'!I27+'6-10-10'!F27</f>
        <v>0</v>
      </c>
      <c r="J27" s="46">
        <f>SUM(G27:I27)</f>
        <v>4103.290000000001</v>
      </c>
      <c r="K27" s="6">
        <f>C27-J27</f>
        <v>1597.7099999999991</v>
      </c>
      <c r="L27" s="26">
        <f>C27-(J27/25*26.1)</f>
        <v>1417.1652399999984</v>
      </c>
    </row>
    <row r="28" spans="1:12" ht="11.25">
      <c r="A28" s="16" t="s">
        <v>29</v>
      </c>
      <c r="B28" s="20"/>
      <c r="C28" s="9">
        <f>SUM(C26:C27)</f>
        <v>27733</v>
      </c>
      <c r="D28" s="9">
        <f>SUM(D26:D27)</f>
        <v>120.51</v>
      </c>
      <c r="E28" s="9">
        <f>SUM(E26:E27)</f>
        <v>1474.21</v>
      </c>
      <c r="F28" s="9">
        <f aca="true" t="shared" si="8" ref="F28:L28">SUM(F26:F27)</f>
        <v>0</v>
      </c>
      <c r="G28" s="9">
        <f t="shared" si="8"/>
        <v>2136.3000000000006</v>
      </c>
      <c r="H28" s="9">
        <f t="shared" si="8"/>
        <v>17373.059999999998</v>
      </c>
      <c r="I28" s="9">
        <f t="shared" si="8"/>
        <v>0</v>
      </c>
      <c r="J28" s="9">
        <f t="shared" si="8"/>
        <v>19509.359999999997</v>
      </c>
      <c r="K28" s="9">
        <f t="shared" si="8"/>
        <v>8223.640000000003</v>
      </c>
      <c r="L28" s="9">
        <f t="shared" si="8"/>
        <v>7365.228160000001</v>
      </c>
    </row>
    <row r="29" spans="1:12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ht="11.25">
      <c r="A30" s="15" t="s">
        <v>30</v>
      </c>
      <c r="B30" s="36">
        <v>55170100</v>
      </c>
      <c r="C30" s="37">
        <v>61671</v>
      </c>
      <c r="D30" s="26">
        <v>488.46</v>
      </c>
      <c r="E30" s="26">
        <v>2074.36</v>
      </c>
      <c r="F30" s="26">
        <v>0</v>
      </c>
      <c r="G30" s="26">
        <f>'5-27-10'!G30+'6-10-10'!D30</f>
        <v>4039.83</v>
      </c>
      <c r="H30" s="26">
        <f>'5-27-10'!H30+'6-10-10'!E30</f>
        <v>49566.71000000001</v>
      </c>
      <c r="I30" s="26">
        <f>'5-27-10'!I30+'6-10-10'!F30</f>
        <v>0</v>
      </c>
      <c r="J30" s="6">
        <f>SUM(G30:I30)</f>
        <v>53606.54000000001</v>
      </c>
      <c r="K30" s="26">
        <f>C30-J30</f>
        <v>8064.459999999992</v>
      </c>
      <c r="L30" s="26">
        <f>C30-(J30/25*26.1)</f>
        <v>5705.772239999991</v>
      </c>
    </row>
    <row r="31" spans="1:12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555.12</v>
      </c>
      <c r="F31" s="26">
        <v>0</v>
      </c>
      <c r="G31" s="26">
        <f>'5-27-10'!G31+'6-10-10'!D31</f>
        <v>0</v>
      </c>
      <c r="H31" s="26">
        <f>'5-27-10'!H31+'6-10-10'!E31</f>
        <v>12556.099999999997</v>
      </c>
      <c r="I31" s="26">
        <f>'5-27-10'!I31+'6-10-10'!F31</f>
        <v>0</v>
      </c>
      <c r="J31" s="6">
        <f>SUM(G31:I31)</f>
        <v>12556.099999999997</v>
      </c>
      <c r="K31" s="6">
        <f>C31-J31</f>
        <v>3524.9000000000033</v>
      </c>
      <c r="L31" s="26">
        <f>C31-(J31/25*26.1)</f>
        <v>2972.4316000000035</v>
      </c>
    </row>
    <row r="32" spans="1:12" ht="11.25">
      <c r="A32" s="21" t="s">
        <v>32</v>
      </c>
      <c r="B32" s="54"/>
      <c r="C32" s="55">
        <f>SUM(C30:C31)</f>
        <v>77752</v>
      </c>
      <c r="D32" s="9">
        <f>SUM(D30:D31)</f>
        <v>488.46</v>
      </c>
      <c r="E32" s="9">
        <f>SUM(E30:E31)</f>
        <v>2629.48</v>
      </c>
      <c r="F32" s="9">
        <f aca="true" t="shared" si="9" ref="F32:L32">SUM(F30:F31)</f>
        <v>0</v>
      </c>
      <c r="G32" s="9">
        <f t="shared" si="9"/>
        <v>4039.83</v>
      </c>
      <c r="H32" s="9">
        <f t="shared" si="9"/>
        <v>62122.810000000005</v>
      </c>
      <c r="I32" s="9">
        <f t="shared" si="9"/>
        <v>0</v>
      </c>
      <c r="J32" s="9">
        <f t="shared" si="9"/>
        <v>66162.64</v>
      </c>
      <c r="K32" s="9">
        <f t="shared" si="9"/>
        <v>11589.359999999995</v>
      </c>
      <c r="L32" s="9">
        <f t="shared" si="9"/>
        <v>8678.203839999995</v>
      </c>
    </row>
    <row r="33" spans="1:12" ht="11.25">
      <c r="A33" s="23"/>
      <c r="B33" s="23"/>
      <c r="C33" s="14">
        <f aca="true" t="shared" si="10" ref="C33:L33">C16+C24+C28+C32</f>
        <v>336546.38</v>
      </c>
      <c r="D33" s="14">
        <f t="shared" si="10"/>
        <v>2378.5499999999997</v>
      </c>
      <c r="E33" s="14">
        <f t="shared" si="10"/>
        <v>11347.71</v>
      </c>
      <c r="F33" s="14">
        <f t="shared" si="10"/>
        <v>0</v>
      </c>
      <c r="G33" s="14">
        <f t="shared" si="10"/>
        <v>76364.70000000001</v>
      </c>
      <c r="H33" s="14">
        <f t="shared" si="10"/>
        <v>196135.01</v>
      </c>
      <c r="I33" s="14">
        <f t="shared" si="10"/>
        <v>0</v>
      </c>
      <c r="J33" s="14">
        <f t="shared" si="10"/>
        <v>272499.71</v>
      </c>
      <c r="K33" s="14">
        <f t="shared" si="10"/>
        <v>64046.66999999999</v>
      </c>
      <c r="L33" s="14">
        <f t="shared" si="10"/>
        <v>52056.68275999999</v>
      </c>
    </row>
    <row r="35" spans="1:12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23"/>
      <c r="C38" s="23"/>
      <c r="D38" s="23"/>
      <c r="E38" s="13"/>
      <c r="F38" s="23"/>
      <c r="G38" s="23"/>
      <c r="H38" s="23"/>
      <c r="I38" s="23"/>
      <c r="J38" s="23"/>
      <c r="K38" s="23"/>
      <c r="L38" s="23"/>
    </row>
    <row r="39" spans="1:12" ht="11.25" customHeight="1">
      <c r="A39" s="5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1.25" customHeight="1">
      <c r="A40" s="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  <row r="45" ht="11.25">
      <c r="A45" s="3" t="s">
        <v>49</v>
      </c>
    </row>
    <row r="46" ht="11.25">
      <c r="A46" s="3" t="s">
        <v>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&amp;CBiweekly OPS Report
6-10-10</oddHeader>
    <oddFooter>&amp;CFY 2009-2010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Layout" showRuler="0" workbookViewId="0" topLeftCell="B1">
      <selection activeCell="J7" sqref="J7"/>
    </sheetView>
  </sheetViews>
  <sheetFormatPr defaultColWidth="9.140625" defaultRowHeight="15"/>
  <cols>
    <col min="1" max="1" width="23.140625" style="24" customWidth="1"/>
    <col min="2" max="2" width="12.28125" style="24" bestFit="1" customWidth="1"/>
    <col min="3" max="3" width="12.57421875" style="24" bestFit="1" customWidth="1"/>
    <col min="4" max="4" width="12.28125" style="24" bestFit="1" customWidth="1"/>
    <col min="5" max="5" width="10.8515625" style="24" bestFit="1" customWidth="1"/>
    <col min="6" max="6" width="11.28125" style="24" bestFit="1" customWidth="1"/>
    <col min="7" max="7" width="11.57421875" style="24" bestFit="1" customWidth="1"/>
    <col min="8" max="8" width="12.57421875" style="24" bestFit="1" customWidth="1"/>
    <col min="9" max="9" width="9.28125" style="24" bestFit="1" customWidth="1"/>
    <col min="10" max="10" width="12.57421875" style="24" bestFit="1" customWidth="1"/>
    <col min="11" max="11" width="11.57421875" style="24" bestFit="1" customWidth="1"/>
    <col min="12" max="12" width="13.57421875" style="24" bestFit="1" customWidth="1"/>
    <col min="13" max="16384" width="9.140625" style="24" customWidth="1"/>
  </cols>
  <sheetData>
    <row r="1" spans="1:12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ht="11.25">
      <c r="A4" s="31" t="s">
        <v>12</v>
      </c>
      <c r="B4" s="31">
        <v>55020300</v>
      </c>
      <c r="C4" s="32">
        <f>13319-800</f>
        <v>12519</v>
      </c>
      <c r="D4" s="26">
        <v>43.5</v>
      </c>
      <c r="E4" s="26">
        <v>183.02</v>
      </c>
      <c r="F4" s="26">
        <v>0</v>
      </c>
      <c r="G4" s="26">
        <f>'6-10-10'!G4+'6-24-10'!D4</f>
        <v>2728.8100000000004</v>
      </c>
      <c r="H4" s="26">
        <f>'6-10-10'!H4+'6-24-10'!E4</f>
        <v>5204.719999999999</v>
      </c>
      <c r="I4" s="26">
        <f>'6-10-10'!I4+'6-24-10'!F4</f>
        <v>0</v>
      </c>
      <c r="J4" s="44">
        <f>SUM(G4:I4)</f>
        <v>7933.53</v>
      </c>
      <c r="K4" s="26">
        <f>C4-J4</f>
        <v>4585.47</v>
      </c>
      <c r="L4" s="26">
        <f aca="true" t="shared" si="0" ref="L4:L15">C4-(J4/26*26.1)</f>
        <v>4554.956423076924</v>
      </c>
    </row>
    <row r="5" spans="1:12" ht="11.25">
      <c r="A5" s="7" t="s">
        <v>13</v>
      </c>
      <c r="B5" s="7">
        <v>55020400</v>
      </c>
      <c r="C5" s="8">
        <f>22049-800</f>
        <v>21249</v>
      </c>
      <c r="D5" s="26">
        <v>389.72</v>
      </c>
      <c r="E5" s="26">
        <v>209.41</v>
      </c>
      <c r="F5" s="26">
        <v>0</v>
      </c>
      <c r="G5" s="26">
        <f>'6-10-10'!G5+'6-24-10'!D5</f>
        <v>10439.339999999998</v>
      </c>
      <c r="H5" s="26">
        <f>'6-10-10'!H5+'6-24-10'!E5</f>
        <v>6684.110000000001</v>
      </c>
      <c r="I5" s="26">
        <f>'6-10-10'!I5+'6-24-10'!F5</f>
        <v>0</v>
      </c>
      <c r="J5" s="46">
        <f aca="true" t="shared" si="1" ref="J5:J15">SUM(G5:I5)</f>
        <v>17123.449999999997</v>
      </c>
      <c r="K5" s="6">
        <f aca="true" t="shared" si="2" ref="K5:K15">C5-J5</f>
        <v>4125.550000000003</v>
      </c>
      <c r="L5" s="26">
        <f t="shared" si="0"/>
        <v>4059.69057692308</v>
      </c>
    </row>
    <row r="6" spans="1:12" ht="11.25">
      <c r="A6" s="7" t="s">
        <v>14</v>
      </c>
      <c r="B6" s="7">
        <v>55020500</v>
      </c>
      <c r="C6" s="8">
        <f>13601-800</f>
        <v>12801</v>
      </c>
      <c r="D6" s="44">
        <v>13.6</v>
      </c>
      <c r="E6" s="44">
        <v>195.76</v>
      </c>
      <c r="F6" s="26">
        <v>0</v>
      </c>
      <c r="G6" s="26">
        <f>'6-10-10'!G6+'6-24-10'!D6</f>
        <v>2431.1400000000003</v>
      </c>
      <c r="H6" s="26">
        <f>'6-10-10'!H6+'6-24-10'!E6</f>
        <v>6698.790000000001</v>
      </c>
      <c r="I6" s="26">
        <f>'6-10-10'!I6+'6-24-10'!F6</f>
        <v>0</v>
      </c>
      <c r="J6" s="46">
        <f t="shared" si="1"/>
        <v>9129.93</v>
      </c>
      <c r="K6" s="6">
        <f t="shared" si="2"/>
        <v>3671.0699999999997</v>
      </c>
      <c r="L6" s="26">
        <f t="shared" si="0"/>
        <v>3635.954884615383</v>
      </c>
    </row>
    <row r="7" spans="1:12" ht="11.25" customHeight="1">
      <c r="A7" s="7" t="s">
        <v>15</v>
      </c>
      <c r="B7" s="7">
        <v>55020600</v>
      </c>
      <c r="C7" s="8">
        <v>6550</v>
      </c>
      <c r="D7" s="26">
        <v>82.95</v>
      </c>
      <c r="E7" s="26">
        <v>0</v>
      </c>
      <c r="F7" s="26">
        <v>0</v>
      </c>
      <c r="G7" s="26">
        <f>'6-10-10'!G7+'6-24-10'!D7</f>
        <v>5331.700000000001</v>
      </c>
      <c r="H7" s="26">
        <f>'6-10-10'!H7+'6-24-10'!E7</f>
        <v>135.97</v>
      </c>
      <c r="I7" s="26">
        <f>'6-10-10'!I7+'6-24-10'!F7</f>
        <v>0</v>
      </c>
      <c r="J7" s="46">
        <f t="shared" si="1"/>
        <v>5467.670000000001</v>
      </c>
      <c r="K7" s="6">
        <f>C7-J7</f>
        <v>1082.329999999999</v>
      </c>
      <c r="L7" s="26">
        <f t="shared" si="0"/>
        <v>1061.3004999999985</v>
      </c>
    </row>
    <row r="8" spans="1:12" ht="11.25">
      <c r="A8" s="7" t="s">
        <v>16</v>
      </c>
      <c r="B8" s="7">
        <v>55040100</v>
      </c>
      <c r="C8" s="8">
        <f>9783+2400</f>
        <v>12183</v>
      </c>
      <c r="D8" s="26">
        <v>36.15</v>
      </c>
      <c r="E8" s="26">
        <v>603.44</v>
      </c>
      <c r="F8" s="26">
        <v>0</v>
      </c>
      <c r="G8" s="26">
        <f>'6-10-10'!G8+'6-24-10'!D8</f>
        <v>4615.61</v>
      </c>
      <c r="H8" s="26">
        <f>'6-10-10'!H8+'6-24-10'!E8</f>
        <v>922.45</v>
      </c>
      <c r="I8" s="26">
        <f>'6-10-10'!I8+'6-24-10'!F8</f>
        <v>0</v>
      </c>
      <c r="J8" s="46">
        <f t="shared" si="1"/>
        <v>5538.0599999999995</v>
      </c>
      <c r="K8" s="6">
        <f t="shared" si="2"/>
        <v>6644.9400000000005</v>
      </c>
      <c r="L8" s="26">
        <f t="shared" si="0"/>
        <v>6623.639769230769</v>
      </c>
    </row>
    <row r="9" spans="1:12" ht="11.25">
      <c r="A9" s="7" t="s">
        <v>17</v>
      </c>
      <c r="B9" s="7">
        <v>55040200</v>
      </c>
      <c r="C9" s="56">
        <v>8006</v>
      </c>
      <c r="D9" s="26">
        <v>148.14</v>
      </c>
      <c r="E9" s="26">
        <v>0</v>
      </c>
      <c r="F9" s="26">
        <v>0</v>
      </c>
      <c r="G9" s="26">
        <f>'6-10-10'!G9+'6-24-10'!D9</f>
        <v>5024.000000000001</v>
      </c>
      <c r="H9" s="26">
        <f>'6-10-10'!H9+'6-24-10'!E9</f>
        <v>2775</v>
      </c>
      <c r="I9" s="26">
        <f>'6-10-10'!I9+'6-24-10'!F9</f>
        <v>0</v>
      </c>
      <c r="J9" s="46">
        <f t="shared" si="1"/>
        <v>7799.000000000001</v>
      </c>
      <c r="K9" s="6">
        <f t="shared" si="2"/>
        <v>206.9999999999991</v>
      </c>
      <c r="L9" s="26">
        <f t="shared" si="0"/>
        <v>177.00384615384428</v>
      </c>
    </row>
    <row r="10" spans="1:12" ht="11.25">
      <c r="A10" s="7" t="s">
        <v>18</v>
      </c>
      <c r="B10" s="7">
        <v>55050200</v>
      </c>
      <c r="C10" s="8">
        <f>25196+525.23</f>
        <v>25721.23</v>
      </c>
      <c r="D10" s="26">
        <v>193.15</v>
      </c>
      <c r="E10" s="26">
        <v>1103.95</v>
      </c>
      <c r="F10" s="26">
        <v>0</v>
      </c>
      <c r="G10" s="26">
        <f>'6-10-10'!G10+'6-24-10'!D10</f>
        <v>7090.370000000001</v>
      </c>
      <c r="H10" s="26">
        <f>'6-10-10'!H10+'6-24-10'!E10</f>
        <v>17954.609999999997</v>
      </c>
      <c r="I10" s="26">
        <f>'6-10-10'!I10+'6-24-10'!F10</f>
        <v>0</v>
      </c>
      <c r="J10" s="46">
        <f>SUM(G10:I10)</f>
        <v>25044.979999999996</v>
      </c>
      <c r="K10" s="6">
        <f t="shared" si="2"/>
        <v>676.2500000000036</v>
      </c>
      <c r="L10" s="26">
        <f t="shared" si="0"/>
        <v>579.9231538461572</v>
      </c>
    </row>
    <row r="11" spans="1:12" ht="11.25">
      <c r="A11" s="7" t="s">
        <v>19</v>
      </c>
      <c r="B11" s="7">
        <v>55070400</v>
      </c>
      <c r="C11" s="8">
        <f>4310+3190+66+44.57</f>
        <v>7610.57</v>
      </c>
      <c r="D11" s="26">
        <v>0</v>
      </c>
      <c r="E11" s="26">
        <v>0</v>
      </c>
      <c r="F11" s="26">
        <v>0</v>
      </c>
      <c r="G11" s="26">
        <f>'6-10-10'!G11+'6-24-10'!D11</f>
        <v>0</v>
      </c>
      <c r="H11" s="26">
        <f>'6-10-10'!H11+'6-24-10'!E11</f>
        <v>7405.379999999999</v>
      </c>
      <c r="I11" s="26">
        <f>'6-10-10'!I11+'6-24-10'!F11</f>
        <v>0</v>
      </c>
      <c r="J11" s="46">
        <f t="shared" si="1"/>
        <v>7405.379999999999</v>
      </c>
      <c r="K11" s="6">
        <f t="shared" si="2"/>
        <v>205.1900000000005</v>
      </c>
      <c r="L11" s="26">
        <f t="shared" si="0"/>
        <v>176.70776923076937</v>
      </c>
    </row>
    <row r="12" spans="1:12" ht="11.25">
      <c r="A12" s="7" t="s">
        <v>20</v>
      </c>
      <c r="B12" s="7">
        <v>55070200</v>
      </c>
      <c r="C12" s="8">
        <v>4144</v>
      </c>
      <c r="D12" s="26">
        <v>70.25</v>
      </c>
      <c r="E12" s="26">
        <v>0</v>
      </c>
      <c r="F12" s="26">
        <v>0</v>
      </c>
      <c r="G12" s="26">
        <f>'6-10-10'!G12+'6-24-10'!D12</f>
        <v>1489.1799999999996</v>
      </c>
      <c r="H12" s="26">
        <f>'6-10-10'!H12+'6-24-10'!E12</f>
        <v>2216</v>
      </c>
      <c r="I12" s="26">
        <f>'6-10-10'!I12+'6-24-10'!F12</f>
        <v>0</v>
      </c>
      <c r="J12" s="46">
        <f t="shared" si="1"/>
        <v>3705.1799999999994</v>
      </c>
      <c r="K12" s="6">
        <f t="shared" si="2"/>
        <v>438.8200000000006</v>
      </c>
      <c r="L12" s="26">
        <f t="shared" si="0"/>
        <v>424.5693076923085</v>
      </c>
    </row>
    <row r="13" spans="1:12" ht="11.25">
      <c r="A13" s="7" t="s">
        <v>21</v>
      </c>
      <c r="B13" s="7">
        <v>55070100</v>
      </c>
      <c r="C13" s="8">
        <f>20174-66+44.57</f>
        <v>20152.57</v>
      </c>
      <c r="D13" s="26">
        <v>0</v>
      </c>
      <c r="E13" s="26">
        <v>1163.27</v>
      </c>
      <c r="F13" s="26">
        <v>0</v>
      </c>
      <c r="G13" s="26">
        <f>'6-10-10'!G13+'6-24-10'!D13</f>
        <v>1776.8000000000002</v>
      </c>
      <c r="H13" s="26">
        <f>'6-10-10'!H13+'6-24-10'!E13</f>
        <v>12383.050000000001</v>
      </c>
      <c r="I13" s="26">
        <f>'6-10-10'!I13+'6-24-10'!F13</f>
        <v>0</v>
      </c>
      <c r="J13" s="46">
        <f t="shared" si="1"/>
        <v>14159.850000000002</v>
      </c>
      <c r="K13" s="6">
        <f t="shared" si="2"/>
        <v>5992.7199999999975</v>
      </c>
      <c r="L13" s="26">
        <f t="shared" si="0"/>
        <v>5938.259038461534</v>
      </c>
    </row>
    <row r="14" spans="1:12" ht="11.25">
      <c r="A14" s="7" t="s">
        <v>37</v>
      </c>
      <c r="B14" s="7">
        <v>55030200</v>
      </c>
      <c r="C14" s="8">
        <v>31009</v>
      </c>
      <c r="D14" s="26">
        <v>172.76</v>
      </c>
      <c r="E14" s="26">
        <v>398.92</v>
      </c>
      <c r="F14" s="26">
        <v>0</v>
      </c>
      <c r="G14" s="26">
        <f>'6-10-10'!G14+'6-24-10'!D14</f>
        <v>11081.439999999999</v>
      </c>
      <c r="H14" s="26">
        <f>'6-10-10'!H14+'6-24-10'!E14</f>
        <v>17183.519999999997</v>
      </c>
      <c r="I14" s="26">
        <f>'6-10-10'!I14+'6-24-10'!F14</f>
        <v>0</v>
      </c>
      <c r="J14" s="46">
        <f>SUM(G14:I14)</f>
        <v>28264.959999999995</v>
      </c>
      <c r="K14" s="6">
        <f t="shared" si="2"/>
        <v>2744.0400000000045</v>
      </c>
      <c r="L14" s="26">
        <f t="shared" si="0"/>
        <v>2635.3286153846166</v>
      </c>
    </row>
    <row r="15" spans="1:12" ht="11.25">
      <c r="A15" s="7" t="s">
        <v>36</v>
      </c>
      <c r="B15" s="7">
        <v>55020200</v>
      </c>
      <c r="C15" s="8">
        <v>13292</v>
      </c>
      <c r="D15" s="26">
        <v>127.52</v>
      </c>
      <c r="E15" s="26">
        <v>1160.6</v>
      </c>
      <c r="F15" s="26">
        <v>0</v>
      </c>
      <c r="G15" s="26">
        <f>'6-10-10'!G15+'6-24-10'!D15</f>
        <v>3236.419999999999</v>
      </c>
      <c r="H15" s="26">
        <f>'6-10-10'!H15+'6-24-10'!E15</f>
        <v>9632.59</v>
      </c>
      <c r="I15" s="26">
        <f>'6-10-10'!I15+'6-24-10'!F15</f>
        <v>0</v>
      </c>
      <c r="J15" s="46">
        <f t="shared" si="1"/>
        <v>12869.009999999998</v>
      </c>
      <c r="K15" s="6">
        <f t="shared" si="2"/>
        <v>422.9900000000016</v>
      </c>
      <c r="L15" s="26">
        <f t="shared" si="0"/>
        <v>373.4938076923081</v>
      </c>
    </row>
    <row r="16" spans="1:12" ht="11.25">
      <c r="A16" s="16" t="s">
        <v>22</v>
      </c>
      <c r="B16" s="20"/>
      <c r="C16" s="25">
        <f aca="true" t="shared" si="3" ref="C16:L16">SUM(C4:C15)</f>
        <v>175237.37</v>
      </c>
      <c r="D16" s="25">
        <f t="shared" si="3"/>
        <v>1277.74</v>
      </c>
      <c r="E16" s="25">
        <f>SUM(E4:E15)</f>
        <v>5018.37</v>
      </c>
      <c r="F16" s="25">
        <f t="shared" si="3"/>
        <v>0</v>
      </c>
      <c r="G16" s="25">
        <f t="shared" si="3"/>
        <v>55244.81</v>
      </c>
      <c r="H16" s="25">
        <f t="shared" si="3"/>
        <v>89196.19</v>
      </c>
      <c r="I16" s="25">
        <f t="shared" si="3"/>
        <v>0</v>
      </c>
      <c r="J16" s="49">
        <f t="shared" si="3"/>
        <v>144441</v>
      </c>
      <c r="K16" s="25">
        <f t="shared" si="3"/>
        <v>30796.370000000006</v>
      </c>
      <c r="L16" s="9">
        <f t="shared" si="3"/>
        <v>30240.8276923077</v>
      </c>
    </row>
    <row r="17" spans="1:12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ht="11.25">
      <c r="A18" s="10" t="s">
        <v>35</v>
      </c>
      <c r="B18" s="10">
        <v>55080100</v>
      </c>
      <c r="C18" s="11">
        <f>13891+500+1500</f>
        <v>15891</v>
      </c>
      <c r="D18" s="6">
        <v>95.01</v>
      </c>
      <c r="E18" s="6">
        <v>48.78</v>
      </c>
      <c r="F18" s="6">
        <v>0</v>
      </c>
      <c r="G18" s="6">
        <f>'6-10-10'!G18+'6-24-10'!D18</f>
        <v>2275.93</v>
      </c>
      <c r="H18" s="6">
        <f>'6-10-10'!H18+'6-24-10'!E18</f>
        <v>11696.989999999998</v>
      </c>
      <c r="I18" s="6">
        <f>'6-10-10'!I18+'6-24-10'!F18</f>
        <v>0</v>
      </c>
      <c r="J18" s="46">
        <f aca="true" t="shared" si="4" ref="J18:J23">SUM(G18:I18)</f>
        <v>13972.919999999998</v>
      </c>
      <c r="K18" s="6">
        <f aca="true" t="shared" si="5" ref="K18:K23">C18-J18</f>
        <v>1918.0800000000017</v>
      </c>
      <c r="L18" s="6">
        <f aca="true" t="shared" si="6" ref="L18:L23">C18-(J18/26*26.1)</f>
        <v>1864.3379999999997</v>
      </c>
    </row>
    <row r="19" spans="1:12" ht="11.25">
      <c r="A19" s="10" t="s">
        <v>34</v>
      </c>
      <c r="B19" s="10">
        <v>55160100</v>
      </c>
      <c r="C19" s="11">
        <f>15893-500-1300</f>
        <v>14093</v>
      </c>
      <c r="D19" s="26">
        <v>140.43</v>
      </c>
      <c r="E19" s="26">
        <v>1130.32</v>
      </c>
      <c r="F19" s="26">
        <v>0</v>
      </c>
      <c r="G19" s="26">
        <f>'6-10-10'!G19+'6-24-10'!D19</f>
        <v>3653.84</v>
      </c>
      <c r="H19" s="26">
        <f>'6-10-10'!H19+'6-24-10'!E19</f>
        <v>10446.78</v>
      </c>
      <c r="I19" s="26">
        <f>'6-10-10'!I19+'6-24-10'!F19</f>
        <v>0</v>
      </c>
      <c r="J19" s="46">
        <f>SUM(G19:I19)</f>
        <v>14100.62</v>
      </c>
      <c r="K19" s="6">
        <f t="shared" si="5"/>
        <v>-7.6200000000008</v>
      </c>
      <c r="L19" s="26">
        <f t="shared" si="6"/>
        <v>-61.85315384615387</v>
      </c>
    </row>
    <row r="20" spans="1:12" ht="11.25">
      <c r="A20" s="7" t="s">
        <v>33</v>
      </c>
      <c r="B20" s="7">
        <v>55030100</v>
      </c>
      <c r="C20" s="8">
        <f>14568-1092.14-563.62</f>
        <v>12912.24</v>
      </c>
      <c r="D20" s="26">
        <v>155.89</v>
      </c>
      <c r="E20" s="26">
        <v>398.76</v>
      </c>
      <c r="F20" s="26">
        <v>0</v>
      </c>
      <c r="G20" s="26">
        <f>'6-10-10'!G20+'6-24-10'!D20</f>
        <v>3730.5</v>
      </c>
      <c r="H20" s="26">
        <f>'6-10-10'!H20+'6-24-10'!E20</f>
        <v>4651.700000000001</v>
      </c>
      <c r="I20" s="26">
        <f>'6-10-10'!I20+'6-24-10'!F20</f>
        <v>0</v>
      </c>
      <c r="J20" s="46">
        <f t="shared" si="4"/>
        <v>8382.2</v>
      </c>
      <c r="K20" s="6">
        <f t="shared" si="5"/>
        <v>4530.039999999999</v>
      </c>
      <c r="L20" s="26">
        <f t="shared" si="6"/>
        <v>4497.800769230767</v>
      </c>
    </row>
    <row r="21" spans="1:12" ht="11.25">
      <c r="A21" s="7" t="s">
        <v>23</v>
      </c>
      <c r="B21" s="7">
        <v>55100100</v>
      </c>
      <c r="C21" s="8">
        <f>6082-4056</f>
        <v>2026</v>
      </c>
      <c r="D21" s="26">
        <v>0</v>
      </c>
      <c r="E21" s="26">
        <v>0</v>
      </c>
      <c r="F21" s="26">
        <v>0</v>
      </c>
      <c r="G21" s="26">
        <f>'6-10-10'!G21+'6-24-10'!D21</f>
        <v>363.23999999999995</v>
      </c>
      <c r="H21" s="26">
        <f>'6-10-10'!H21+'6-24-10'!E21</f>
        <v>2244.47</v>
      </c>
      <c r="I21" s="26">
        <f>'6-10-10'!I21+'6-24-10'!F21</f>
        <v>0</v>
      </c>
      <c r="J21" s="46">
        <f>SUM(G21:I21)</f>
        <v>2607.7099999999996</v>
      </c>
      <c r="K21" s="6">
        <f t="shared" si="5"/>
        <v>-581.7099999999996</v>
      </c>
      <c r="L21" s="26">
        <f t="shared" si="6"/>
        <v>-591.7396538461535</v>
      </c>
    </row>
    <row r="22" spans="1:12" ht="11.25">
      <c r="A22" s="7" t="s">
        <v>24</v>
      </c>
      <c r="B22" s="7">
        <v>55090100</v>
      </c>
      <c r="C22" s="8">
        <v>7692</v>
      </c>
      <c r="D22" s="26">
        <v>0</v>
      </c>
      <c r="E22" s="26">
        <v>0</v>
      </c>
      <c r="F22" s="26">
        <v>0</v>
      </c>
      <c r="G22" s="26">
        <f>'6-10-10'!G22+'6-24-10'!D22</f>
        <v>3812.14</v>
      </c>
      <c r="H22" s="26">
        <f>'6-10-10'!H22+'6-24-10'!E22</f>
        <v>4999.240000000001</v>
      </c>
      <c r="I22" s="26">
        <f>'6-10-10'!I22+'6-24-10'!F22</f>
        <v>0</v>
      </c>
      <c r="J22" s="46">
        <f t="shared" si="4"/>
        <v>8811.380000000001</v>
      </c>
      <c r="K22" s="6">
        <f t="shared" si="5"/>
        <v>-1119.380000000001</v>
      </c>
      <c r="L22" s="26">
        <f t="shared" si="6"/>
        <v>-1153.269923076925</v>
      </c>
    </row>
    <row r="23" spans="1:12" ht="11.25">
      <c r="A23" s="7" t="s">
        <v>25</v>
      </c>
      <c r="B23" s="19">
        <v>55110100</v>
      </c>
      <c r="C23" s="8">
        <f>8035-1500-2800</f>
        <v>3735</v>
      </c>
      <c r="D23" s="26">
        <v>107.5</v>
      </c>
      <c r="E23" s="26">
        <v>11.86</v>
      </c>
      <c r="F23" s="26">
        <v>0</v>
      </c>
      <c r="G23" s="26">
        <f>'6-10-10'!G23+'6-24-10'!D23</f>
        <v>2884.6800000000003</v>
      </c>
      <c r="H23" s="26">
        <f>'6-10-10'!H23+'6-24-10'!E23</f>
        <v>11.86</v>
      </c>
      <c r="I23" s="26">
        <f>'6-10-10'!I23+'6-24-10'!F23</f>
        <v>0</v>
      </c>
      <c r="J23" s="46">
        <f t="shared" si="4"/>
        <v>2896.5400000000004</v>
      </c>
      <c r="K23" s="6">
        <f t="shared" si="5"/>
        <v>838.4599999999996</v>
      </c>
      <c r="L23" s="26">
        <f t="shared" si="6"/>
        <v>827.3194615384609</v>
      </c>
    </row>
    <row r="24" spans="1:12" ht="11.25">
      <c r="A24" s="16" t="s">
        <v>26</v>
      </c>
      <c r="B24" s="20"/>
      <c r="C24" s="9">
        <f>SUM(C18:C23)</f>
        <v>56349.24</v>
      </c>
      <c r="D24" s="9">
        <f>SUM(D18:D23)</f>
        <v>498.83</v>
      </c>
      <c r="E24" s="9">
        <f>SUM(E18:E23)</f>
        <v>1589.7199999999998</v>
      </c>
      <c r="F24" s="9">
        <f aca="true" t="shared" si="7" ref="F24:L24">SUM(F18:F23)</f>
        <v>0</v>
      </c>
      <c r="G24" s="9">
        <f t="shared" si="7"/>
        <v>16720.33</v>
      </c>
      <c r="H24" s="9">
        <f t="shared" si="7"/>
        <v>34051.04</v>
      </c>
      <c r="I24" s="9">
        <f t="shared" si="7"/>
        <v>0</v>
      </c>
      <c r="J24" s="9">
        <f t="shared" si="7"/>
        <v>50771.37</v>
      </c>
      <c r="K24" s="9">
        <f t="shared" si="7"/>
        <v>5577.869999999999</v>
      </c>
      <c r="L24" s="9">
        <f t="shared" si="7"/>
        <v>5382.595499999996</v>
      </c>
    </row>
    <row r="25" spans="1:12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v>1608.44</v>
      </c>
      <c r="F26" s="26">
        <v>0</v>
      </c>
      <c r="G26" s="26">
        <f>'6-10-10'!G26+'6-24-10'!D26</f>
        <v>0</v>
      </c>
      <c r="H26" s="26">
        <f>'6-10-10'!H26+'6-24-10'!E26</f>
        <v>17014.509999999995</v>
      </c>
      <c r="I26" s="26">
        <f>'6-10-10'!I26+'6-24-10'!F26</f>
        <v>0</v>
      </c>
      <c r="J26" s="46">
        <f>SUM(G26:I26)</f>
        <v>17014.509999999995</v>
      </c>
      <c r="K26" s="26">
        <f>C26-J26</f>
        <v>5017.490000000005</v>
      </c>
      <c r="L26" s="26">
        <f>C26-(J26/26*26.1)</f>
        <v>4952.04957692308</v>
      </c>
    </row>
    <row r="27" spans="1:12" ht="11.25">
      <c r="A27" s="7" t="s">
        <v>28</v>
      </c>
      <c r="B27" s="7">
        <v>55010100</v>
      </c>
      <c r="C27" s="8">
        <v>5701</v>
      </c>
      <c r="D27" s="26">
        <v>141.83</v>
      </c>
      <c r="E27" s="26">
        <v>0</v>
      </c>
      <c r="F27" s="26">
        <v>0</v>
      </c>
      <c r="G27" s="26">
        <f>'6-10-10'!G27+'6-24-10'!D27</f>
        <v>2278.1300000000006</v>
      </c>
      <c r="H27" s="26">
        <f>'6-10-10'!H27+'6-24-10'!E27</f>
        <v>1966.9899999999998</v>
      </c>
      <c r="I27" s="26">
        <f>'6-10-10'!I27+'6-24-10'!F27</f>
        <v>0</v>
      </c>
      <c r="J27" s="46">
        <f>SUM(G27:I27)</f>
        <v>4245.120000000001</v>
      </c>
      <c r="K27" s="6">
        <f>C27-J27</f>
        <v>1455.8799999999992</v>
      </c>
      <c r="L27" s="26">
        <f>C27-(J27/26*26.1)</f>
        <v>1439.552615384614</v>
      </c>
    </row>
    <row r="28" spans="1:12" ht="11.25">
      <c r="A28" s="16" t="s">
        <v>29</v>
      </c>
      <c r="B28" s="20"/>
      <c r="C28" s="9">
        <f>SUM(C26:C27)</f>
        <v>27733</v>
      </c>
      <c r="D28" s="9">
        <f>SUM(D26:D27)</f>
        <v>141.83</v>
      </c>
      <c r="E28" s="9">
        <f>SUM(E26:E27)</f>
        <v>1608.44</v>
      </c>
      <c r="F28" s="9">
        <f aca="true" t="shared" si="8" ref="F28:L28">SUM(F26:F27)</f>
        <v>0</v>
      </c>
      <c r="G28" s="9">
        <f t="shared" si="8"/>
        <v>2278.1300000000006</v>
      </c>
      <c r="H28" s="9">
        <f t="shared" si="8"/>
        <v>18981.499999999993</v>
      </c>
      <c r="I28" s="9">
        <f t="shared" si="8"/>
        <v>0</v>
      </c>
      <c r="J28" s="9">
        <f t="shared" si="8"/>
        <v>21259.629999999997</v>
      </c>
      <c r="K28" s="9">
        <f t="shared" si="8"/>
        <v>6473.370000000004</v>
      </c>
      <c r="L28" s="9">
        <f t="shared" si="8"/>
        <v>6391.602192307694</v>
      </c>
    </row>
    <row r="29" spans="1:12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ht="11.25">
      <c r="A30" s="15" t="s">
        <v>30</v>
      </c>
      <c r="B30" s="36">
        <v>55170100</v>
      </c>
      <c r="C30" s="37">
        <v>61671</v>
      </c>
      <c r="D30" s="26">
        <v>491.11</v>
      </c>
      <c r="E30" s="26">
        <v>2490.04</v>
      </c>
      <c r="F30" s="26">
        <v>0</v>
      </c>
      <c r="G30" s="26">
        <f>'6-10-10'!G30+'6-24-10'!D30</f>
        <v>4530.94</v>
      </c>
      <c r="H30" s="26">
        <f>'6-10-10'!H30+'6-24-10'!E30</f>
        <v>52056.75000000001</v>
      </c>
      <c r="I30" s="26">
        <f>'6-10-10'!I30+'6-24-10'!F30</f>
        <v>0</v>
      </c>
      <c r="J30" s="6">
        <f>SUM(G30:I30)</f>
        <v>56587.69000000001</v>
      </c>
      <c r="K30" s="26">
        <f>C30-J30</f>
        <v>5083.30999999999</v>
      </c>
      <c r="L30" s="26">
        <f>C30-(J30/26*26.1)</f>
        <v>4865.665038461528</v>
      </c>
    </row>
    <row r="31" spans="1:12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616.8</v>
      </c>
      <c r="F31" s="26">
        <v>0</v>
      </c>
      <c r="G31" s="26">
        <f>'6-10-10'!G31+'6-24-10'!D31</f>
        <v>0</v>
      </c>
      <c r="H31" s="26">
        <f>'6-10-10'!H31+'6-24-10'!E31</f>
        <v>13172.899999999996</v>
      </c>
      <c r="I31" s="26">
        <f>'6-10-10'!I31+'6-24-10'!F31</f>
        <v>0</v>
      </c>
      <c r="J31" s="6">
        <f>SUM(G31:I31)</f>
        <v>13172.899999999996</v>
      </c>
      <c r="K31" s="6">
        <f>C31-J31</f>
        <v>2908.100000000004</v>
      </c>
      <c r="L31" s="26">
        <f>C31-(J31/26*26.1)</f>
        <v>2857.435000000003</v>
      </c>
    </row>
    <row r="32" spans="1:12" ht="11.25">
      <c r="A32" s="21" t="s">
        <v>32</v>
      </c>
      <c r="B32" s="54"/>
      <c r="C32" s="55">
        <f>SUM(C30:C31)</f>
        <v>77752</v>
      </c>
      <c r="D32" s="9">
        <f>SUM(D30:D31)</f>
        <v>491.11</v>
      </c>
      <c r="E32" s="9">
        <f>SUM(E30:E31)</f>
        <v>3106.84</v>
      </c>
      <c r="F32" s="9">
        <f aca="true" t="shared" si="9" ref="F32:L32">SUM(F30:F31)</f>
        <v>0</v>
      </c>
      <c r="G32" s="9">
        <f t="shared" si="9"/>
        <v>4530.94</v>
      </c>
      <c r="H32" s="9">
        <f t="shared" si="9"/>
        <v>65229.65</v>
      </c>
      <c r="I32" s="9">
        <f t="shared" si="9"/>
        <v>0</v>
      </c>
      <c r="J32" s="9">
        <f t="shared" si="9"/>
        <v>69760.59000000001</v>
      </c>
      <c r="K32" s="9">
        <f t="shared" si="9"/>
        <v>7991.409999999994</v>
      </c>
      <c r="L32" s="9">
        <f t="shared" si="9"/>
        <v>7723.100038461531</v>
      </c>
    </row>
    <row r="33" spans="1:12" ht="11.25">
      <c r="A33" s="23"/>
      <c r="B33" s="23"/>
      <c r="C33" s="14">
        <f aca="true" t="shared" si="10" ref="C33:L33">C16+C24+C28+C32</f>
        <v>337071.61</v>
      </c>
      <c r="D33" s="14">
        <f t="shared" si="10"/>
        <v>2409.5099999999998</v>
      </c>
      <c r="E33" s="14">
        <f t="shared" si="10"/>
        <v>11323.37</v>
      </c>
      <c r="F33" s="14">
        <f t="shared" si="10"/>
        <v>0</v>
      </c>
      <c r="G33" s="14">
        <f t="shared" si="10"/>
        <v>78774.21</v>
      </c>
      <c r="H33" s="14">
        <f t="shared" si="10"/>
        <v>207458.38</v>
      </c>
      <c r="I33" s="14">
        <f t="shared" si="10"/>
        <v>0</v>
      </c>
      <c r="J33" s="14">
        <f t="shared" si="10"/>
        <v>286232.59</v>
      </c>
      <c r="K33" s="14">
        <f t="shared" si="10"/>
        <v>50839.020000000004</v>
      </c>
      <c r="L33" s="14">
        <f t="shared" si="10"/>
        <v>49738.12542307692</v>
      </c>
    </row>
    <row r="35" spans="1:12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23"/>
      <c r="C38" s="23"/>
      <c r="D38" s="23"/>
      <c r="E38" s="13"/>
      <c r="F38" s="23"/>
      <c r="G38" s="23"/>
      <c r="H38" s="23"/>
      <c r="I38" s="23"/>
      <c r="J38" s="23"/>
      <c r="K38" s="23"/>
      <c r="L38" s="23"/>
    </row>
    <row r="39" spans="1:12" ht="11.25" customHeight="1">
      <c r="A39" s="5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1.25" customHeight="1">
      <c r="A40" s="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  <row r="45" ht="11.25">
      <c r="A45" s="3" t="s">
        <v>49</v>
      </c>
    </row>
    <row r="46" ht="11.25">
      <c r="A46" s="3" t="s">
        <v>48</v>
      </c>
    </row>
    <row r="47" ht="11.25">
      <c r="A47" s="57" t="s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&amp;CBiweekly OPS Report
6-24-10</oddHeader>
    <oddFooter>&amp;CFY 2009-2010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L14" sqref="L14"/>
    </sheetView>
  </sheetViews>
  <sheetFormatPr defaultColWidth="9.140625" defaultRowHeight="15"/>
  <cols>
    <col min="1" max="1" width="23.140625" style="24" customWidth="1"/>
    <col min="2" max="2" width="12.28125" style="24" bestFit="1" customWidth="1"/>
    <col min="3" max="3" width="12.57421875" style="24" bestFit="1" customWidth="1"/>
    <col min="4" max="4" width="12.28125" style="24" bestFit="1" customWidth="1"/>
    <col min="5" max="5" width="10.8515625" style="24" bestFit="1" customWidth="1"/>
    <col min="6" max="6" width="11.28125" style="24" bestFit="1" customWidth="1"/>
    <col min="7" max="7" width="11.57421875" style="24" bestFit="1" customWidth="1"/>
    <col min="8" max="8" width="12.57421875" style="24" bestFit="1" customWidth="1"/>
    <col min="9" max="9" width="9.28125" style="24" bestFit="1" customWidth="1"/>
    <col min="10" max="10" width="12.57421875" style="24" bestFit="1" customWidth="1"/>
    <col min="11" max="11" width="11.57421875" style="24" bestFit="1" customWidth="1"/>
    <col min="12" max="12" width="13.57421875" style="24" bestFit="1" customWidth="1"/>
    <col min="13" max="16384" width="9.140625" style="24" customWidth="1"/>
  </cols>
  <sheetData>
    <row r="1" spans="1:12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ht="11.25">
      <c r="A4" s="31" t="s">
        <v>12</v>
      </c>
      <c r="B4" s="31">
        <v>55020300</v>
      </c>
      <c r="C4" s="32">
        <f>13319-800</f>
        <v>12519</v>
      </c>
      <c r="D4" s="26">
        <v>11.6</v>
      </c>
      <c r="E4" s="26">
        <v>104.58</v>
      </c>
      <c r="F4" s="26">
        <v>63.98</v>
      </c>
      <c r="G4" s="26">
        <f>'6-24-10'!G4+'6-30-10'!D4</f>
        <v>2740.4100000000003</v>
      </c>
      <c r="H4" s="26">
        <f>'6-24-10'!H4+'6-30-10'!E4</f>
        <v>5309.299999999999</v>
      </c>
      <c r="I4" s="26">
        <f>'6-24-10'!I4+'6-30-10'!F4</f>
        <v>63.98</v>
      </c>
      <c r="J4" s="44">
        <f>SUM(G4:I4)</f>
        <v>8113.689999999999</v>
      </c>
      <c r="K4" s="26">
        <f>C4-J4</f>
        <v>4405.310000000001</v>
      </c>
      <c r="L4" s="26">
        <f>C4-J4</f>
        <v>4405.310000000001</v>
      </c>
    </row>
    <row r="5" spans="1:12" ht="11.25">
      <c r="A5" s="7" t="s">
        <v>13</v>
      </c>
      <c r="B5" s="7">
        <v>55020400</v>
      </c>
      <c r="C5" s="8">
        <f>22049-800</f>
        <v>21249</v>
      </c>
      <c r="D5" s="26">
        <v>141.39</v>
      </c>
      <c r="E5" s="26">
        <f>72.82+57.1</f>
        <v>129.92</v>
      </c>
      <c r="F5" s="26">
        <v>111.15</v>
      </c>
      <c r="G5" s="26">
        <f>'6-24-10'!G5+'6-30-10'!D5</f>
        <v>10580.729999999998</v>
      </c>
      <c r="H5" s="26">
        <f>'6-24-10'!H5+'6-30-10'!E5</f>
        <v>6814.030000000001</v>
      </c>
      <c r="I5" s="26">
        <f>'6-24-10'!I5+'6-30-10'!F5</f>
        <v>111.15</v>
      </c>
      <c r="J5" s="46">
        <f aca="true" t="shared" si="0" ref="J5:J15">SUM(G5:I5)</f>
        <v>17505.91</v>
      </c>
      <c r="K5" s="6">
        <f aca="true" t="shared" si="1" ref="K5:K15">C5-J5</f>
        <v>3743.09</v>
      </c>
      <c r="L5" s="26">
        <f aca="true" t="shared" si="2" ref="L5:L15">C5-J5</f>
        <v>3743.09</v>
      </c>
    </row>
    <row r="6" spans="1:12" ht="11.25">
      <c r="A6" s="7" t="s">
        <v>14</v>
      </c>
      <c r="B6" s="7">
        <v>55020500</v>
      </c>
      <c r="C6" s="8">
        <f>13601-800</f>
        <v>12801</v>
      </c>
      <c r="D6" s="44">
        <v>6.53</v>
      </c>
      <c r="E6" s="44">
        <v>384.98</v>
      </c>
      <c r="F6" s="26">
        <v>59.34</v>
      </c>
      <c r="G6" s="26">
        <f>'6-24-10'!G6+'6-30-10'!D6</f>
        <v>2437.6700000000005</v>
      </c>
      <c r="H6" s="26">
        <f>'6-24-10'!H6+'6-30-10'!E6</f>
        <v>7083.77</v>
      </c>
      <c r="I6" s="26">
        <f>'6-24-10'!I6+'6-30-10'!F6</f>
        <v>59.34</v>
      </c>
      <c r="J6" s="46">
        <f t="shared" si="0"/>
        <v>9580.78</v>
      </c>
      <c r="K6" s="6">
        <f t="shared" si="1"/>
        <v>3220.2199999999993</v>
      </c>
      <c r="L6" s="26">
        <f t="shared" si="2"/>
        <v>3220.2199999999993</v>
      </c>
    </row>
    <row r="7" spans="1:12" ht="11.25" customHeight="1">
      <c r="A7" s="7" t="s">
        <v>15</v>
      </c>
      <c r="B7" s="7">
        <v>55020600</v>
      </c>
      <c r="C7" s="8">
        <v>6550</v>
      </c>
      <c r="D7" s="26">
        <v>44.6</v>
      </c>
      <c r="E7" s="26">
        <v>0</v>
      </c>
      <c r="F7" s="26">
        <v>29.48</v>
      </c>
      <c r="G7" s="26">
        <f>'6-24-10'!G7+'6-30-10'!D7</f>
        <v>5376.300000000001</v>
      </c>
      <c r="H7" s="26">
        <f>'6-24-10'!H7+'6-30-10'!E7</f>
        <v>135.97</v>
      </c>
      <c r="I7" s="26">
        <f>'6-24-10'!I7+'6-30-10'!F7</f>
        <v>29.48</v>
      </c>
      <c r="J7" s="46">
        <f t="shared" si="0"/>
        <v>5541.750000000001</v>
      </c>
      <c r="K7" s="6">
        <f>C7-J7</f>
        <v>1008.2499999999991</v>
      </c>
      <c r="L7" s="26">
        <f t="shared" si="2"/>
        <v>1008.2499999999991</v>
      </c>
    </row>
    <row r="8" spans="1:12" ht="11.25">
      <c r="A8" s="7" t="s">
        <v>16</v>
      </c>
      <c r="B8" s="7">
        <v>55040100</v>
      </c>
      <c r="C8" s="8">
        <f>9783+2400</f>
        <v>12183</v>
      </c>
      <c r="D8" s="26">
        <v>21.36</v>
      </c>
      <c r="E8" s="26">
        <f>222.1+65.25+37.03-7.41</f>
        <v>316.96999999999997</v>
      </c>
      <c r="F8" s="26">
        <v>29.16</v>
      </c>
      <c r="G8" s="26">
        <f>'6-24-10'!G8+'6-30-10'!D8</f>
        <v>4636.969999999999</v>
      </c>
      <c r="H8" s="26">
        <f>'6-24-10'!H8+'6-30-10'!E8</f>
        <v>1239.42</v>
      </c>
      <c r="I8" s="26">
        <f>'6-24-10'!I8+'6-30-10'!F8</f>
        <v>29.16</v>
      </c>
      <c r="J8" s="46">
        <f t="shared" si="0"/>
        <v>5905.549999999999</v>
      </c>
      <c r="K8" s="6">
        <f t="shared" si="1"/>
        <v>6277.450000000001</v>
      </c>
      <c r="L8" s="26">
        <f t="shared" si="2"/>
        <v>6277.450000000001</v>
      </c>
    </row>
    <row r="9" spans="1:12" ht="11.25">
      <c r="A9" s="7" t="s">
        <v>17</v>
      </c>
      <c r="B9" s="7">
        <v>55040200</v>
      </c>
      <c r="C9" s="56">
        <v>8006</v>
      </c>
      <c r="D9" s="26">
        <v>63.2</v>
      </c>
      <c r="E9" s="26">
        <v>0</v>
      </c>
      <c r="F9" s="26">
        <v>83.48</v>
      </c>
      <c r="G9" s="26">
        <f>'6-24-10'!G9+'6-30-10'!D9</f>
        <v>5087.200000000001</v>
      </c>
      <c r="H9" s="26">
        <f>'6-24-10'!H9+'6-30-10'!E9</f>
        <v>2775</v>
      </c>
      <c r="I9" s="26">
        <f>'6-24-10'!I9+'6-30-10'!F9</f>
        <v>83.48</v>
      </c>
      <c r="J9" s="46">
        <f t="shared" si="0"/>
        <v>7945.68</v>
      </c>
      <c r="K9" s="6">
        <f t="shared" si="1"/>
        <v>60.31999999999971</v>
      </c>
      <c r="L9" s="26">
        <f t="shared" si="2"/>
        <v>60.31999999999971</v>
      </c>
    </row>
    <row r="10" spans="1:12" ht="11.25">
      <c r="A10" s="7" t="s">
        <v>18</v>
      </c>
      <c r="B10" s="7">
        <v>55050200</v>
      </c>
      <c r="C10" s="8">
        <f>25196+525.23</f>
        <v>25721.23</v>
      </c>
      <c r="D10" s="26">
        <v>91.91</v>
      </c>
      <c r="E10" s="26">
        <f>285.06+43.76-2.62+85.44+217.79-8.52</f>
        <v>620.91</v>
      </c>
      <c r="F10" s="26">
        <v>228.37</v>
      </c>
      <c r="G10" s="26">
        <f>'6-24-10'!G10+'6-30-10'!D10</f>
        <v>7182.280000000001</v>
      </c>
      <c r="H10" s="26">
        <f>'6-24-10'!H10+'6-30-10'!E10</f>
        <v>18575.519999999997</v>
      </c>
      <c r="I10" s="26">
        <f>'6-24-10'!I10+'6-30-10'!F10</f>
        <v>228.37</v>
      </c>
      <c r="J10" s="46">
        <f>SUM(G10:I10)</f>
        <v>25986.169999999995</v>
      </c>
      <c r="K10" s="6">
        <f t="shared" si="1"/>
        <v>-264.93999999999505</v>
      </c>
      <c r="L10" s="26">
        <f t="shared" si="2"/>
        <v>-264.93999999999505</v>
      </c>
    </row>
    <row r="11" spans="1:12" ht="11.25">
      <c r="A11" s="7" t="s">
        <v>19</v>
      </c>
      <c r="B11" s="7">
        <v>55070400</v>
      </c>
      <c r="C11" s="8">
        <f>4310+3190+66+44.57</f>
        <v>7610.57</v>
      </c>
      <c r="D11" s="26">
        <v>0</v>
      </c>
      <c r="E11" s="26">
        <v>0</v>
      </c>
      <c r="F11" s="44">
        <v>0</v>
      </c>
      <c r="G11" s="26">
        <f>'6-24-10'!G11+'6-30-10'!D11</f>
        <v>0</v>
      </c>
      <c r="H11" s="26">
        <f>'6-24-10'!H11+'6-30-10'!E11</f>
        <v>7405.379999999999</v>
      </c>
      <c r="I11" s="26">
        <f>'6-24-10'!I11+'6-30-10'!F11</f>
        <v>0</v>
      </c>
      <c r="J11" s="46">
        <f t="shared" si="0"/>
        <v>7405.379999999999</v>
      </c>
      <c r="K11" s="6">
        <f t="shared" si="1"/>
        <v>205.1900000000005</v>
      </c>
      <c r="L11" s="26">
        <f t="shared" si="2"/>
        <v>205.1900000000005</v>
      </c>
    </row>
    <row r="12" spans="1:12" ht="11.25">
      <c r="A12" s="7" t="s">
        <v>20</v>
      </c>
      <c r="B12" s="7">
        <v>55070200</v>
      </c>
      <c r="C12" s="8">
        <v>4144</v>
      </c>
      <c r="D12" s="26">
        <f>50.03-46.22</f>
        <v>3.8100000000000023</v>
      </c>
      <c r="E12" s="26">
        <v>0</v>
      </c>
      <c r="F12" s="26">
        <v>32.99</v>
      </c>
      <c r="G12" s="26">
        <f>'6-24-10'!G12+'6-30-10'!D12</f>
        <v>1492.9899999999996</v>
      </c>
      <c r="H12" s="26">
        <f>'6-24-10'!H12+'6-30-10'!E12</f>
        <v>2216</v>
      </c>
      <c r="I12" s="26">
        <f>'6-24-10'!I12+'6-30-10'!F12</f>
        <v>32.99</v>
      </c>
      <c r="J12" s="46">
        <f t="shared" si="0"/>
        <v>3741.9799999999996</v>
      </c>
      <c r="K12" s="6">
        <f t="shared" si="1"/>
        <v>402.02000000000044</v>
      </c>
      <c r="L12" s="26">
        <f t="shared" si="2"/>
        <v>402.02000000000044</v>
      </c>
    </row>
    <row r="13" spans="1:12" ht="11.25">
      <c r="A13" s="7" t="s">
        <v>21</v>
      </c>
      <c r="B13" s="7">
        <v>55070100</v>
      </c>
      <c r="C13" s="8">
        <f>20174-66+44.57</f>
        <v>20152.57</v>
      </c>
      <c r="D13" s="26">
        <v>14.56</v>
      </c>
      <c r="E13" s="26">
        <f>508.56+47.13</f>
        <v>555.69</v>
      </c>
      <c r="F13" s="26">
        <v>120.45</v>
      </c>
      <c r="G13" s="26">
        <f>'6-24-10'!G13+'6-30-10'!D13</f>
        <v>1791.3600000000001</v>
      </c>
      <c r="H13" s="26">
        <f>'6-24-10'!H13+'6-30-10'!E13</f>
        <v>12938.740000000002</v>
      </c>
      <c r="I13" s="26">
        <f>'6-24-10'!I13+'6-30-10'!F13</f>
        <v>120.45</v>
      </c>
      <c r="J13" s="46">
        <f t="shared" si="0"/>
        <v>14850.550000000003</v>
      </c>
      <c r="K13" s="6">
        <f t="shared" si="1"/>
        <v>5302.019999999997</v>
      </c>
      <c r="L13" s="26">
        <f t="shared" si="2"/>
        <v>5302.019999999997</v>
      </c>
    </row>
    <row r="14" spans="1:12" ht="11.25">
      <c r="A14" s="7" t="s">
        <v>37</v>
      </c>
      <c r="B14" s="7">
        <v>55030200</v>
      </c>
      <c r="C14" s="8">
        <v>31009</v>
      </c>
      <c r="D14" s="26">
        <v>79.85</v>
      </c>
      <c r="E14" s="26">
        <f>105.7-225.77+70.97</f>
        <v>-49.10000000000001</v>
      </c>
      <c r="F14" s="26">
        <v>206.12</v>
      </c>
      <c r="G14" s="26">
        <f>'6-24-10'!G14+'6-30-10'!D14</f>
        <v>11161.289999999999</v>
      </c>
      <c r="H14" s="26">
        <f>'6-24-10'!H14+'6-30-10'!E14</f>
        <v>17134.42</v>
      </c>
      <c r="I14" s="26">
        <f>'6-24-10'!I14+'6-30-10'!F14</f>
        <v>206.12</v>
      </c>
      <c r="J14" s="46">
        <f>SUM(G14:I14)</f>
        <v>28501.829999999998</v>
      </c>
      <c r="K14" s="6">
        <f t="shared" si="1"/>
        <v>2507.170000000002</v>
      </c>
      <c r="L14" s="26">
        <f t="shared" si="2"/>
        <v>2507.170000000002</v>
      </c>
    </row>
    <row r="15" spans="1:12" ht="11.25">
      <c r="A15" s="7" t="s">
        <v>36</v>
      </c>
      <c r="B15" s="7">
        <v>55020200</v>
      </c>
      <c r="C15" s="8">
        <v>13292</v>
      </c>
      <c r="D15" s="26">
        <v>54.46</v>
      </c>
      <c r="E15" s="26">
        <v>182.13</v>
      </c>
      <c r="F15" s="26">
        <v>131.15</v>
      </c>
      <c r="G15" s="26">
        <f>'6-24-10'!G15+'6-30-10'!D15</f>
        <v>3290.879999999999</v>
      </c>
      <c r="H15" s="26">
        <f>'6-24-10'!H15+'6-30-10'!E15</f>
        <v>9814.72</v>
      </c>
      <c r="I15" s="26">
        <f>'6-24-10'!I15+'6-30-10'!F15</f>
        <v>131.15</v>
      </c>
      <c r="J15" s="46">
        <f t="shared" si="0"/>
        <v>13236.749999999998</v>
      </c>
      <c r="K15" s="6">
        <f t="shared" si="1"/>
        <v>55.25000000000182</v>
      </c>
      <c r="L15" s="26">
        <f t="shared" si="2"/>
        <v>55.25000000000182</v>
      </c>
    </row>
    <row r="16" spans="1:12" ht="11.25">
      <c r="A16" s="16" t="s">
        <v>22</v>
      </c>
      <c r="B16" s="20"/>
      <c r="C16" s="25">
        <f aca="true" t="shared" si="3" ref="C16:L16">SUM(C4:C15)</f>
        <v>175237.37</v>
      </c>
      <c r="D16" s="25">
        <f t="shared" si="3"/>
        <v>533.27</v>
      </c>
      <c r="E16" s="25">
        <f>SUM(E4:E15)</f>
        <v>2246.0800000000004</v>
      </c>
      <c r="F16" s="25">
        <f t="shared" si="3"/>
        <v>1095.67</v>
      </c>
      <c r="G16" s="25">
        <f t="shared" si="3"/>
        <v>55778.08</v>
      </c>
      <c r="H16" s="25">
        <f t="shared" si="3"/>
        <v>91442.26999999999</v>
      </c>
      <c r="I16" s="25">
        <f t="shared" si="3"/>
        <v>1095.67</v>
      </c>
      <c r="J16" s="49">
        <f t="shared" si="3"/>
        <v>148316.02</v>
      </c>
      <c r="K16" s="25">
        <f t="shared" si="3"/>
        <v>26921.350000000006</v>
      </c>
      <c r="L16" s="9">
        <f t="shared" si="3"/>
        <v>26921.350000000006</v>
      </c>
    </row>
    <row r="17" spans="1:12" ht="11.25">
      <c r="A17" s="16"/>
      <c r="B17" s="27"/>
      <c r="C17" s="28"/>
      <c r="D17" s="29"/>
      <c r="E17" s="29"/>
      <c r="F17" s="29"/>
      <c r="G17" s="29"/>
      <c r="H17" s="29"/>
      <c r="I17" s="29"/>
      <c r="J17" s="48"/>
      <c r="K17" s="29"/>
      <c r="L17" s="47"/>
    </row>
    <row r="18" spans="1:12" ht="11.25">
      <c r="A18" s="10" t="s">
        <v>35</v>
      </c>
      <c r="B18" s="10">
        <v>55080100</v>
      </c>
      <c r="C18" s="11">
        <f>13891+500+1500</f>
        <v>15891</v>
      </c>
      <c r="D18" s="6">
        <v>42.49</v>
      </c>
      <c r="E18" s="6">
        <v>0</v>
      </c>
      <c r="F18" s="6">
        <v>187.71</v>
      </c>
      <c r="G18" s="6">
        <f>'6-24-10'!G18+'6-30-10'!D18</f>
        <v>2318.4199999999996</v>
      </c>
      <c r="H18" s="6">
        <f>'6-24-10'!H18+'6-30-10'!E18</f>
        <v>11696.989999999998</v>
      </c>
      <c r="I18" s="6">
        <f>'6-24-10'!I18+'6-30-10'!F18</f>
        <v>187.71</v>
      </c>
      <c r="J18" s="46">
        <f aca="true" t="shared" si="4" ref="J18:J23">SUM(G18:I18)</f>
        <v>14203.119999999997</v>
      </c>
      <c r="K18" s="6">
        <f aca="true" t="shared" si="5" ref="K18:K23">C18-J18</f>
        <v>1687.8800000000028</v>
      </c>
      <c r="L18" s="6">
        <f aca="true" t="shared" si="6" ref="L18:L23">C18-J18</f>
        <v>1687.8800000000028</v>
      </c>
    </row>
    <row r="19" spans="1:12" ht="11.25">
      <c r="A19" s="10" t="s">
        <v>34</v>
      </c>
      <c r="B19" s="10">
        <v>55160100</v>
      </c>
      <c r="C19" s="11">
        <f>15893-500-1300</f>
        <v>14093</v>
      </c>
      <c r="D19" s="26">
        <v>55.14</v>
      </c>
      <c r="E19" s="26">
        <v>401.82</v>
      </c>
      <c r="F19" s="26">
        <v>138.96</v>
      </c>
      <c r="G19" s="26">
        <f>'6-24-10'!G19+'6-30-10'!D19</f>
        <v>3708.98</v>
      </c>
      <c r="H19" s="26">
        <f>'6-24-10'!H19+'6-30-10'!E19</f>
        <v>10848.6</v>
      </c>
      <c r="I19" s="26">
        <f>'6-24-10'!I19+'6-30-10'!F19</f>
        <v>138.96</v>
      </c>
      <c r="J19" s="46">
        <f>SUM(G19:I19)</f>
        <v>14696.539999999999</v>
      </c>
      <c r="K19" s="6">
        <f t="shared" si="5"/>
        <v>-603.539999999999</v>
      </c>
      <c r="L19" s="26">
        <f t="shared" si="6"/>
        <v>-603.539999999999</v>
      </c>
    </row>
    <row r="20" spans="1:12" ht="11.25">
      <c r="A20" s="7" t="s">
        <v>33</v>
      </c>
      <c r="B20" s="7">
        <v>55030100</v>
      </c>
      <c r="C20" s="8">
        <f>14568-1092.14-563.62</f>
        <v>12912.24</v>
      </c>
      <c r="D20" s="26">
        <v>49.12</v>
      </c>
      <c r="E20" s="26">
        <v>155.15</v>
      </c>
      <c r="F20" s="26">
        <v>44.2</v>
      </c>
      <c r="G20" s="26">
        <f>'6-24-10'!G20+'6-30-10'!D20</f>
        <v>3779.62</v>
      </c>
      <c r="H20" s="26">
        <f>'6-24-10'!H20+'6-30-10'!E20</f>
        <v>4806.85</v>
      </c>
      <c r="I20" s="26">
        <f>'6-24-10'!I20+'6-30-10'!F20</f>
        <v>44.2</v>
      </c>
      <c r="J20" s="46">
        <f t="shared" si="4"/>
        <v>8630.670000000002</v>
      </c>
      <c r="K20" s="6">
        <f t="shared" si="5"/>
        <v>4281.569999999998</v>
      </c>
      <c r="L20" s="26">
        <f t="shared" si="6"/>
        <v>4281.569999999998</v>
      </c>
    </row>
    <row r="21" spans="1:12" ht="11.25">
      <c r="A21" s="7" t="s">
        <v>23</v>
      </c>
      <c r="B21" s="7">
        <v>55100100</v>
      </c>
      <c r="C21" s="8">
        <f>6082-4056</f>
        <v>2026</v>
      </c>
      <c r="D21" s="26">
        <v>0</v>
      </c>
      <c r="E21" s="26">
        <f>-184.88-765.68</f>
        <v>-950.56</v>
      </c>
      <c r="F21" s="26">
        <v>8.46</v>
      </c>
      <c r="G21" s="26">
        <f>'6-24-10'!G21+'6-30-10'!D21</f>
        <v>363.23999999999995</v>
      </c>
      <c r="H21" s="26">
        <f>'6-24-10'!H21+'6-30-10'!E21</f>
        <v>1293.9099999999999</v>
      </c>
      <c r="I21" s="26">
        <f>'6-24-10'!I21+'6-30-10'!F21</f>
        <v>8.46</v>
      </c>
      <c r="J21" s="46">
        <f>SUM(G21:I21)</f>
        <v>1665.61</v>
      </c>
      <c r="K21" s="6">
        <f t="shared" si="5"/>
        <v>360.3900000000001</v>
      </c>
      <c r="L21" s="26">
        <f t="shared" si="6"/>
        <v>360.3900000000001</v>
      </c>
    </row>
    <row r="22" spans="1:12" ht="11.25">
      <c r="A22" s="7" t="s">
        <v>24</v>
      </c>
      <c r="B22" s="7">
        <v>55090100</v>
      </c>
      <c r="C22" s="8">
        <v>7692</v>
      </c>
      <c r="D22" s="26">
        <v>0</v>
      </c>
      <c r="E22" s="26">
        <v>-422.31</v>
      </c>
      <c r="F22" s="26">
        <v>94.85</v>
      </c>
      <c r="G22" s="26">
        <f>'6-24-10'!G22+'6-30-10'!D22</f>
        <v>3812.14</v>
      </c>
      <c r="H22" s="26">
        <f>'6-24-10'!H22+'6-30-10'!E22</f>
        <v>4576.93</v>
      </c>
      <c r="I22" s="26">
        <f>'6-24-10'!I22+'6-30-10'!F22</f>
        <v>94.85</v>
      </c>
      <c r="J22" s="46">
        <f>SUM(G22:I22)</f>
        <v>8483.92</v>
      </c>
      <c r="K22" s="6">
        <f t="shared" si="5"/>
        <v>-791.9200000000001</v>
      </c>
      <c r="L22" s="26">
        <f t="shared" si="6"/>
        <v>-791.9200000000001</v>
      </c>
    </row>
    <row r="23" spans="1:12" ht="11.25">
      <c r="A23" s="7" t="s">
        <v>25</v>
      </c>
      <c r="B23" s="19">
        <v>55110100</v>
      </c>
      <c r="C23" s="8">
        <f>8035-1500-2800</f>
        <v>3735</v>
      </c>
      <c r="D23" s="26">
        <v>53.32</v>
      </c>
      <c r="E23" s="26">
        <v>0</v>
      </c>
      <c r="F23" s="26">
        <v>14.5</v>
      </c>
      <c r="G23" s="26">
        <f>'6-24-10'!G23+'6-30-10'!D23</f>
        <v>2938.0000000000005</v>
      </c>
      <c r="H23" s="26">
        <f>'6-24-10'!H23+'6-30-10'!E23</f>
        <v>11.86</v>
      </c>
      <c r="I23" s="26">
        <f>'6-24-10'!I23+'6-30-10'!F23</f>
        <v>14.5</v>
      </c>
      <c r="J23" s="46">
        <f t="shared" si="4"/>
        <v>2964.3600000000006</v>
      </c>
      <c r="K23" s="6">
        <f t="shared" si="5"/>
        <v>770.6399999999994</v>
      </c>
      <c r="L23" s="26">
        <f t="shared" si="6"/>
        <v>770.6399999999994</v>
      </c>
    </row>
    <row r="24" spans="1:12" ht="11.25">
      <c r="A24" s="16" t="s">
        <v>26</v>
      </c>
      <c r="B24" s="20"/>
      <c r="C24" s="9">
        <f>SUM(C18:C23)</f>
        <v>56349.24</v>
      </c>
      <c r="D24" s="9">
        <f>SUM(D18:D23)</f>
        <v>200.07</v>
      </c>
      <c r="E24" s="9">
        <f>SUM(E18:E23)</f>
        <v>-815.8999999999999</v>
      </c>
      <c r="F24" s="9">
        <f aca="true" t="shared" si="7" ref="F24:L24">SUM(F18:F23)</f>
        <v>488.67999999999995</v>
      </c>
      <c r="G24" s="9">
        <f t="shared" si="7"/>
        <v>16920.4</v>
      </c>
      <c r="H24" s="9">
        <f t="shared" si="7"/>
        <v>33235.14</v>
      </c>
      <c r="I24" s="9">
        <f t="shared" si="7"/>
        <v>488.67999999999995</v>
      </c>
      <c r="J24" s="9">
        <f t="shared" si="7"/>
        <v>50644.22</v>
      </c>
      <c r="K24" s="9">
        <f t="shared" si="7"/>
        <v>5705.020000000001</v>
      </c>
      <c r="L24" s="9">
        <f t="shared" si="7"/>
        <v>5705.020000000001</v>
      </c>
    </row>
    <row r="25" spans="1:12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ht="11.25">
      <c r="A26" s="7" t="s">
        <v>27</v>
      </c>
      <c r="B26" s="31">
        <v>55030400</v>
      </c>
      <c r="C26" s="32">
        <f>15176+6856</f>
        <v>22032</v>
      </c>
      <c r="D26" s="26">
        <v>0</v>
      </c>
      <c r="E26" s="26">
        <f>487.62+2751.76</f>
        <v>3239.38</v>
      </c>
      <c r="F26" s="26">
        <v>425.16</v>
      </c>
      <c r="G26" s="26">
        <f>'6-24-10'!G26+'6-30-10'!D26</f>
        <v>0</v>
      </c>
      <c r="H26" s="26">
        <f>'6-24-10'!H26+'6-30-10'!E26</f>
        <v>20253.889999999996</v>
      </c>
      <c r="I26" s="26">
        <f>'6-24-10'!I26+'6-30-10'!F26</f>
        <v>425.16</v>
      </c>
      <c r="J26" s="46">
        <f>SUM(G26:I26)</f>
        <v>20679.049999999996</v>
      </c>
      <c r="K26" s="26">
        <f>C26-J26</f>
        <v>1352.9500000000044</v>
      </c>
      <c r="L26" s="26">
        <f>C26-J26</f>
        <v>1352.9500000000044</v>
      </c>
    </row>
    <row r="27" spans="1:12" ht="11.25">
      <c r="A27" s="7" t="s">
        <v>28</v>
      </c>
      <c r="B27" s="7">
        <v>55010100</v>
      </c>
      <c r="C27" s="8">
        <v>5701</v>
      </c>
      <c r="D27" s="26">
        <v>37.34</v>
      </c>
      <c r="E27" s="26">
        <v>0</v>
      </c>
      <c r="F27" s="26">
        <v>21.22</v>
      </c>
      <c r="G27" s="26">
        <f>'6-24-10'!G27+'6-30-10'!D27</f>
        <v>2315.4700000000007</v>
      </c>
      <c r="H27" s="26">
        <f>'6-24-10'!H27+'6-30-10'!E27</f>
        <v>1966.9899999999998</v>
      </c>
      <c r="I27" s="26">
        <f>'6-24-10'!I27+'6-30-10'!F27</f>
        <v>21.22</v>
      </c>
      <c r="J27" s="46">
        <f>SUM(G27:I27)</f>
        <v>4303.680000000001</v>
      </c>
      <c r="K27" s="6">
        <f>C27-J27</f>
        <v>1397.3199999999988</v>
      </c>
      <c r="L27" s="26">
        <f>C27-J27</f>
        <v>1397.3199999999988</v>
      </c>
    </row>
    <row r="28" spans="1:12" ht="11.25">
      <c r="A28" s="16" t="s">
        <v>29</v>
      </c>
      <c r="B28" s="20"/>
      <c r="C28" s="9">
        <f>SUM(C26:C27)</f>
        <v>27733</v>
      </c>
      <c r="D28" s="9">
        <f>SUM(D26:D27)</f>
        <v>37.34</v>
      </c>
      <c r="E28" s="9">
        <f>SUM(E26:E27)</f>
        <v>3239.38</v>
      </c>
      <c r="F28" s="9">
        <f aca="true" t="shared" si="8" ref="F28:L28">SUM(F26:F27)</f>
        <v>446.38</v>
      </c>
      <c r="G28" s="9">
        <f t="shared" si="8"/>
        <v>2315.4700000000007</v>
      </c>
      <c r="H28" s="9">
        <f t="shared" si="8"/>
        <v>22220.879999999997</v>
      </c>
      <c r="I28" s="9">
        <f t="shared" si="8"/>
        <v>446.38</v>
      </c>
      <c r="J28" s="9">
        <f t="shared" si="8"/>
        <v>24982.729999999996</v>
      </c>
      <c r="K28" s="9">
        <f t="shared" si="8"/>
        <v>2750.270000000003</v>
      </c>
      <c r="L28" s="9">
        <f t="shared" si="8"/>
        <v>2750.270000000003</v>
      </c>
    </row>
    <row r="29" spans="1:12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ht="11.25">
      <c r="A30" s="15" t="s">
        <v>30</v>
      </c>
      <c r="B30" s="36">
        <v>55170100</v>
      </c>
      <c r="C30" s="37">
        <v>61671</v>
      </c>
      <c r="D30" s="26">
        <v>202.99</v>
      </c>
      <c r="E30" s="26">
        <v>1101.05</v>
      </c>
      <c r="F30" s="26">
        <v>725.15</v>
      </c>
      <c r="G30" s="26">
        <f>'6-24-10'!G30+'6-30-10'!D30</f>
        <v>4733.929999999999</v>
      </c>
      <c r="H30" s="26">
        <f>'6-24-10'!H30+'6-30-10'!E30</f>
        <v>53157.80000000001</v>
      </c>
      <c r="I30" s="26">
        <f>'6-24-10'!I30+'6-30-10'!F30</f>
        <v>725.15</v>
      </c>
      <c r="J30" s="46">
        <f>SUM(G30:I30)</f>
        <v>58616.88000000001</v>
      </c>
      <c r="K30" s="26">
        <f>C30-J30</f>
        <v>3054.119999999988</v>
      </c>
      <c r="L30" s="26">
        <f>C30-J30</f>
        <v>3054.119999999988</v>
      </c>
    </row>
    <row r="31" spans="1:12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246.72</v>
      </c>
      <c r="F31" s="26">
        <v>281.64</v>
      </c>
      <c r="G31" s="26">
        <f>'6-24-10'!G31+'6-30-10'!D31</f>
        <v>0</v>
      </c>
      <c r="H31" s="26">
        <f>'6-24-10'!H31+'6-30-10'!E31</f>
        <v>13419.619999999995</v>
      </c>
      <c r="I31" s="26">
        <f>'6-24-10'!I31+'6-30-10'!F31</f>
        <v>281.64</v>
      </c>
      <c r="J31" s="46">
        <f>SUM(G31:I31)</f>
        <v>13701.259999999995</v>
      </c>
      <c r="K31" s="6">
        <f>C31-J31</f>
        <v>2379.7400000000052</v>
      </c>
      <c r="L31" s="26">
        <f>C31-J31</f>
        <v>2379.7400000000052</v>
      </c>
    </row>
    <row r="32" spans="1:12" ht="11.25">
      <c r="A32" s="21" t="s">
        <v>32</v>
      </c>
      <c r="B32" s="54"/>
      <c r="C32" s="55">
        <f>SUM(C30:C31)</f>
        <v>77752</v>
      </c>
      <c r="D32" s="9">
        <f>SUM(D30:D31)</f>
        <v>202.99</v>
      </c>
      <c r="E32" s="9">
        <f>SUM(E30:E31)</f>
        <v>1347.77</v>
      </c>
      <c r="F32" s="9">
        <f aca="true" t="shared" si="9" ref="F32:L32">SUM(F30:F31)</f>
        <v>1006.79</v>
      </c>
      <c r="G32" s="9">
        <f t="shared" si="9"/>
        <v>4733.929999999999</v>
      </c>
      <c r="H32" s="9">
        <f t="shared" si="9"/>
        <v>66577.42000000001</v>
      </c>
      <c r="I32" s="9">
        <f t="shared" si="9"/>
        <v>1006.79</v>
      </c>
      <c r="J32" s="9">
        <f t="shared" si="9"/>
        <v>72318.14000000001</v>
      </c>
      <c r="K32" s="9">
        <f t="shared" si="9"/>
        <v>5433.859999999993</v>
      </c>
      <c r="L32" s="9">
        <f t="shared" si="9"/>
        <v>5433.859999999993</v>
      </c>
    </row>
    <row r="33" spans="1:12" ht="11.25">
      <c r="A33" s="23"/>
      <c r="B33" s="23"/>
      <c r="C33" s="14">
        <f aca="true" t="shared" si="10" ref="C33:L33">C16+C24+C28+C32</f>
        <v>337071.61</v>
      </c>
      <c r="D33" s="14">
        <f t="shared" si="10"/>
        <v>973.67</v>
      </c>
      <c r="E33" s="14">
        <f t="shared" si="10"/>
        <v>6017.33</v>
      </c>
      <c r="F33" s="14">
        <f t="shared" si="10"/>
        <v>3037.52</v>
      </c>
      <c r="G33" s="14">
        <f t="shared" si="10"/>
        <v>79747.88</v>
      </c>
      <c r="H33" s="14">
        <f t="shared" si="10"/>
        <v>213475.71</v>
      </c>
      <c r="I33" s="14">
        <f t="shared" si="10"/>
        <v>3037.52</v>
      </c>
      <c r="J33" s="14">
        <f t="shared" si="10"/>
        <v>296261.11</v>
      </c>
      <c r="K33" s="14">
        <f t="shared" si="10"/>
        <v>40810.5</v>
      </c>
      <c r="L33" s="14">
        <f t="shared" si="10"/>
        <v>40810.5</v>
      </c>
    </row>
    <row r="35" spans="1:12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51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3" t="s">
        <v>39</v>
      </c>
      <c r="B37" s="23"/>
      <c r="C37" s="23"/>
      <c r="D37" s="23"/>
      <c r="E37" s="23"/>
      <c r="F37" s="50"/>
      <c r="G37" s="23"/>
      <c r="H37" s="23"/>
      <c r="I37" s="23"/>
      <c r="J37" s="23"/>
      <c r="K37" s="23"/>
      <c r="L37" s="23"/>
    </row>
    <row r="38" spans="1:12" ht="11.25" customHeight="1">
      <c r="A38" s="52" t="s">
        <v>40</v>
      </c>
      <c r="B38" s="23"/>
      <c r="C38" s="23"/>
      <c r="D38" s="23"/>
      <c r="E38" s="13"/>
      <c r="F38" s="23"/>
      <c r="G38" s="23"/>
      <c r="H38" s="23"/>
      <c r="I38" s="23"/>
      <c r="J38" s="23"/>
      <c r="K38" s="23"/>
      <c r="L38" s="23"/>
    </row>
    <row r="39" spans="1:12" ht="11.25" customHeight="1">
      <c r="A39" s="5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1.25" customHeight="1">
      <c r="A40" s="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ht="11.25" customHeight="1">
      <c r="A41" s="3" t="s">
        <v>44</v>
      </c>
    </row>
    <row r="42" ht="11.25" customHeight="1">
      <c r="A42" s="3" t="s">
        <v>45</v>
      </c>
    </row>
    <row r="43" ht="11.25" customHeight="1">
      <c r="A43" s="3" t="s">
        <v>46</v>
      </c>
    </row>
    <row r="44" ht="11.25" customHeight="1">
      <c r="A44" s="3" t="s">
        <v>47</v>
      </c>
    </row>
    <row r="45" ht="11.25">
      <c r="A45" s="3" t="s">
        <v>49</v>
      </c>
    </row>
    <row r="46" ht="11.25">
      <c r="A46" s="3" t="s">
        <v>48</v>
      </c>
    </row>
    <row r="47" ht="11.25">
      <c r="A47" s="57" t="s">
        <v>50</v>
      </c>
    </row>
    <row r="48" ht="11.25">
      <c r="A48" s="57" t="s">
        <v>51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2"/>
  <headerFooter>
    <oddHeader>&amp;CBiweekly OPS Report
6-30-10</oddHeader>
    <oddFooter>&amp;CFY 2009-2010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E15" sqref="E15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60.04</v>
      </c>
      <c r="E4" s="26">
        <v>332.02</v>
      </c>
      <c r="F4" s="26">
        <v>0</v>
      </c>
      <c r="G4" s="26">
        <f>'7-23-09'!G4+'8-6-09'!D4</f>
        <v>142.84</v>
      </c>
      <c r="H4" s="26">
        <f>'7-23-09'!H4+'8-6-09'!E4</f>
        <v>1592.17</v>
      </c>
      <c r="I4" s="26">
        <f>'7-23-09'!I4+'8-6-09'!F4</f>
        <v>0</v>
      </c>
      <c r="J4" s="26">
        <f>SUM(G4:I4)</f>
        <v>1735.01</v>
      </c>
      <c r="K4" s="26">
        <f>C4-J4</f>
        <v>11583.99</v>
      </c>
      <c r="L4" s="26">
        <f>C4-(J4/3*26.1)</f>
        <v>-1775.5870000000014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409.25</v>
      </c>
      <c r="E5" s="26">
        <v>630.94</v>
      </c>
      <c r="F5" s="26">
        <v>0</v>
      </c>
      <c r="G5" s="26">
        <f>'7-23-09'!G5+'8-6-09'!D5</f>
        <v>1000.38</v>
      </c>
      <c r="H5" s="26">
        <f>'7-23-09'!H5+'8-6-09'!E5</f>
        <v>1580.0500000000002</v>
      </c>
      <c r="I5" s="26">
        <f>'7-23-09'!I5+'8-6-09'!F5</f>
        <v>0</v>
      </c>
      <c r="J5" s="6">
        <f aca="true" t="shared" si="0" ref="J5:J15">SUM(G5:I5)</f>
        <v>2580.4300000000003</v>
      </c>
      <c r="K5" s="6">
        <f aca="true" t="shared" si="1" ref="K5:K15">C5-J5</f>
        <v>19468.57</v>
      </c>
      <c r="L5" s="26">
        <f aca="true" t="shared" si="2" ref="L5:L15">C5-(J5/3*26.1)</f>
        <v>-400.74100000000544</v>
      </c>
    </row>
    <row r="6" spans="1:12" s="24" customFormat="1" ht="11.25">
      <c r="A6" s="7" t="s">
        <v>14</v>
      </c>
      <c r="B6" s="7">
        <v>55020500</v>
      </c>
      <c r="C6" s="8">
        <v>6601</v>
      </c>
      <c r="D6" s="26">
        <v>49.82</v>
      </c>
      <c r="E6" s="26">
        <v>436.82</v>
      </c>
      <c r="F6" s="26">
        <v>0</v>
      </c>
      <c r="G6" s="26">
        <f>'7-23-09'!G6+'8-6-09'!D6</f>
        <v>112.82</v>
      </c>
      <c r="H6" s="26">
        <f>'7-23-09'!H6+'8-6-09'!E6</f>
        <v>1118.85</v>
      </c>
      <c r="I6" s="26">
        <f>'7-23-09'!I6+'8-6-09'!F6</f>
        <v>0</v>
      </c>
      <c r="J6" s="6">
        <f t="shared" si="0"/>
        <v>1231.6699999999998</v>
      </c>
      <c r="K6" s="6">
        <f t="shared" si="1"/>
        <v>5369.33</v>
      </c>
      <c r="L6" s="26">
        <f t="shared" si="2"/>
        <v>-4114.528999999999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181.75</v>
      </c>
      <c r="E7" s="26">
        <v>40.98</v>
      </c>
      <c r="F7" s="26">
        <v>0</v>
      </c>
      <c r="G7" s="26">
        <f>'7-23-09'!G7+'8-6-09'!D7</f>
        <v>489.81</v>
      </c>
      <c r="H7" s="26">
        <f>'7-23-09'!H7+'8-6-09'!E7</f>
        <v>135.97</v>
      </c>
      <c r="I7" s="26">
        <f>'7-23-09'!I7+'8-6-09'!F7</f>
        <v>0</v>
      </c>
      <c r="J7" s="6">
        <f t="shared" si="0"/>
        <v>625.78</v>
      </c>
      <c r="K7" s="6">
        <f t="shared" si="1"/>
        <v>5924.22</v>
      </c>
      <c r="L7" s="26">
        <f t="shared" si="2"/>
        <v>1105.714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261.15</v>
      </c>
      <c r="E8" s="26">
        <v>0</v>
      </c>
      <c r="F8" s="26">
        <v>0</v>
      </c>
      <c r="G8" s="26">
        <f>'7-23-09'!G8+'8-6-09'!D8</f>
        <v>462.46</v>
      </c>
      <c r="H8" s="26">
        <f>'7-23-09'!H8+'8-6-09'!E8</f>
        <v>0</v>
      </c>
      <c r="I8" s="26">
        <f>'7-23-09'!I8+'8-6-09'!F8</f>
        <v>0</v>
      </c>
      <c r="J8" s="6">
        <f t="shared" si="0"/>
        <v>462.46</v>
      </c>
      <c r="K8" s="6">
        <f t="shared" si="1"/>
        <v>9320.54</v>
      </c>
      <c r="L8" s="26">
        <f t="shared" si="2"/>
        <v>5759.598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0</v>
      </c>
      <c r="E9" s="26">
        <v>0</v>
      </c>
      <c r="F9" s="26">
        <v>0</v>
      </c>
      <c r="G9" s="26">
        <f>'7-23-09'!G9+'8-6-09'!D9</f>
        <v>0</v>
      </c>
      <c r="H9" s="26">
        <f>'7-23-09'!H9+'8-6-09'!E9</f>
        <v>0</v>
      </c>
      <c r="I9" s="26">
        <f>'7-23-09'!I9+'8-6-09'!F9</f>
        <v>0</v>
      </c>
      <c r="J9" s="6">
        <f t="shared" si="0"/>
        <v>0</v>
      </c>
      <c r="K9" s="6">
        <f t="shared" si="1"/>
        <v>8006</v>
      </c>
      <c r="L9" s="26">
        <f t="shared" si="2"/>
        <v>8006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135.2</v>
      </c>
      <c r="E10" s="26">
        <v>984.91</v>
      </c>
      <c r="F10" s="26">
        <v>0</v>
      </c>
      <c r="G10" s="26">
        <f>'7-23-09'!G10+'8-6-09'!D10</f>
        <v>354.38</v>
      </c>
      <c r="H10" s="26">
        <f>'7-23-09'!H10+'8-6-09'!E10</f>
        <v>2813.97</v>
      </c>
      <c r="I10" s="26">
        <f>'7-23-09'!I10+'8-6-09'!F10</f>
        <v>0</v>
      </c>
      <c r="J10" s="6">
        <f t="shared" si="0"/>
        <v>3168.35</v>
      </c>
      <c r="K10" s="6">
        <f t="shared" si="1"/>
        <v>22027.65</v>
      </c>
      <c r="L10" s="26">
        <f t="shared" si="2"/>
        <v>-2368.6450000000004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0</v>
      </c>
      <c r="F11" s="26">
        <v>0</v>
      </c>
      <c r="G11" s="26">
        <f>'7-23-09'!G11+'8-6-09'!D11</f>
        <v>0</v>
      </c>
      <c r="H11" s="26">
        <f>'7-23-09'!H11+'8-6-09'!E11</f>
        <v>0</v>
      </c>
      <c r="I11" s="26">
        <f>'7-23-09'!I11+'8-6-09'!F11</f>
        <v>0</v>
      </c>
      <c r="J11" s="6">
        <f t="shared" si="0"/>
        <v>0</v>
      </c>
      <c r="K11" s="6">
        <f t="shared" si="1"/>
        <v>7500</v>
      </c>
      <c r="L11" s="26">
        <f t="shared" si="2"/>
        <v>7500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60.74</v>
      </c>
      <c r="E12" s="26">
        <v>271.88</v>
      </c>
      <c r="F12" s="26">
        <v>0</v>
      </c>
      <c r="G12" s="26">
        <f>'7-23-09'!G12+'8-6-09'!D12</f>
        <v>165.84</v>
      </c>
      <c r="H12" s="26">
        <f>'7-23-09'!H12+'8-6-09'!E12</f>
        <v>387.61</v>
      </c>
      <c r="I12" s="26">
        <f>'7-23-09'!I12+'8-6-09'!F12</f>
        <v>0</v>
      </c>
      <c r="J12" s="6">
        <f t="shared" si="0"/>
        <v>553.45</v>
      </c>
      <c r="K12" s="6">
        <f t="shared" si="1"/>
        <v>3590.55</v>
      </c>
      <c r="L12" s="26">
        <f t="shared" si="2"/>
        <v>-671.0150000000003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0</v>
      </c>
      <c r="E13" s="26">
        <f>721.85+382.13</f>
        <v>1103.98</v>
      </c>
      <c r="F13" s="26">
        <v>0</v>
      </c>
      <c r="G13" s="26">
        <f>'7-23-09'!G13+'8-6-09'!D13</f>
        <v>0</v>
      </c>
      <c r="H13" s="26">
        <f>'7-23-09'!H13+'8-6-09'!E13</f>
        <v>2065.71</v>
      </c>
      <c r="I13" s="26">
        <f>'7-23-09'!I13+'8-6-09'!F13</f>
        <v>0</v>
      </c>
      <c r="J13" s="6">
        <f t="shared" si="0"/>
        <v>2065.71</v>
      </c>
      <c r="K13" s="6">
        <f t="shared" si="1"/>
        <v>18108.29</v>
      </c>
      <c r="L13" s="26">
        <f t="shared" si="2"/>
        <v>2202.3229999999967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361.02</v>
      </c>
      <c r="E14" s="26">
        <f>558.63-108.75</f>
        <v>449.88</v>
      </c>
      <c r="F14" s="26">
        <v>0</v>
      </c>
      <c r="G14" s="26">
        <f>'7-23-09'!G14+'8-6-09'!D14</f>
        <v>568.0799999999999</v>
      </c>
      <c r="H14" s="26">
        <f>'7-23-09'!H14+'8-6-09'!E14</f>
        <v>1484.5</v>
      </c>
      <c r="I14" s="26">
        <f>'7-23-09'!I14+'8-6-09'!F14</f>
        <v>0</v>
      </c>
      <c r="J14" s="6">
        <f t="shared" si="0"/>
        <v>2052.58</v>
      </c>
      <c r="K14" s="6">
        <f t="shared" si="1"/>
        <v>28956.42</v>
      </c>
      <c r="L14" s="26">
        <f t="shared" si="2"/>
        <v>13151.554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69.1</v>
      </c>
      <c r="E15" s="26">
        <v>364.36</v>
      </c>
      <c r="F15" s="26">
        <v>0</v>
      </c>
      <c r="G15" s="26">
        <f>'7-23-09'!G15+'8-6-09'!D15</f>
        <v>197.5</v>
      </c>
      <c r="H15" s="26">
        <f>'7-23-09'!H15+'8-6-09'!E15</f>
        <v>970.36</v>
      </c>
      <c r="I15" s="26">
        <f>'7-23-09'!I15+'8-6-09'!F15</f>
        <v>0</v>
      </c>
      <c r="J15" s="6">
        <f t="shared" si="0"/>
        <v>1167.8600000000001</v>
      </c>
      <c r="K15" s="6">
        <f t="shared" si="1"/>
        <v>12124.14</v>
      </c>
      <c r="L15" s="26">
        <f t="shared" si="2"/>
        <v>3131.6179999999986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167623</v>
      </c>
      <c r="D16" s="25">
        <f t="shared" si="3"/>
        <v>1588.07</v>
      </c>
      <c r="E16" s="25">
        <f t="shared" si="3"/>
        <v>4615.7699999999995</v>
      </c>
      <c r="F16" s="25">
        <f t="shared" si="3"/>
        <v>0</v>
      </c>
      <c r="G16" s="25">
        <f t="shared" si="3"/>
        <v>3494.11</v>
      </c>
      <c r="H16" s="25">
        <f t="shared" si="3"/>
        <v>12149.19</v>
      </c>
      <c r="I16" s="25">
        <f t="shared" si="3"/>
        <v>0</v>
      </c>
      <c r="J16" s="25">
        <f t="shared" si="3"/>
        <v>15643.300000000001</v>
      </c>
      <c r="K16" s="25">
        <f t="shared" si="3"/>
        <v>151979.7</v>
      </c>
      <c r="L16" s="9">
        <f t="shared" si="3"/>
        <v>31526.28999999999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0</v>
      </c>
      <c r="E18" s="6">
        <v>703.16</v>
      </c>
      <c r="F18" s="6">
        <v>0</v>
      </c>
      <c r="G18" s="6">
        <f>'7-23-09'!G18+'8-6-09'!D18</f>
        <v>0</v>
      </c>
      <c r="H18" s="6">
        <f>'7-23-09'!H18+'8-6-09'!E18</f>
        <v>1819.1</v>
      </c>
      <c r="I18" s="6">
        <f>'7-23-09'!I18+'8-6-09'!F18</f>
        <v>0</v>
      </c>
      <c r="J18" s="6">
        <f aca="true" t="shared" si="4" ref="J18:J23">SUM(G18:I18)</f>
        <v>1819.1</v>
      </c>
      <c r="K18" s="6">
        <f aca="true" t="shared" si="5" ref="K18:K23">C18-J18</f>
        <v>14071.9</v>
      </c>
      <c r="L18" s="26">
        <f aca="true" t="shared" si="6" ref="L18:L23">C18-(J18/3*26.1)</f>
        <v>64.82999999999811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151.06</v>
      </c>
      <c r="E19" s="26">
        <v>726.26</v>
      </c>
      <c r="F19" s="26">
        <v>0</v>
      </c>
      <c r="G19" s="26">
        <f>'7-23-09'!G19+'8-6-09'!D19</f>
        <v>403.67</v>
      </c>
      <c r="H19" s="26">
        <f>'7-23-09'!H19+'8-6-09'!E19</f>
        <v>2017.61</v>
      </c>
      <c r="I19" s="26">
        <f>'7-23-09'!I19+'8-6-09'!F19</f>
        <v>0</v>
      </c>
      <c r="J19" s="6">
        <f t="shared" si="4"/>
        <v>2421.2799999999997</v>
      </c>
      <c r="K19" s="6">
        <f t="shared" si="5"/>
        <v>12971.720000000001</v>
      </c>
      <c r="L19" s="26">
        <f t="shared" si="6"/>
        <v>-5672.135999999999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42.6</v>
      </c>
      <c r="E20" s="26">
        <v>221.13</v>
      </c>
      <c r="F20" s="26">
        <v>0</v>
      </c>
      <c r="G20" s="26">
        <f>'7-23-09'!G20+'8-6-09'!D20</f>
        <v>98.75</v>
      </c>
      <c r="H20" s="26">
        <f>'7-23-09'!H20+'8-6-09'!E20</f>
        <v>691.96</v>
      </c>
      <c r="I20" s="26">
        <f>'7-23-09'!I20+'8-6-09'!F20</f>
        <v>0</v>
      </c>
      <c r="J20" s="6">
        <f t="shared" si="4"/>
        <v>790.71</v>
      </c>
      <c r="K20" s="6">
        <f t="shared" si="5"/>
        <v>13777.29</v>
      </c>
      <c r="L20" s="26">
        <f t="shared" si="6"/>
        <v>7688.822999999999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0</v>
      </c>
      <c r="E21" s="26">
        <v>0</v>
      </c>
      <c r="F21" s="26">
        <v>0</v>
      </c>
      <c r="G21" s="26">
        <f>'7-23-09'!G21+'8-6-09'!D21</f>
        <v>0</v>
      </c>
      <c r="H21" s="26">
        <f>'7-23-09'!H21+'8-6-09'!E21</f>
        <v>0</v>
      </c>
      <c r="I21" s="26">
        <f>'7-23-09'!I21+'8-6-09'!F21</f>
        <v>0</v>
      </c>
      <c r="J21" s="6">
        <f t="shared" si="4"/>
        <v>0</v>
      </c>
      <c r="K21" s="6">
        <f t="shared" si="5"/>
        <v>6082</v>
      </c>
      <c r="L21" s="26">
        <f t="shared" si="6"/>
        <v>6082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22.21</v>
      </c>
      <c r="E22" s="26">
        <v>0</v>
      </c>
      <c r="F22" s="26">
        <v>0</v>
      </c>
      <c r="G22" s="26">
        <f>'7-23-09'!G22+'8-6-09'!D22</f>
        <v>65.71000000000001</v>
      </c>
      <c r="H22" s="26">
        <f>'7-23-09'!H22+'8-6-09'!E22</f>
        <v>508.31</v>
      </c>
      <c r="I22" s="26">
        <f>'7-23-09'!I22+'8-6-09'!F22</f>
        <v>0</v>
      </c>
      <c r="J22" s="6">
        <f t="shared" si="4"/>
        <v>574.02</v>
      </c>
      <c r="K22" s="6">
        <f t="shared" si="5"/>
        <v>7117.98</v>
      </c>
      <c r="L22" s="26">
        <f t="shared" si="6"/>
        <v>2698.026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136.86</v>
      </c>
      <c r="E23" s="26">
        <v>0</v>
      </c>
      <c r="F23" s="26">
        <v>0</v>
      </c>
      <c r="G23" s="26">
        <f>'7-23-09'!G23+'8-6-09'!D23</f>
        <v>343.26</v>
      </c>
      <c r="H23" s="26">
        <f>'7-23-09'!H23+'8-6-09'!E23</f>
        <v>0</v>
      </c>
      <c r="I23" s="26">
        <f>'7-23-09'!I23+'8-6-09'!F23</f>
        <v>0</v>
      </c>
      <c r="J23" s="6">
        <f t="shared" si="4"/>
        <v>343.26</v>
      </c>
      <c r="K23" s="6">
        <f t="shared" si="5"/>
        <v>6191.74</v>
      </c>
      <c r="L23" s="26">
        <f t="shared" si="6"/>
        <v>3548.638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7" ref="D24:L24">SUM(D18:D23)</f>
        <v>352.73</v>
      </c>
      <c r="E24" s="9">
        <f t="shared" si="7"/>
        <v>1650.5500000000002</v>
      </c>
      <c r="F24" s="9">
        <f t="shared" si="7"/>
        <v>0</v>
      </c>
      <c r="G24" s="9">
        <f t="shared" si="7"/>
        <v>911.39</v>
      </c>
      <c r="H24" s="9">
        <f t="shared" si="7"/>
        <v>5036.9800000000005</v>
      </c>
      <c r="I24" s="9">
        <f t="shared" si="7"/>
        <v>0</v>
      </c>
      <c r="J24" s="9">
        <f t="shared" si="7"/>
        <v>5948.369999999999</v>
      </c>
      <c r="K24" s="9">
        <f t="shared" si="7"/>
        <v>60212.63</v>
      </c>
      <c r="L24" s="9">
        <f t="shared" si="7"/>
        <v>14410.180999999997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59.6</v>
      </c>
      <c r="F26" s="26">
        <v>0</v>
      </c>
      <c r="G26" s="26">
        <f>'7-23-09'!G26+'8-6-09'!D26</f>
        <v>0</v>
      </c>
      <c r="H26" s="26">
        <f>'7-23-09'!H26+'8-6-09'!E26</f>
        <v>1013.2</v>
      </c>
      <c r="I26" s="26">
        <f>'7-23-09'!I26+'8-6-09'!F26</f>
        <v>0</v>
      </c>
      <c r="J26" s="6">
        <f>SUM(G26:I26)</f>
        <v>1013.2</v>
      </c>
      <c r="K26" s="26">
        <f>C26-J26</f>
        <v>14162.8</v>
      </c>
      <c r="L26" s="26">
        <f>C26-(J26/3*26.1)</f>
        <v>6361.16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96.51</v>
      </c>
      <c r="E27" s="26">
        <v>0</v>
      </c>
      <c r="F27" s="26">
        <v>0</v>
      </c>
      <c r="G27" s="26">
        <f>'7-23-09'!G27+'8-6-09'!D27</f>
        <v>258.12</v>
      </c>
      <c r="H27" s="26">
        <f>'7-23-09'!H27+'8-6-09'!E27</f>
        <v>0</v>
      </c>
      <c r="I27" s="26">
        <f>'7-23-09'!I27+'8-6-09'!F27</f>
        <v>0</v>
      </c>
      <c r="J27" s="6">
        <f>SUM(G27:I27)</f>
        <v>258.12</v>
      </c>
      <c r="K27" s="6">
        <f>C27-J27</f>
        <v>5442.88</v>
      </c>
      <c r="L27" s="26">
        <f>C27-(J27/3*26.1)</f>
        <v>3455.3559999999998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96.51</v>
      </c>
      <c r="E28" s="9">
        <f t="shared" si="8"/>
        <v>59.6</v>
      </c>
      <c r="F28" s="9">
        <f t="shared" si="8"/>
        <v>0</v>
      </c>
      <c r="G28" s="9">
        <f t="shared" si="8"/>
        <v>258.12</v>
      </c>
      <c r="H28" s="9">
        <f t="shared" si="8"/>
        <v>1013.2</v>
      </c>
      <c r="I28" s="9">
        <f t="shared" si="8"/>
        <v>0</v>
      </c>
      <c r="J28" s="9">
        <f t="shared" si="8"/>
        <v>1271.3200000000002</v>
      </c>
      <c r="K28" s="9">
        <f t="shared" si="8"/>
        <v>19605.68</v>
      </c>
      <c r="L28" s="9">
        <f t="shared" si="8"/>
        <v>9816.516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v>2142</v>
      </c>
      <c r="F30" s="26">
        <v>0</v>
      </c>
      <c r="G30" s="26">
        <f>'7-23-09'!G30+'8-6-09'!D30</f>
        <v>0</v>
      </c>
      <c r="H30" s="26">
        <f>'7-23-09'!H30+'8-6-09'!E30</f>
        <v>6046.6</v>
      </c>
      <c r="I30" s="26">
        <f>'7-23-09'!I30+'8-6-09'!F30</f>
        <v>0</v>
      </c>
      <c r="J30" s="6">
        <f>SUM(G30:I30)</f>
        <v>6046.6</v>
      </c>
      <c r="K30" s="26">
        <f>C30-J30</f>
        <v>55624.4</v>
      </c>
      <c r="L30" s="26">
        <f>C30-(J30/3*26.1)</f>
        <v>9065.579999999994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336.68</v>
      </c>
      <c r="F31" s="26">
        <v>0</v>
      </c>
      <c r="G31" s="26">
        <f>'7-23-09'!G31+'8-6-09'!D31</f>
        <v>0</v>
      </c>
      <c r="H31" s="26">
        <f>'7-23-09'!H31+'8-6-09'!E31</f>
        <v>1257.28</v>
      </c>
      <c r="I31" s="26">
        <f>'7-23-09'!I31+'8-6-09'!F31</f>
        <v>0</v>
      </c>
      <c r="J31" s="6">
        <f>SUM(G31:I31)</f>
        <v>1257.28</v>
      </c>
      <c r="K31" s="6">
        <f>C31-J31</f>
        <v>14823.72</v>
      </c>
      <c r="L31" s="26">
        <f>C31-(J31/3*26.1)</f>
        <v>5142.664000000001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0</v>
      </c>
      <c r="E32" s="9">
        <f t="shared" si="9"/>
        <v>2478.68</v>
      </c>
      <c r="F32" s="9">
        <f t="shared" si="9"/>
        <v>0</v>
      </c>
      <c r="G32" s="9">
        <f t="shared" si="9"/>
        <v>0</v>
      </c>
      <c r="H32" s="9">
        <f t="shared" si="9"/>
        <v>7303.88</v>
      </c>
      <c r="I32" s="9">
        <f t="shared" si="9"/>
        <v>0</v>
      </c>
      <c r="J32" s="9">
        <f t="shared" si="9"/>
        <v>7303.88</v>
      </c>
      <c r="K32" s="9">
        <f t="shared" si="9"/>
        <v>70448.12</v>
      </c>
      <c r="L32" s="9">
        <f t="shared" si="9"/>
        <v>14208.243999999995</v>
      </c>
    </row>
    <row r="33" spans="1:12" s="24" customFormat="1" ht="11.25">
      <c r="A33" s="23"/>
      <c r="B33" s="23"/>
      <c r="C33" s="14">
        <f aca="true" t="shared" si="10" ref="C33:L33">C16+C24+C28+C32</f>
        <v>332413</v>
      </c>
      <c r="D33" s="14">
        <f t="shared" si="10"/>
        <v>2037.31</v>
      </c>
      <c r="E33" s="14">
        <f t="shared" si="10"/>
        <v>8804.6</v>
      </c>
      <c r="F33" s="14">
        <f t="shared" si="10"/>
        <v>0</v>
      </c>
      <c r="G33" s="14">
        <f t="shared" si="10"/>
        <v>4663.62</v>
      </c>
      <c r="H33" s="14">
        <f t="shared" si="10"/>
        <v>25503.250000000004</v>
      </c>
      <c r="I33" s="14">
        <f t="shared" si="10"/>
        <v>0</v>
      </c>
      <c r="J33" s="14">
        <f t="shared" si="10"/>
        <v>30166.87</v>
      </c>
      <c r="K33" s="14">
        <f t="shared" si="10"/>
        <v>302246.13</v>
      </c>
      <c r="L33" s="14">
        <f t="shared" si="10"/>
        <v>69961.23099999999</v>
      </c>
    </row>
    <row r="34" s="24" customFormat="1" ht="11.25"/>
    <row r="35" spans="1:12" s="24" customFormat="1" ht="11.25">
      <c r="A35" s="3"/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8-6-09</oddHeader>
    <oddFooter>&amp;CFY 2009-2010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C28" sqref="C28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0</v>
      </c>
      <c r="E4" s="26">
        <v>-668.7</v>
      </c>
      <c r="F4" s="26">
        <v>0</v>
      </c>
      <c r="G4" s="26">
        <f>'8-6-09'!G4+'8-20-09'!D4</f>
        <v>142.84</v>
      </c>
      <c r="H4" s="26">
        <f>'8-6-09'!H4+'8-20-09'!E4</f>
        <v>923.47</v>
      </c>
      <c r="I4" s="26">
        <f>'8-6-09'!I4+'8-20-09'!F4</f>
        <v>0</v>
      </c>
      <c r="J4" s="26">
        <f>SUM(G4:I4)</f>
        <v>1066.31</v>
      </c>
      <c r="K4" s="26">
        <f>C4-J4</f>
        <v>12252.69</v>
      </c>
      <c r="L4" s="26">
        <f aca="true" t="shared" si="0" ref="L4:L15">C4-(J4/4*26.1)</f>
        <v>6361.32725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203.92</v>
      </c>
      <c r="E5" s="26">
        <v>0</v>
      </c>
      <c r="F5" s="26">
        <v>0</v>
      </c>
      <c r="G5" s="26">
        <f>'8-6-09'!G5+'8-20-09'!D5</f>
        <v>1204.3</v>
      </c>
      <c r="H5" s="26">
        <f>'8-6-09'!H5+'8-20-09'!E5</f>
        <v>1580.0500000000002</v>
      </c>
      <c r="I5" s="26">
        <f>'8-6-09'!I5+'8-20-09'!F5</f>
        <v>0</v>
      </c>
      <c r="J5" s="6">
        <f aca="true" t="shared" si="1" ref="J5:J15">SUM(G5:I5)</f>
        <v>2784.3500000000004</v>
      </c>
      <c r="K5" s="6">
        <f aca="true" t="shared" si="2" ref="K5:K15">C5-J5</f>
        <v>19264.65</v>
      </c>
      <c r="L5" s="26">
        <f t="shared" si="0"/>
        <v>3881.1162499999955</v>
      </c>
    </row>
    <row r="6" spans="1:12" s="24" customFormat="1" ht="11.25">
      <c r="A6" s="7" t="s">
        <v>14</v>
      </c>
      <c r="B6" s="7">
        <v>55020500</v>
      </c>
      <c r="C6" s="8">
        <v>6601</v>
      </c>
      <c r="D6" s="26">
        <v>24.02</v>
      </c>
      <c r="E6" s="26">
        <v>407.81</v>
      </c>
      <c r="F6" s="26">
        <v>0</v>
      </c>
      <c r="G6" s="26">
        <f>'8-6-09'!G6+'8-20-09'!D6</f>
        <v>136.84</v>
      </c>
      <c r="H6" s="26">
        <f>'8-6-09'!H6+'8-20-09'!E6</f>
        <v>1526.6599999999999</v>
      </c>
      <c r="I6" s="26">
        <f>'8-6-09'!I6+'8-20-09'!F6</f>
        <v>0</v>
      </c>
      <c r="J6" s="6">
        <f t="shared" si="1"/>
        <v>1663.4999999999998</v>
      </c>
      <c r="K6" s="6">
        <f t="shared" si="2"/>
        <v>4937.5</v>
      </c>
      <c r="L6" s="26">
        <f t="shared" si="0"/>
        <v>-4253.3375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67.98</v>
      </c>
      <c r="E7" s="26">
        <v>0</v>
      </c>
      <c r="F7" s="26">
        <v>0</v>
      </c>
      <c r="G7" s="26">
        <f>'8-6-09'!G7+'8-20-09'!D7</f>
        <v>557.79</v>
      </c>
      <c r="H7" s="26">
        <f>'8-6-09'!H7+'8-20-09'!E7</f>
        <v>135.97</v>
      </c>
      <c r="I7" s="26">
        <f>'8-6-09'!I7+'8-20-09'!F7</f>
        <v>0</v>
      </c>
      <c r="J7" s="6">
        <f t="shared" si="1"/>
        <v>693.76</v>
      </c>
      <c r="K7" s="6">
        <f t="shared" si="2"/>
        <v>5856.24</v>
      </c>
      <c r="L7" s="26">
        <f t="shared" si="0"/>
        <v>2023.2159999999994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0</v>
      </c>
      <c r="E8" s="26">
        <v>0</v>
      </c>
      <c r="F8" s="26">
        <v>0</v>
      </c>
      <c r="G8" s="26">
        <f>'8-6-09'!G8+'8-20-09'!D8</f>
        <v>462.46</v>
      </c>
      <c r="H8" s="26">
        <f>'8-6-09'!H8+'8-20-09'!E8</f>
        <v>0</v>
      </c>
      <c r="I8" s="26">
        <f>'8-6-09'!I8+'8-20-09'!F8</f>
        <v>0</v>
      </c>
      <c r="J8" s="6">
        <f t="shared" si="1"/>
        <v>462.46</v>
      </c>
      <c r="K8" s="6">
        <f t="shared" si="2"/>
        <v>9320.54</v>
      </c>
      <c r="L8" s="26">
        <f t="shared" si="0"/>
        <v>6765.4485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55.09</v>
      </c>
      <c r="E9" s="26">
        <v>0</v>
      </c>
      <c r="F9" s="26">
        <v>0</v>
      </c>
      <c r="G9" s="26">
        <f>'8-6-09'!G9+'8-20-09'!D9</f>
        <v>55.09</v>
      </c>
      <c r="H9" s="26">
        <f>'8-6-09'!H9+'8-20-09'!E9</f>
        <v>0</v>
      </c>
      <c r="I9" s="26">
        <f>'8-6-09'!I9+'8-20-09'!F9</f>
        <v>0</v>
      </c>
      <c r="J9" s="6">
        <f t="shared" si="1"/>
        <v>55.09</v>
      </c>
      <c r="K9" s="6">
        <f t="shared" si="2"/>
        <v>7950.91</v>
      </c>
      <c r="L9" s="26">
        <f t="shared" si="0"/>
        <v>7646.5377499999995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0</v>
      </c>
      <c r="E10" s="26">
        <v>373.31</v>
      </c>
      <c r="F10" s="26">
        <v>0</v>
      </c>
      <c r="G10" s="26">
        <f>'8-6-09'!G10+'8-20-09'!D10</f>
        <v>354.38</v>
      </c>
      <c r="H10" s="26">
        <f>'8-6-09'!H10+'8-20-09'!E10</f>
        <v>3187.2799999999997</v>
      </c>
      <c r="I10" s="26">
        <f>'8-6-09'!I10+'8-20-09'!F10</f>
        <v>0</v>
      </c>
      <c r="J10" s="6">
        <f t="shared" si="1"/>
        <v>3541.66</v>
      </c>
      <c r="K10" s="6">
        <f t="shared" si="2"/>
        <v>21654.34</v>
      </c>
      <c r="L10" s="26">
        <f t="shared" si="0"/>
        <v>2086.6684999999998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0</v>
      </c>
      <c r="F11" s="26">
        <v>0</v>
      </c>
      <c r="G11" s="26">
        <f>'8-6-09'!G11+'8-20-09'!D11</f>
        <v>0</v>
      </c>
      <c r="H11" s="26">
        <f>'8-6-09'!H11+'8-20-09'!E11</f>
        <v>0</v>
      </c>
      <c r="I11" s="26">
        <f>'8-6-09'!I11+'8-20-09'!F11</f>
        <v>0</v>
      </c>
      <c r="J11" s="6">
        <f t="shared" si="1"/>
        <v>0</v>
      </c>
      <c r="K11" s="6">
        <f t="shared" si="2"/>
        <v>7500</v>
      </c>
      <c r="L11" s="26">
        <f t="shared" si="0"/>
        <v>7500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58.01</v>
      </c>
      <c r="E12" s="26">
        <v>157.69</v>
      </c>
      <c r="F12" s="26">
        <v>0</v>
      </c>
      <c r="G12" s="26">
        <f>'8-6-09'!G12+'8-20-09'!D12</f>
        <v>223.85</v>
      </c>
      <c r="H12" s="26">
        <f>'8-6-09'!H12+'8-20-09'!E12</f>
        <v>545.3</v>
      </c>
      <c r="I12" s="26">
        <f>'8-6-09'!I12+'8-20-09'!F12</f>
        <v>0</v>
      </c>
      <c r="J12" s="6">
        <f t="shared" si="1"/>
        <v>769.15</v>
      </c>
      <c r="K12" s="6">
        <f t="shared" si="2"/>
        <v>3374.85</v>
      </c>
      <c r="L12" s="26">
        <f t="shared" si="0"/>
        <v>-874.7037499999997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0</v>
      </c>
      <c r="E13" s="26">
        <v>290.87</v>
      </c>
      <c r="F13" s="26">
        <v>0</v>
      </c>
      <c r="G13" s="26">
        <f>'8-6-09'!G13+'8-20-09'!D13</f>
        <v>0</v>
      </c>
      <c r="H13" s="26">
        <f>'8-6-09'!H13+'8-20-09'!E13</f>
        <v>2356.58</v>
      </c>
      <c r="I13" s="26">
        <f>'8-6-09'!I13+'8-20-09'!F13</f>
        <v>0</v>
      </c>
      <c r="J13" s="6">
        <f t="shared" si="1"/>
        <v>2356.58</v>
      </c>
      <c r="K13" s="6">
        <f t="shared" si="2"/>
        <v>17817.42</v>
      </c>
      <c r="L13" s="26">
        <f t="shared" si="0"/>
        <v>4797.315499999999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84.51</v>
      </c>
      <c r="E14" s="26">
        <f>379.42+108.74</f>
        <v>488.16</v>
      </c>
      <c r="F14" s="26">
        <v>0</v>
      </c>
      <c r="G14" s="26">
        <f>'8-6-09'!G14+'8-20-09'!D14</f>
        <v>652.5899999999999</v>
      </c>
      <c r="H14" s="26">
        <f>'8-6-09'!H14+'8-20-09'!E14</f>
        <v>1972.66</v>
      </c>
      <c r="I14" s="26">
        <f>'8-6-09'!I14+'8-20-09'!F14</f>
        <v>0</v>
      </c>
      <c r="J14" s="6">
        <f t="shared" si="1"/>
        <v>2625.25</v>
      </c>
      <c r="K14" s="6">
        <f t="shared" si="2"/>
        <v>28383.75</v>
      </c>
      <c r="L14" s="26">
        <f t="shared" si="0"/>
        <v>13879.243749999998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5.6</v>
      </c>
      <c r="E15" s="26">
        <v>0</v>
      </c>
      <c r="F15" s="26">
        <v>0</v>
      </c>
      <c r="G15" s="26">
        <f>'8-6-09'!G15+'8-20-09'!D15</f>
        <v>203.1</v>
      </c>
      <c r="H15" s="26">
        <f>'8-6-09'!H15+'8-20-09'!E15</f>
        <v>970.36</v>
      </c>
      <c r="I15" s="26">
        <f>'8-6-09'!I15+'8-20-09'!F15</f>
        <v>0</v>
      </c>
      <c r="J15" s="6">
        <f t="shared" si="1"/>
        <v>1173.46</v>
      </c>
      <c r="K15" s="6">
        <f t="shared" si="2"/>
        <v>12118.54</v>
      </c>
      <c r="L15" s="26">
        <f t="shared" si="0"/>
        <v>5635.173499999999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167623</v>
      </c>
      <c r="D16" s="25">
        <f t="shared" si="3"/>
        <v>499.13</v>
      </c>
      <c r="E16" s="25">
        <f t="shared" si="3"/>
        <v>1049.14</v>
      </c>
      <c r="F16" s="25">
        <f t="shared" si="3"/>
        <v>0</v>
      </c>
      <c r="G16" s="25">
        <f t="shared" si="3"/>
        <v>3993.2399999999993</v>
      </c>
      <c r="H16" s="25">
        <f t="shared" si="3"/>
        <v>13198.330000000002</v>
      </c>
      <c r="I16" s="25">
        <f t="shared" si="3"/>
        <v>0</v>
      </c>
      <c r="J16" s="25">
        <f t="shared" si="3"/>
        <v>17191.57</v>
      </c>
      <c r="K16" s="25">
        <f t="shared" si="3"/>
        <v>150431.43000000002</v>
      </c>
      <c r="L16" s="9">
        <f t="shared" si="3"/>
        <v>55448.00574999999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0</v>
      </c>
      <c r="E18" s="6">
        <f>568.7-91.46</f>
        <v>477.24000000000007</v>
      </c>
      <c r="F18" s="6">
        <v>0</v>
      </c>
      <c r="G18" s="6">
        <f>'8-6-09'!G18+'8-20-09'!D18</f>
        <v>0</v>
      </c>
      <c r="H18" s="6">
        <f>'8-6-09'!H18+'8-20-09'!E18</f>
        <v>2296.34</v>
      </c>
      <c r="I18" s="6">
        <f>'8-6-09'!I18+'8-20-09'!F18</f>
        <v>0</v>
      </c>
      <c r="J18" s="6">
        <f aca="true" t="shared" si="4" ref="J18:J23">SUM(G18:I18)</f>
        <v>2296.34</v>
      </c>
      <c r="K18" s="6">
        <f aca="true" t="shared" si="5" ref="K18:K23">C18-J18</f>
        <v>13594.66</v>
      </c>
      <c r="L18" s="26">
        <f>C18-(J18/4*26.1)</f>
        <v>907.3814999999977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24.1</v>
      </c>
      <c r="E19" s="26">
        <f>304.31-901.44</f>
        <v>-597.1300000000001</v>
      </c>
      <c r="F19" s="26">
        <v>0</v>
      </c>
      <c r="G19" s="26">
        <f>'8-6-09'!G19+'8-20-09'!D19</f>
        <v>427.77000000000004</v>
      </c>
      <c r="H19" s="26">
        <f>'8-6-09'!H19+'8-20-09'!E19</f>
        <v>1420.4799999999998</v>
      </c>
      <c r="I19" s="26">
        <f>'8-6-09'!I19+'8-20-09'!F19</f>
        <v>0</v>
      </c>
      <c r="J19" s="6">
        <f t="shared" si="4"/>
        <v>1848.2499999999998</v>
      </c>
      <c r="K19" s="6">
        <f t="shared" si="5"/>
        <v>13544.75</v>
      </c>
      <c r="L19" s="26">
        <f>C19-(J19/4*26.1)</f>
        <v>3333.1687500000007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3.63</v>
      </c>
      <c r="E20" s="26">
        <v>0</v>
      </c>
      <c r="F20" s="26">
        <v>0</v>
      </c>
      <c r="G20" s="26">
        <f>'8-6-09'!G20+'8-20-09'!D20</f>
        <v>102.38</v>
      </c>
      <c r="H20" s="26">
        <f>'8-6-09'!H20+'8-20-09'!E20</f>
        <v>691.96</v>
      </c>
      <c r="I20" s="26">
        <f>'8-6-09'!I20+'8-20-09'!F20</f>
        <v>0</v>
      </c>
      <c r="J20" s="6">
        <f t="shared" si="4"/>
        <v>794.34</v>
      </c>
      <c r="K20" s="6">
        <f t="shared" si="5"/>
        <v>13773.66</v>
      </c>
      <c r="L20" s="26">
        <f>C20-(J20/4*26.1)</f>
        <v>9384.931499999999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0</v>
      </c>
      <c r="E21" s="26">
        <v>0</v>
      </c>
      <c r="F21" s="26">
        <v>0</v>
      </c>
      <c r="G21" s="26">
        <f>'8-6-09'!G21+'8-20-09'!D21</f>
        <v>0</v>
      </c>
      <c r="H21" s="26">
        <f>'8-6-09'!H21+'8-20-09'!E21</f>
        <v>0</v>
      </c>
      <c r="I21" s="26">
        <f>'8-6-09'!I21+'8-20-09'!F21</f>
        <v>0</v>
      </c>
      <c r="J21" s="6">
        <f t="shared" si="4"/>
        <v>0</v>
      </c>
      <c r="K21" s="6">
        <f t="shared" si="5"/>
        <v>6082</v>
      </c>
      <c r="L21" s="26">
        <f>C21-(J21/4*26.1)</f>
        <v>6082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0</v>
      </c>
      <c r="E22" s="26">
        <v>0</v>
      </c>
      <c r="F22" s="26">
        <v>0</v>
      </c>
      <c r="G22" s="26">
        <f>'8-6-09'!G22+'8-20-09'!D22</f>
        <v>65.71000000000001</v>
      </c>
      <c r="H22" s="26">
        <f>'8-6-09'!H22+'8-20-09'!E22</f>
        <v>508.31</v>
      </c>
      <c r="I22" s="26">
        <f>'8-6-09'!I22+'8-20-09'!F22</f>
        <v>0</v>
      </c>
      <c r="J22" s="6">
        <f t="shared" si="4"/>
        <v>574.02</v>
      </c>
      <c r="K22" s="6">
        <f t="shared" si="5"/>
        <v>7117.98</v>
      </c>
      <c r="L22" s="26">
        <f>C22-(J22/4*26.1)</f>
        <v>3946.5195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62.08</v>
      </c>
      <c r="E23" s="26">
        <v>0</v>
      </c>
      <c r="F23" s="26">
        <v>0</v>
      </c>
      <c r="G23" s="26">
        <f>'8-6-09'!G23+'8-20-09'!D23</f>
        <v>405.34</v>
      </c>
      <c r="H23" s="26">
        <f>'8-6-09'!H23+'8-20-09'!E23</f>
        <v>0</v>
      </c>
      <c r="I23" s="26">
        <f>'8-6-09'!I23+'8-20-09'!F23</f>
        <v>0</v>
      </c>
      <c r="J23" s="6">
        <f t="shared" si="4"/>
        <v>405.34</v>
      </c>
      <c r="K23" s="6">
        <f t="shared" si="5"/>
        <v>6129.66</v>
      </c>
      <c r="L23" s="26">
        <f>C23-(J23/4*26.1)</f>
        <v>3890.1565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6" ref="D24:L24">SUM(D18:D23)</f>
        <v>89.81</v>
      </c>
      <c r="E24" s="9">
        <f t="shared" si="6"/>
        <v>-119.89000000000004</v>
      </c>
      <c r="F24" s="9">
        <f t="shared" si="6"/>
        <v>0</v>
      </c>
      <c r="G24" s="9">
        <f t="shared" si="6"/>
        <v>1001.2</v>
      </c>
      <c r="H24" s="9">
        <f t="shared" si="6"/>
        <v>4917.09</v>
      </c>
      <c r="I24" s="9">
        <f t="shared" si="6"/>
        <v>0</v>
      </c>
      <c r="J24" s="9">
        <f t="shared" si="6"/>
        <v>5918.290000000001</v>
      </c>
      <c r="K24" s="9">
        <f t="shared" si="6"/>
        <v>60242.71000000001</v>
      </c>
      <c r="L24" s="9">
        <f t="shared" si="6"/>
        <v>27544.15775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'8-6-09'!G26+'8-20-09'!D26</f>
        <v>0</v>
      </c>
      <c r="H26" s="26">
        <f>'8-6-09'!H26+'8-20-09'!E26</f>
        <v>1549.6</v>
      </c>
      <c r="I26" s="26">
        <f>'8-6-09'!I26+'8-20-09'!F26</f>
        <v>0</v>
      </c>
      <c r="J26" s="6">
        <f>SUM(G26:I26)</f>
        <v>1549.6</v>
      </c>
      <c r="K26" s="26">
        <f>C26-J26</f>
        <v>13626.4</v>
      </c>
      <c r="L26" s="26">
        <f>C26-(J26/4*26.1)</f>
        <v>5064.860000000001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77.04</v>
      </c>
      <c r="E27" s="26">
        <v>115.54</v>
      </c>
      <c r="F27" s="26">
        <v>0</v>
      </c>
      <c r="G27" s="26">
        <f>'8-6-09'!G27+'8-20-09'!D27</f>
        <v>335.16</v>
      </c>
      <c r="H27" s="26">
        <f>'8-6-09'!H27+'8-20-09'!E27</f>
        <v>115.54</v>
      </c>
      <c r="I27" s="26">
        <f>'8-6-09'!I27+'8-20-09'!F27</f>
        <v>0</v>
      </c>
      <c r="J27" s="6">
        <f>SUM(G27:I27)</f>
        <v>450.70000000000005</v>
      </c>
      <c r="K27" s="6">
        <f>C27-J27</f>
        <v>5250.3</v>
      </c>
      <c r="L27" s="26">
        <f>C27-(J27/4*26.1)</f>
        <v>2760.1824999999994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7" ref="D28:L28">SUM(D26:D27)</f>
        <v>77.04</v>
      </c>
      <c r="E28" s="9">
        <f t="shared" si="7"/>
        <v>651.9399999999999</v>
      </c>
      <c r="F28" s="9">
        <f t="shared" si="7"/>
        <v>0</v>
      </c>
      <c r="G28" s="9">
        <f t="shared" si="7"/>
        <v>335.16</v>
      </c>
      <c r="H28" s="9">
        <f t="shared" si="7"/>
        <v>1665.1399999999999</v>
      </c>
      <c r="I28" s="9">
        <f t="shared" si="7"/>
        <v>0</v>
      </c>
      <c r="J28" s="9">
        <f t="shared" si="7"/>
        <v>2000.3</v>
      </c>
      <c r="K28" s="9">
        <f t="shared" si="7"/>
        <v>18876.7</v>
      </c>
      <c r="L28" s="9">
        <f t="shared" si="7"/>
        <v>7825.0425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v>2807.2</v>
      </c>
      <c r="F30" s="26">
        <v>0</v>
      </c>
      <c r="G30" s="26">
        <f>'8-6-09'!G30+'8-20-09'!D30</f>
        <v>0</v>
      </c>
      <c r="H30" s="26">
        <f>'8-6-09'!H30+'8-20-09'!E30</f>
        <v>8853.8</v>
      </c>
      <c r="I30" s="26">
        <f>'8-6-09'!I30+'8-20-09'!F30</f>
        <v>0</v>
      </c>
      <c r="J30" s="6">
        <f>SUM(G30:I30)</f>
        <v>8853.8</v>
      </c>
      <c r="K30" s="26">
        <f>C30-J30</f>
        <v>52817.2</v>
      </c>
      <c r="L30" s="26">
        <f>C30-(J30/4*26.1)</f>
        <v>3899.9550000000017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299.13</v>
      </c>
      <c r="F31" s="26">
        <v>0</v>
      </c>
      <c r="G31" s="26">
        <f>'8-6-09'!G31+'8-20-09'!D31</f>
        <v>0</v>
      </c>
      <c r="H31" s="26">
        <f>'8-6-09'!H31+'8-20-09'!E31</f>
        <v>1556.4099999999999</v>
      </c>
      <c r="I31" s="26">
        <f>'8-6-09'!I31+'8-20-09'!F31</f>
        <v>0</v>
      </c>
      <c r="J31" s="6">
        <f>SUM(G31:I31)</f>
        <v>1556.4099999999999</v>
      </c>
      <c r="K31" s="6">
        <f>C31-J31</f>
        <v>14524.59</v>
      </c>
      <c r="L31" s="26">
        <f>C31-(J31/4*26.1)</f>
        <v>5925.42475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8" ref="D32:L32">SUM(D30:D31)</f>
        <v>0</v>
      </c>
      <c r="E32" s="9">
        <f t="shared" si="8"/>
        <v>3106.33</v>
      </c>
      <c r="F32" s="9">
        <f t="shared" si="8"/>
        <v>0</v>
      </c>
      <c r="G32" s="9">
        <f t="shared" si="8"/>
        <v>0</v>
      </c>
      <c r="H32" s="9">
        <f t="shared" si="8"/>
        <v>10410.21</v>
      </c>
      <c r="I32" s="9">
        <f t="shared" si="8"/>
        <v>0</v>
      </c>
      <c r="J32" s="9">
        <f t="shared" si="8"/>
        <v>10410.21</v>
      </c>
      <c r="K32" s="9">
        <f t="shared" si="8"/>
        <v>67341.79</v>
      </c>
      <c r="L32" s="9">
        <f t="shared" si="8"/>
        <v>9825.379750000002</v>
      </c>
    </row>
    <row r="33" spans="1:12" s="24" customFormat="1" ht="11.25">
      <c r="A33" s="23"/>
      <c r="B33" s="23"/>
      <c r="C33" s="14">
        <f aca="true" t="shared" si="9" ref="C33:L33">C16+C24+C28+C32</f>
        <v>332413</v>
      </c>
      <c r="D33" s="14">
        <f t="shared" si="9"/>
        <v>665.98</v>
      </c>
      <c r="E33" s="14">
        <f t="shared" si="9"/>
        <v>4687.52</v>
      </c>
      <c r="F33" s="14">
        <f t="shared" si="9"/>
        <v>0</v>
      </c>
      <c r="G33" s="14">
        <f t="shared" si="9"/>
        <v>5329.599999999999</v>
      </c>
      <c r="H33" s="14">
        <f t="shared" si="9"/>
        <v>30190.77</v>
      </c>
      <c r="I33" s="14">
        <f t="shared" si="9"/>
        <v>0</v>
      </c>
      <c r="J33" s="14">
        <f t="shared" si="9"/>
        <v>35520.369999999995</v>
      </c>
      <c r="K33" s="14">
        <f t="shared" si="9"/>
        <v>296892.63</v>
      </c>
      <c r="L33" s="14">
        <f t="shared" si="9"/>
        <v>100642.58575</v>
      </c>
    </row>
    <row r="34" s="24" customFormat="1" ht="11.25"/>
    <row r="35" spans="1:12" s="24" customFormat="1" ht="11.25">
      <c r="A35" s="3"/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8-20-09</oddHeader>
    <oddFooter>&amp;CFY 2009-2010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A19" sqref="A19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75.57</v>
      </c>
      <c r="E4" s="26">
        <v>265.4</v>
      </c>
      <c r="F4" s="26">
        <v>0</v>
      </c>
      <c r="G4" s="26">
        <f>'8-20-09'!G4+'9-3-09'!D4</f>
        <v>218.41</v>
      </c>
      <c r="H4" s="26">
        <f>'8-20-09'!H4+'9-3-09'!E4</f>
        <v>1188.87</v>
      </c>
      <c r="I4" s="26">
        <f>'8-20-09'!I4+'9-3-09'!F4</f>
        <v>0</v>
      </c>
      <c r="J4" s="26">
        <f>SUM(G4:I4)</f>
        <v>1407.28</v>
      </c>
      <c r="K4" s="26">
        <f>C4-J4</f>
        <v>11911.72</v>
      </c>
      <c r="L4" s="26">
        <f>C4-(J4/5*26.1)</f>
        <v>5972.9983999999995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364.27</v>
      </c>
      <c r="E5" s="26">
        <v>140.16</v>
      </c>
      <c r="F5" s="26">
        <v>0</v>
      </c>
      <c r="G5" s="26">
        <f>'8-20-09'!G5+'9-3-09'!D5</f>
        <v>1568.57</v>
      </c>
      <c r="H5" s="26">
        <f>'8-20-09'!H5+'9-3-09'!E5</f>
        <v>1720.2100000000003</v>
      </c>
      <c r="I5" s="26">
        <f>'8-20-09'!I5+'9-3-09'!F5</f>
        <v>0</v>
      </c>
      <c r="J5" s="6">
        <f aca="true" t="shared" si="0" ref="J5:J15">SUM(G5:I5)</f>
        <v>3288.78</v>
      </c>
      <c r="K5" s="6">
        <f aca="true" t="shared" si="1" ref="K5:K15">C5-J5</f>
        <v>18760.22</v>
      </c>
      <c r="L5" s="26">
        <f aca="true" t="shared" si="2" ref="L5:L15">C5-(J5/5*26.1)</f>
        <v>4881.5683999999965</v>
      </c>
    </row>
    <row r="6" spans="1:12" s="24" customFormat="1" ht="11.25">
      <c r="A6" s="7" t="s">
        <v>14</v>
      </c>
      <c r="B6" s="7">
        <v>55020500</v>
      </c>
      <c r="C6" s="8">
        <v>6601</v>
      </c>
      <c r="D6" s="26">
        <v>153.83</v>
      </c>
      <c r="E6" s="26">
        <v>441.55</v>
      </c>
      <c r="F6" s="26">
        <v>0</v>
      </c>
      <c r="G6" s="26">
        <f>'8-20-09'!G6+'9-3-09'!D6</f>
        <v>290.67</v>
      </c>
      <c r="H6" s="26">
        <f>'8-20-09'!H6+'9-3-09'!E6</f>
        <v>1968.2099999999998</v>
      </c>
      <c r="I6" s="26">
        <f>'8-20-09'!I6+'9-3-09'!F6</f>
        <v>0</v>
      </c>
      <c r="J6" s="6">
        <f t="shared" si="0"/>
        <v>2258.8799999999997</v>
      </c>
      <c r="K6" s="6">
        <f t="shared" si="1"/>
        <v>4342.120000000001</v>
      </c>
      <c r="L6" s="26">
        <f t="shared" si="2"/>
        <v>-5190.353599999999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211.17</v>
      </c>
      <c r="E7" s="26">
        <v>0</v>
      </c>
      <c r="F7" s="26">
        <v>0</v>
      </c>
      <c r="G7" s="26">
        <f>'8-20-09'!G7+'9-3-09'!D7</f>
        <v>768.9599999999999</v>
      </c>
      <c r="H7" s="26">
        <f>'8-20-09'!H7+'9-3-09'!E7</f>
        <v>135.97</v>
      </c>
      <c r="I7" s="26">
        <f>'8-20-09'!I7+'9-3-09'!F7</f>
        <v>0</v>
      </c>
      <c r="J7" s="6">
        <f t="shared" si="0"/>
        <v>904.93</v>
      </c>
      <c r="K7" s="6">
        <f t="shared" si="1"/>
        <v>5645.07</v>
      </c>
      <c r="L7" s="26">
        <f t="shared" si="2"/>
        <v>1826.2654000000002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117.14</v>
      </c>
      <c r="E8" s="26">
        <v>0</v>
      </c>
      <c r="F8" s="26">
        <v>0</v>
      </c>
      <c r="G8" s="26">
        <f>'8-20-09'!G8+'9-3-09'!D8</f>
        <v>579.6</v>
      </c>
      <c r="H8" s="26">
        <f>'8-20-09'!H8+'9-3-09'!E8</f>
        <v>0</v>
      </c>
      <c r="I8" s="26">
        <f>'8-20-09'!I8+'9-3-09'!F8</f>
        <v>0</v>
      </c>
      <c r="J8" s="6">
        <f t="shared" si="0"/>
        <v>579.6</v>
      </c>
      <c r="K8" s="6">
        <f t="shared" si="1"/>
        <v>9203.4</v>
      </c>
      <c r="L8" s="26">
        <f t="shared" si="2"/>
        <v>6757.487999999999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137.28</v>
      </c>
      <c r="E9" s="26">
        <v>0</v>
      </c>
      <c r="F9" s="26">
        <v>0</v>
      </c>
      <c r="G9" s="26">
        <f>'8-20-09'!G9+'9-3-09'!D9</f>
        <v>192.37</v>
      </c>
      <c r="H9" s="26">
        <f>'8-20-09'!H9+'9-3-09'!E9</f>
        <v>0</v>
      </c>
      <c r="I9" s="26">
        <f>'8-20-09'!I9+'9-3-09'!F9</f>
        <v>0</v>
      </c>
      <c r="J9" s="6">
        <f t="shared" si="0"/>
        <v>192.37</v>
      </c>
      <c r="K9" s="6">
        <f t="shared" si="1"/>
        <v>7813.63</v>
      </c>
      <c r="L9" s="26">
        <f t="shared" si="2"/>
        <v>7001.8286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196.35</v>
      </c>
      <c r="E10" s="26">
        <v>808.32</v>
      </c>
      <c r="F10" s="26">
        <v>0</v>
      </c>
      <c r="G10" s="26">
        <f>'8-20-09'!G10+'9-3-09'!D10</f>
        <v>550.73</v>
      </c>
      <c r="H10" s="26">
        <f>'8-20-09'!H10+'9-3-09'!E10</f>
        <v>3995.6</v>
      </c>
      <c r="I10" s="26">
        <f>'8-20-09'!I10+'9-3-09'!F10</f>
        <v>0</v>
      </c>
      <c r="J10" s="6">
        <f t="shared" si="0"/>
        <v>4546.33</v>
      </c>
      <c r="K10" s="6">
        <f t="shared" si="1"/>
        <v>20649.67</v>
      </c>
      <c r="L10" s="26">
        <f t="shared" si="2"/>
        <v>1464.1574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701.21</v>
      </c>
      <c r="F11" s="26">
        <v>0</v>
      </c>
      <c r="G11" s="26">
        <f>'8-20-09'!G11+'9-3-09'!D11</f>
        <v>0</v>
      </c>
      <c r="H11" s="26">
        <f>'8-20-09'!H11+'9-3-09'!E11</f>
        <v>701.21</v>
      </c>
      <c r="I11" s="26">
        <f>'8-20-09'!I11+'9-3-09'!F11</f>
        <v>0</v>
      </c>
      <c r="J11" s="6">
        <f t="shared" si="0"/>
        <v>701.21</v>
      </c>
      <c r="K11" s="6">
        <f t="shared" si="1"/>
        <v>6798.79</v>
      </c>
      <c r="L11" s="26">
        <f t="shared" si="2"/>
        <v>3839.6837999999993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33.09</v>
      </c>
      <c r="E12" s="26">
        <v>0</v>
      </c>
      <c r="F12" s="26">
        <v>0</v>
      </c>
      <c r="G12" s="26">
        <f>'8-20-09'!G12+'9-3-09'!D12</f>
        <v>256.94</v>
      </c>
      <c r="H12" s="26">
        <f>'8-20-09'!H12+'9-3-09'!E12</f>
        <v>545.3</v>
      </c>
      <c r="I12" s="26">
        <f>'8-20-09'!I12+'9-3-09'!F12</f>
        <v>0</v>
      </c>
      <c r="J12" s="6">
        <f t="shared" si="0"/>
        <v>802.24</v>
      </c>
      <c r="K12" s="6">
        <f t="shared" si="1"/>
        <v>3341.76</v>
      </c>
      <c r="L12" s="26">
        <f t="shared" si="2"/>
        <v>-43.692800000000716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0</v>
      </c>
      <c r="E13" s="26">
        <v>247.61</v>
      </c>
      <c r="F13" s="26">
        <v>0</v>
      </c>
      <c r="G13" s="26">
        <f>'8-20-09'!G13+'9-3-09'!D13</f>
        <v>0</v>
      </c>
      <c r="H13" s="26">
        <f>'8-20-09'!H13+'9-3-09'!E13</f>
        <v>2604.19</v>
      </c>
      <c r="I13" s="26">
        <f>'8-20-09'!I13+'9-3-09'!F13</f>
        <v>0</v>
      </c>
      <c r="J13" s="6">
        <f t="shared" si="0"/>
        <v>2604.19</v>
      </c>
      <c r="K13" s="6">
        <f t="shared" si="1"/>
        <v>17569.81</v>
      </c>
      <c r="L13" s="26">
        <f t="shared" si="2"/>
        <v>6580.128200000001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242.4</v>
      </c>
      <c r="E14" s="26">
        <v>453.98</v>
      </c>
      <c r="F14" s="26">
        <v>0</v>
      </c>
      <c r="G14" s="26">
        <f>'8-20-09'!G14+'9-3-09'!D14</f>
        <v>894.9899999999999</v>
      </c>
      <c r="H14" s="26">
        <f>'8-20-09'!H14+'9-3-09'!E14</f>
        <v>2426.6400000000003</v>
      </c>
      <c r="I14" s="26">
        <f>'8-20-09'!I14+'9-3-09'!F14</f>
        <v>0</v>
      </c>
      <c r="J14" s="6">
        <f t="shared" si="0"/>
        <v>3321.63</v>
      </c>
      <c r="K14" s="6">
        <f t="shared" si="1"/>
        <v>27687.37</v>
      </c>
      <c r="L14" s="26">
        <f t="shared" si="2"/>
        <v>13670.091399999998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76.11</v>
      </c>
      <c r="E15" s="26">
        <v>491.68</v>
      </c>
      <c r="F15" s="26">
        <v>0</v>
      </c>
      <c r="G15" s="26">
        <f>'8-20-09'!G15+'9-3-09'!D15</f>
        <v>279.21</v>
      </c>
      <c r="H15" s="26">
        <f>'8-20-09'!H15+'9-3-09'!E15</f>
        <v>1462.04</v>
      </c>
      <c r="I15" s="26">
        <f>'8-20-09'!I15+'9-3-09'!F15</f>
        <v>0</v>
      </c>
      <c r="J15" s="6">
        <f t="shared" si="0"/>
        <v>1741.25</v>
      </c>
      <c r="K15" s="6">
        <f t="shared" si="1"/>
        <v>11550.75</v>
      </c>
      <c r="L15" s="26">
        <f t="shared" si="2"/>
        <v>4202.674999999999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167623</v>
      </c>
      <c r="D16" s="25">
        <f t="shared" si="3"/>
        <v>1607.2099999999998</v>
      </c>
      <c r="E16" s="25">
        <f t="shared" si="3"/>
        <v>3549.91</v>
      </c>
      <c r="F16" s="25">
        <f t="shared" si="3"/>
        <v>0</v>
      </c>
      <c r="G16" s="25">
        <f t="shared" si="3"/>
        <v>5600.449999999999</v>
      </c>
      <c r="H16" s="25">
        <f t="shared" si="3"/>
        <v>16748.24</v>
      </c>
      <c r="I16" s="25">
        <f t="shared" si="3"/>
        <v>0</v>
      </c>
      <c r="J16" s="25">
        <f t="shared" si="3"/>
        <v>22348.690000000002</v>
      </c>
      <c r="K16" s="25">
        <f t="shared" si="3"/>
        <v>145274.31</v>
      </c>
      <c r="L16" s="9">
        <f t="shared" si="3"/>
        <v>50962.8382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75.87</v>
      </c>
      <c r="E18" s="6">
        <v>645.84</v>
      </c>
      <c r="F18" s="6">
        <v>0</v>
      </c>
      <c r="G18" s="6">
        <f>'8-20-09'!G18+'9-3-09'!D18</f>
        <v>75.87</v>
      </c>
      <c r="H18" s="6">
        <f>'8-20-09'!H18+'9-3-09'!E18</f>
        <v>2942.1800000000003</v>
      </c>
      <c r="I18" s="6">
        <f>'8-20-09'!I18+'9-3-09'!F18</f>
        <v>0</v>
      </c>
      <c r="J18" s="6">
        <f aca="true" t="shared" si="4" ref="J18:J23">SUM(G18:I18)</f>
        <v>3018.05</v>
      </c>
      <c r="K18" s="6">
        <f aca="true" t="shared" si="5" ref="K18:K23">C18-J18</f>
        <v>12872.95</v>
      </c>
      <c r="L18" s="26">
        <f aca="true" t="shared" si="6" ref="L18:L23">C18-(J18/5*26.1)</f>
        <v>136.77899999999863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63.99</v>
      </c>
      <c r="E19" s="26">
        <v>238.46</v>
      </c>
      <c r="F19" s="26">
        <v>0</v>
      </c>
      <c r="G19" s="26">
        <f>'8-20-09'!G19+'9-3-09'!D19</f>
        <v>491.76000000000005</v>
      </c>
      <c r="H19" s="26">
        <f>'8-20-09'!H19+'9-3-09'!E19</f>
        <v>1658.9399999999998</v>
      </c>
      <c r="I19" s="26">
        <f>'8-20-09'!I19+'9-3-09'!F19</f>
        <v>0</v>
      </c>
      <c r="J19" s="6">
        <f t="shared" si="4"/>
        <v>2150.7</v>
      </c>
      <c r="K19" s="6">
        <f t="shared" si="5"/>
        <v>13242.3</v>
      </c>
      <c r="L19" s="26">
        <f t="shared" si="6"/>
        <v>4166.346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74.77</v>
      </c>
      <c r="E20" s="26">
        <v>0</v>
      </c>
      <c r="F20" s="26">
        <v>0</v>
      </c>
      <c r="G20" s="26">
        <f>'8-20-09'!G20+'9-3-09'!D20</f>
        <v>177.14999999999998</v>
      </c>
      <c r="H20" s="26">
        <f>'8-20-09'!H20+'9-3-09'!E20</f>
        <v>691.96</v>
      </c>
      <c r="I20" s="26">
        <f>'8-20-09'!I20+'9-3-09'!F20</f>
        <v>0</v>
      </c>
      <c r="J20" s="6">
        <f t="shared" si="4"/>
        <v>869.11</v>
      </c>
      <c r="K20" s="6">
        <f t="shared" si="5"/>
        <v>13698.89</v>
      </c>
      <c r="L20" s="26">
        <f t="shared" si="6"/>
        <v>10031.2458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0</v>
      </c>
      <c r="E21" s="26">
        <v>0</v>
      </c>
      <c r="F21" s="26">
        <v>0</v>
      </c>
      <c r="G21" s="26">
        <f>'8-20-09'!G21+'9-3-09'!D21</f>
        <v>0</v>
      </c>
      <c r="H21" s="26">
        <f>'8-20-09'!H21+'9-3-09'!E21</f>
        <v>0</v>
      </c>
      <c r="I21" s="26">
        <f>'8-20-09'!I21+'9-3-09'!F21</f>
        <v>0</v>
      </c>
      <c r="J21" s="6">
        <f t="shared" si="4"/>
        <v>0</v>
      </c>
      <c r="K21" s="6">
        <f t="shared" si="5"/>
        <v>6082</v>
      </c>
      <c r="L21" s="26">
        <f t="shared" si="6"/>
        <v>6082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14.5</v>
      </c>
      <c r="E22" s="26">
        <v>89.64</v>
      </c>
      <c r="F22" s="26">
        <v>0</v>
      </c>
      <c r="G22" s="26">
        <f>'8-20-09'!G22+'9-3-09'!D22</f>
        <v>80.21000000000001</v>
      </c>
      <c r="H22" s="26">
        <f>'8-20-09'!H22+'9-3-09'!E22</f>
        <v>597.95</v>
      </c>
      <c r="I22" s="26">
        <f>'8-20-09'!I22+'9-3-09'!F22</f>
        <v>0</v>
      </c>
      <c r="J22" s="6">
        <f t="shared" si="4"/>
        <v>678.1600000000001</v>
      </c>
      <c r="K22" s="6">
        <f t="shared" si="5"/>
        <v>7013.84</v>
      </c>
      <c r="L22" s="26">
        <f t="shared" si="6"/>
        <v>4152.0048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64.8</v>
      </c>
      <c r="E23" s="26">
        <v>0</v>
      </c>
      <c r="F23" s="26">
        <v>0</v>
      </c>
      <c r="G23" s="26">
        <f>'8-20-09'!G23+'9-3-09'!D23</f>
        <v>470.14</v>
      </c>
      <c r="H23" s="26">
        <f>'8-20-09'!H23+'9-3-09'!E23</f>
        <v>0</v>
      </c>
      <c r="I23" s="26">
        <f>'8-20-09'!I23+'9-3-09'!F23</f>
        <v>0</v>
      </c>
      <c r="J23" s="6">
        <f t="shared" si="4"/>
        <v>470.14</v>
      </c>
      <c r="K23" s="6">
        <f t="shared" si="5"/>
        <v>6064.86</v>
      </c>
      <c r="L23" s="26">
        <f t="shared" si="6"/>
        <v>4080.8692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7" ref="D24:L24">SUM(D18:D23)</f>
        <v>293.93</v>
      </c>
      <c r="E24" s="9">
        <f t="shared" si="7"/>
        <v>973.94</v>
      </c>
      <c r="F24" s="9">
        <f t="shared" si="7"/>
        <v>0</v>
      </c>
      <c r="G24" s="9">
        <f t="shared" si="7"/>
        <v>1295.13</v>
      </c>
      <c r="H24" s="9">
        <f t="shared" si="7"/>
        <v>5891.03</v>
      </c>
      <c r="I24" s="9">
        <f t="shared" si="7"/>
        <v>0</v>
      </c>
      <c r="J24" s="9">
        <f t="shared" si="7"/>
        <v>7186.16</v>
      </c>
      <c r="K24" s="9">
        <f t="shared" si="7"/>
        <v>58974.84</v>
      </c>
      <c r="L24" s="9">
        <f t="shared" si="7"/>
        <v>28649.244799999997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'8-20-09'!G26+'9-3-09'!D26</f>
        <v>0</v>
      </c>
      <c r="H26" s="26">
        <f>'8-20-09'!H26+'9-3-09'!E26</f>
        <v>2145.6</v>
      </c>
      <c r="I26" s="26">
        <f>'8-20-09'!I26+'9-3-09'!F26</f>
        <v>0</v>
      </c>
      <c r="J26" s="6">
        <f>SUM(G26:I26)</f>
        <v>2145.6</v>
      </c>
      <c r="K26" s="26">
        <f>C26-J26</f>
        <v>13030.4</v>
      </c>
      <c r="L26" s="26">
        <f>C26-(J26/5*26.1)</f>
        <v>3975.967999999999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102.17</v>
      </c>
      <c r="E27" s="26">
        <v>152.25</v>
      </c>
      <c r="F27" s="26">
        <v>0</v>
      </c>
      <c r="G27" s="26">
        <f>'8-20-09'!G27+'9-3-09'!D27</f>
        <v>437.33000000000004</v>
      </c>
      <c r="H27" s="26">
        <f>'8-20-09'!H27+'9-3-09'!E27</f>
        <v>267.79</v>
      </c>
      <c r="I27" s="26">
        <f>'8-20-09'!I27+'9-3-09'!F27</f>
        <v>0</v>
      </c>
      <c r="J27" s="6">
        <f>SUM(G27:I27)</f>
        <v>705.1200000000001</v>
      </c>
      <c r="K27" s="6">
        <f>C27-J27</f>
        <v>4995.88</v>
      </c>
      <c r="L27" s="26">
        <f>C27-(J27/5*26.1)</f>
        <v>2020.273599999999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102.17</v>
      </c>
      <c r="E28" s="9">
        <f t="shared" si="8"/>
        <v>748.25</v>
      </c>
      <c r="F28" s="9">
        <f t="shared" si="8"/>
        <v>0</v>
      </c>
      <c r="G28" s="9">
        <f t="shared" si="8"/>
        <v>437.33000000000004</v>
      </c>
      <c r="H28" s="9">
        <f t="shared" si="8"/>
        <v>2413.39</v>
      </c>
      <c r="I28" s="9">
        <f t="shared" si="8"/>
        <v>0</v>
      </c>
      <c r="J28" s="9">
        <f t="shared" si="8"/>
        <v>2850.7200000000003</v>
      </c>
      <c r="K28" s="9">
        <f t="shared" si="8"/>
        <v>18026.28</v>
      </c>
      <c r="L28" s="9">
        <f t="shared" si="8"/>
        <v>5996.241599999998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v>1853.4</v>
      </c>
      <c r="F30" s="26">
        <v>0</v>
      </c>
      <c r="G30" s="26">
        <f>'8-20-09'!G30+'9-3-09'!D30</f>
        <v>0</v>
      </c>
      <c r="H30" s="26">
        <f>'8-20-09'!H30+'9-3-09'!E30</f>
        <v>10707.199999999999</v>
      </c>
      <c r="I30" s="26">
        <f>'8-20-09'!I30+'9-3-09'!F30</f>
        <v>0</v>
      </c>
      <c r="J30" s="6">
        <f>SUM(G30:I30)</f>
        <v>10707.199999999999</v>
      </c>
      <c r="K30" s="26">
        <f>C30-J30</f>
        <v>50963.8</v>
      </c>
      <c r="L30" s="26">
        <f>C30-(J30/5*26.1)</f>
        <v>5779.416000000005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295.29</v>
      </c>
      <c r="F31" s="26">
        <v>0</v>
      </c>
      <c r="G31" s="26">
        <f>'8-20-09'!G31+'9-3-09'!D31</f>
        <v>0</v>
      </c>
      <c r="H31" s="26">
        <f>'8-20-09'!H31+'9-3-09'!E31</f>
        <v>1851.6999999999998</v>
      </c>
      <c r="I31" s="26">
        <f>'8-20-09'!I31+'9-3-09'!F31</f>
        <v>0</v>
      </c>
      <c r="J31" s="6">
        <f>SUM(G31:I31)</f>
        <v>1851.6999999999998</v>
      </c>
      <c r="K31" s="6">
        <f>C31-J31</f>
        <v>14229.3</v>
      </c>
      <c r="L31" s="26">
        <f>C31-(J31/5*26.1)</f>
        <v>6415.126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0</v>
      </c>
      <c r="E32" s="9">
        <f t="shared" si="9"/>
        <v>2148.69</v>
      </c>
      <c r="F32" s="9">
        <f t="shared" si="9"/>
        <v>0</v>
      </c>
      <c r="G32" s="9">
        <f t="shared" si="9"/>
        <v>0</v>
      </c>
      <c r="H32" s="9">
        <f t="shared" si="9"/>
        <v>12558.899999999998</v>
      </c>
      <c r="I32" s="9">
        <f t="shared" si="9"/>
        <v>0</v>
      </c>
      <c r="J32" s="9">
        <f t="shared" si="9"/>
        <v>12558.899999999998</v>
      </c>
      <c r="K32" s="9">
        <f t="shared" si="9"/>
        <v>65193.100000000006</v>
      </c>
      <c r="L32" s="9">
        <f t="shared" si="9"/>
        <v>12194.542000000005</v>
      </c>
    </row>
    <row r="33" spans="1:12" s="24" customFormat="1" ht="11.25">
      <c r="A33" s="23"/>
      <c r="B33" s="23"/>
      <c r="C33" s="14">
        <f aca="true" t="shared" si="10" ref="C33:L33">C16+C24+C28+C32</f>
        <v>332413</v>
      </c>
      <c r="D33" s="14">
        <f t="shared" si="10"/>
        <v>2003.31</v>
      </c>
      <c r="E33" s="14">
        <f t="shared" si="10"/>
        <v>7420.790000000001</v>
      </c>
      <c r="F33" s="14">
        <f t="shared" si="10"/>
        <v>0</v>
      </c>
      <c r="G33" s="14">
        <f t="shared" si="10"/>
        <v>7332.909999999999</v>
      </c>
      <c r="H33" s="14">
        <f t="shared" si="10"/>
        <v>37611.56</v>
      </c>
      <c r="I33" s="14">
        <f t="shared" si="10"/>
        <v>0</v>
      </c>
      <c r="J33" s="14">
        <f t="shared" si="10"/>
        <v>44944.47</v>
      </c>
      <c r="K33" s="14">
        <f t="shared" si="10"/>
        <v>287468.53</v>
      </c>
      <c r="L33" s="14">
        <f t="shared" si="10"/>
        <v>97802.8666</v>
      </c>
    </row>
    <row r="34" s="24" customFormat="1" ht="11.25"/>
    <row r="35" spans="1:12" s="24" customFormat="1" ht="11.25">
      <c r="A35" s="3"/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9-3-09</oddHeader>
    <oddFooter>&amp;CFY 2009-2010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G37" sqref="G37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118.82</v>
      </c>
      <c r="E4" s="26">
        <v>332.41</v>
      </c>
      <c r="F4" s="26">
        <v>0</v>
      </c>
      <c r="G4" s="26">
        <f>'9-3-09'!G4+'9-17-09'!D4</f>
        <v>337.23</v>
      </c>
      <c r="H4" s="26">
        <f>'9-3-09'!H4+'9-17-09'!E4</f>
        <v>1521.28</v>
      </c>
      <c r="I4" s="26">
        <f>'9-3-09'!I4+'9-17-09'!F4</f>
        <v>0</v>
      </c>
      <c r="J4" s="26">
        <f>SUM(G4:I4)</f>
        <v>1858.51</v>
      </c>
      <c r="K4" s="26">
        <f>C4-J4</f>
        <v>11460.49</v>
      </c>
      <c r="L4" s="26">
        <f>C4-(J4/6*26.1)</f>
        <v>5234.4815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485.4</v>
      </c>
      <c r="E5" s="26">
        <v>324.12</v>
      </c>
      <c r="F5" s="26">
        <v>0</v>
      </c>
      <c r="G5" s="26">
        <f>'9-3-09'!G5+'9-17-09'!D5</f>
        <v>2053.97</v>
      </c>
      <c r="H5" s="26">
        <f>'9-3-09'!H5+'9-17-09'!E5</f>
        <v>2044.3300000000004</v>
      </c>
      <c r="I5" s="26">
        <f>'9-3-09'!I5+'9-17-09'!F5</f>
        <v>0</v>
      </c>
      <c r="J5" s="6">
        <f aca="true" t="shared" si="0" ref="J5:J15">SUM(G5:I5)</f>
        <v>4098.3</v>
      </c>
      <c r="K5" s="6">
        <f aca="true" t="shared" si="1" ref="K5:K15">C5-J5</f>
        <v>17950.7</v>
      </c>
      <c r="L5" s="26">
        <f aca="true" t="shared" si="2" ref="L5:L15">C5-(J5/6*26.1)</f>
        <v>4221.394999999997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89.47</v>
      </c>
      <c r="E6" s="26">
        <v>285.78</v>
      </c>
      <c r="F6" s="26">
        <v>0</v>
      </c>
      <c r="G6" s="26">
        <f>'9-3-09'!G6+'9-17-09'!D6</f>
        <v>380.14</v>
      </c>
      <c r="H6" s="26">
        <f>'9-3-09'!H6+'9-17-09'!E6</f>
        <v>2253.99</v>
      </c>
      <c r="I6" s="26">
        <f>'9-3-09'!I6+'9-17-09'!F6</f>
        <v>0</v>
      </c>
      <c r="J6" s="6">
        <f t="shared" si="0"/>
        <v>2634.1299999999997</v>
      </c>
      <c r="K6" s="6">
        <f t="shared" si="1"/>
        <v>7466.870000000001</v>
      </c>
      <c r="L6" s="26">
        <f t="shared" si="2"/>
        <v>-1357.4654999999984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233.41</v>
      </c>
      <c r="E7" s="26">
        <v>0</v>
      </c>
      <c r="F7" s="26">
        <v>0</v>
      </c>
      <c r="G7" s="26">
        <f>'9-3-09'!G7+'9-17-09'!D7</f>
        <v>1002.3699999999999</v>
      </c>
      <c r="H7" s="26">
        <f>'9-3-09'!H7+'9-17-09'!E7</f>
        <v>135.97</v>
      </c>
      <c r="I7" s="26">
        <f>'9-3-09'!I7+'9-17-09'!F7</f>
        <v>0</v>
      </c>
      <c r="J7" s="6">
        <f t="shared" si="0"/>
        <v>1138.34</v>
      </c>
      <c r="K7" s="6">
        <f t="shared" si="1"/>
        <v>5411.66</v>
      </c>
      <c r="L7" s="26">
        <f t="shared" si="2"/>
        <v>1598.2209999999995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171.49</v>
      </c>
      <c r="E8" s="26">
        <v>0</v>
      </c>
      <c r="F8" s="26">
        <v>0</v>
      </c>
      <c r="G8" s="26">
        <f>'9-3-09'!G8+'9-17-09'!D8</f>
        <v>751.09</v>
      </c>
      <c r="H8" s="26">
        <f>'9-3-09'!H8+'9-17-09'!E8</f>
        <v>0</v>
      </c>
      <c r="I8" s="26">
        <f>'9-3-09'!I8+'9-17-09'!F8</f>
        <v>0</v>
      </c>
      <c r="J8" s="6">
        <f t="shared" si="0"/>
        <v>751.09</v>
      </c>
      <c r="K8" s="6">
        <f t="shared" si="1"/>
        <v>9031.91</v>
      </c>
      <c r="L8" s="26">
        <f t="shared" si="2"/>
        <v>6515.7585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183.49</v>
      </c>
      <c r="E9" s="26">
        <v>0</v>
      </c>
      <c r="F9" s="26">
        <v>0</v>
      </c>
      <c r="G9" s="26">
        <f>'9-3-09'!G9+'9-17-09'!D9</f>
        <v>375.86</v>
      </c>
      <c r="H9" s="26">
        <f>'9-3-09'!H9+'9-17-09'!E9</f>
        <v>0</v>
      </c>
      <c r="I9" s="26">
        <f>'9-3-09'!I9+'9-17-09'!F9</f>
        <v>0</v>
      </c>
      <c r="J9" s="6">
        <f t="shared" si="0"/>
        <v>375.86</v>
      </c>
      <c r="K9" s="6">
        <f t="shared" si="1"/>
        <v>7630.14</v>
      </c>
      <c r="L9" s="26">
        <f t="shared" si="2"/>
        <v>6371.009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185.68</v>
      </c>
      <c r="E10" s="26">
        <v>807.92</v>
      </c>
      <c r="F10" s="26">
        <v>0</v>
      </c>
      <c r="G10" s="26">
        <f>'9-3-09'!G10+'9-17-09'!D10</f>
        <v>736.4100000000001</v>
      </c>
      <c r="H10" s="26">
        <f>'9-3-09'!H10+'9-17-09'!E10</f>
        <v>4803.5199999999995</v>
      </c>
      <c r="I10" s="26">
        <f>'9-3-09'!I10+'9-17-09'!F10</f>
        <v>0</v>
      </c>
      <c r="J10" s="6">
        <f t="shared" si="0"/>
        <v>5539.929999999999</v>
      </c>
      <c r="K10" s="6">
        <f t="shared" si="1"/>
        <v>19656.07</v>
      </c>
      <c r="L10" s="26">
        <f t="shared" si="2"/>
        <v>1097.304500000002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641.02</v>
      </c>
      <c r="F11" s="26">
        <v>0</v>
      </c>
      <c r="G11" s="26">
        <f>'9-3-09'!G11+'9-17-09'!D11</f>
        <v>0</v>
      </c>
      <c r="H11" s="26">
        <f>'9-3-09'!H11+'9-17-09'!E11</f>
        <v>1342.23</v>
      </c>
      <c r="I11" s="26">
        <f>'9-3-09'!I11+'9-17-09'!F11</f>
        <v>0</v>
      </c>
      <c r="J11" s="6">
        <f t="shared" si="0"/>
        <v>1342.23</v>
      </c>
      <c r="K11" s="6">
        <f t="shared" si="1"/>
        <v>6157.77</v>
      </c>
      <c r="L11" s="26">
        <f t="shared" si="2"/>
        <v>1661.2994999999992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68.88</v>
      </c>
      <c r="E12" s="26">
        <v>43.5</v>
      </c>
      <c r="F12" s="26">
        <v>0</v>
      </c>
      <c r="G12" s="26">
        <f>'9-3-09'!G12+'9-17-09'!D12</f>
        <v>325.82</v>
      </c>
      <c r="H12" s="26">
        <f>'9-3-09'!H12+'9-17-09'!E12</f>
        <v>588.8</v>
      </c>
      <c r="I12" s="26">
        <f>'9-3-09'!I12+'9-17-09'!F12</f>
        <v>0</v>
      </c>
      <c r="J12" s="6">
        <f t="shared" si="0"/>
        <v>914.6199999999999</v>
      </c>
      <c r="K12" s="6">
        <f t="shared" si="1"/>
        <v>3229.38</v>
      </c>
      <c r="L12" s="26">
        <f t="shared" si="2"/>
        <v>165.4030000000007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105.48</v>
      </c>
      <c r="E13" s="26">
        <f>534.01-54.61</f>
        <v>479.4</v>
      </c>
      <c r="F13" s="26">
        <v>0</v>
      </c>
      <c r="G13" s="26">
        <f>'9-3-09'!G13+'9-17-09'!D13</f>
        <v>105.48</v>
      </c>
      <c r="H13" s="26">
        <f>'9-3-09'!H13+'9-17-09'!E13</f>
        <v>3083.59</v>
      </c>
      <c r="I13" s="26">
        <f>'9-3-09'!I13+'9-17-09'!F13</f>
        <v>0</v>
      </c>
      <c r="J13" s="6">
        <f t="shared" si="0"/>
        <v>3189.07</v>
      </c>
      <c r="K13" s="6">
        <f t="shared" si="1"/>
        <v>16984.93</v>
      </c>
      <c r="L13" s="26">
        <f t="shared" si="2"/>
        <v>6301.5455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455.83</v>
      </c>
      <c r="E14" s="26">
        <f>745.6-39.15</f>
        <v>706.45</v>
      </c>
      <c r="F14" s="26">
        <v>0</v>
      </c>
      <c r="G14" s="26">
        <f>'9-3-09'!G14+'9-17-09'!D14</f>
        <v>1350.82</v>
      </c>
      <c r="H14" s="26">
        <f>'9-3-09'!H14+'9-17-09'!E14</f>
        <v>3133.09</v>
      </c>
      <c r="I14" s="26">
        <f>'9-3-09'!I14+'9-17-09'!F14</f>
        <v>0</v>
      </c>
      <c r="J14" s="6">
        <f t="shared" si="0"/>
        <v>4483.91</v>
      </c>
      <c r="K14" s="6">
        <f t="shared" si="1"/>
        <v>26525.09</v>
      </c>
      <c r="L14" s="26">
        <f t="shared" si="2"/>
        <v>11503.9915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110.19</v>
      </c>
      <c r="E15" s="26">
        <v>464.07</v>
      </c>
      <c r="F15" s="26">
        <v>0</v>
      </c>
      <c r="G15" s="26">
        <f>'9-3-09'!G15+'9-17-09'!D15</f>
        <v>389.4</v>
      </c>
      <c r="H15" s="26">
        <f>'9-3-09'!H15+'9-17-09'!E15</f>
        <v>1926.11</v>
      </c>
      <c r="I15" s="26">
        <f>'9-3-09'!I15+'9-17-09'!F15</f>
        <v>0</v>
      </c>
      <c r="J15" s="6">
        <f t="shared" si="0"/>
        <v>2315.5099999999998</v>
      </c>
      <c r="K15" s="6">
        <f t="shared" si="1"/>
        <v>10976.49</v>
      </c>
      <c r="L15" s="26">
        <f t="shared" si="2"/>
        <v>3219.531500000001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2208.1400000000003</v>
      </c>
      <c r="E16" s="25">
        <f t="shared" si="3"/>
        <v>4084.6700000000005</v>
      </c>
      <c r="F16" s="25">
        <f t="shared" si="3"/>
        <v>0</v>
      </c>
      <c r="G16" s="25">
        <f t="shared" si="3"/>
        <v>7808.589999999997</v>
      </c>
      <c r="H16" s="25">
        <f t="shared" si="3"/>
        <v>20832.91</v>
      </c>
      <c r="I16" s="25">
        <f t="shared" si="3"/>
        <v>0</v>
      </c>
      <c r="J16" s="25">
        <f t="shared" si="3"/>
        <v>28641.499999999996</v>
      </c>
      <c r="K16" s="25">
        <f t="shared" si="3"/>
        <v>142481.5</v>
      </c>
      <c r="L16" s="9">
        <f t="shared" si="3"/>
        <v>46532.475000000006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164.53</v>
      </c>
      <c r="E18" s="6">
        <f>427.08-67.22</f>
        <v>359.86</v>
      </c>
      <c r="F18" s="6">
        <v>0</v>
      </c>
      <c r="G18" s="6">
        <f>'9-3-09'!G18+'9-17-09'!D18</f>
        <v>240.4</v>
      </c>
      <c r="H18" s="6">
        <f>'9-3-09'!H18+'9-17-09'!E18</f>
        <v>3302.0400000000004</v>
      </c>
      <c r="I18" s="6">
        <f>'9-3-09'!I18+'9-17-09'!F18</f>
        <v>0</v>
      </c>
      <c r="J18" s="6">
        <f aca="true" t="shared" si="4" ref="J18:J23">SUM(G18:I18)</f>
        <v>3542.4400000000005</v>
      </c>
      <c r="K18" s="6">
        <f aca="true" t="shared" si="5" ref="K18:K23">C18-J18</f>
        <v>12348.56</v>
      </c>
      <c r="L18" s="26">
        <f aca="true" t="shared" si="6" ref="L18:L23">C18-(J18/6*26.1)</f>
        <v>481.3859999999968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88.14</v>
      </c>
      <c r="E19" s="26">
        <v>332.72</v>
      </c>
      <c r="F19" s="26">
        <v>0</v>
      </c>
      <c r="G19" s="26">
        <f>'9-3-09'!G19+'9-17-09'!D19</f>
        <v>579.9000000000001</v>
      </c>
      <c r="H19" s="26">
        <f>'9-3-09'!H19+'9-17-09'!E19</f>
        <v>1991.6599999999999</v>
      </c>
      <c r="I19" s="26">
        <f>'9-3-09'!I19+'9-17-09'!F19</f>
        <v>0</v>
      </c>
      <c r="J19" s="6">
        <f t="shared" si="4"/>
        <v>2571.56</v>
      </c>
      <c r="K19" s="6">
        <f t="shared" si="5"/>
        <v>12821.44</v>
      </c>
      <c r="L19" s="26">
        <f t="shared" si="6"/>
        <v>4206.714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182.62</v>
      </c>
      <c r="E20" s="26">
        <v>132.31</v>
      </c>
      <c r="F20" s="26">
        <v>0</v>
      </c>
      <c r="G20" s="26">
        <f>'9-3-09'!G20+'9-17-09'!D20</f>
        <v>359.77</v>
      </c>
      <c r="H20" s="26">
        <f>'9-3-09'!H20+'9-17-09'!E20</f>
        <v>824.27</v>
      </c>
      <c r="I20" s="26">
        <f>'9-3-09'!I20+'9-17-09'!F20</f>
        <v>0</v>
      </c>
      <c r="J20" s="6">
        <f t="shared" si="4"/>
        <v>1184.04</v>
      </c>
      <c r="K20" s="6">
        <f t="shared" si="5"/>
        <v>13383.96</v>
      </c>
      <c r="L20" s="26">
        <f t="shared" si="6"/>
        <v>9417.426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47.03</v>
      </c>
      <c r="E21" s="26">
        <v>0</v>
      </c>
      <c r="F21" s="26">
        <v>0</v>
      </c>
      <c r="G21" s="26">
        <f>'9-3-09'!G21+'9-17-09'!D21</f>
        <v>47.03</v>
      </c>
      <c r="H21" s="26">
        <f>'9-3-09'!H21+'9-17-09'!E21</f>
        <v>0</v>
      </c>
      <c r="I21" s="26">
        <f>'9-3-09'!I21+'9-17-09'!F21</f>
        <v>0</v>
      </c>
      <c r="J21" s="6">
        <f t="shared" si="4"/>
        <v>47.03</v>
      </c>
      <c r="K21" s="6">
        <f t="shared" si="5"/>
        <v>6034.97</v>
      </c>
      <c r="L21" s="26">
        <f t="shared" si="6"/>
        <v>5877.4195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14.51</v>
      </c>
      <c r="E22" s="26">
        <f>156.87-117.65</f>
        <v>39.22</v>
      </c>
      <c r="F22" s="26">
        <v>0</v>
      </c>
      <c r="G22" s="26">
        <f>'9-3-09'!G22+'9-17-09'!D22</f>
        <v>94.72000000000001</v>
      </c>
      <c r="H22" s="26">
        <f>'9-3-09'!H22+'9-17-09'!E22</f>
        <v>637.1700000000001</v>
      </c>
      <c r="I22" s="26">
        <f>'9-3-09'!I22+'9-17-09'!F22</f>
        <v>0</v>
      </c>
      <c r="J22" s="6">
        <f t="shared" si="4"/>
        <v>731.8900000000001</v>
      </c>
      <c r="K22" s="6">
        <f t="shared" si="5"/>
        <v>6960.11</v>
      </c>
      <c r="L22" s="26">
        <f t="shared" si="6"/>
        <v>4508.278499999999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124.17</v>
      </c>
      <c r="E23" s="26">
        <v>0</v>
      </c>
      <c r="F23" s="26">
        <v>0</v>
      </c>
      <c r="G23" s="26">
        <f>'9-3-09'!G23+'9-17-09'!D23</f>
        <v>594.31</v>
      </c>
      <c r="H23" s="26">
        <f>'9-3-09'!H23+'9-17-09'!E23</f>
        <v>0</v>
      </c>
      <c r="I23" s="26">
        <f>'9-3-09'!I23+'9-17-09'!F23</f>
        <v>0</v>
      </c>
      <c r="J23" s="6">
        <f t="shared" si="4"/>
        <v>594.31</v>
      </c>
      <c r="K23" s="6">
        <f t="shared" si="5"/>
        <v>5940.6900000000005</v>
      </c>
      <c r="L23" s="26">
        <f t="shared" si="6"/>
        <v>3949.7515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7" ref="D24:L24">SUM(D18:D23)</f>
        <v>621</v>
      </c>
      <c r="E24" s="9">
        <f t="shared" si="7"/>
        <v>864.1100000000001</v>
      </c>
      <c r="F24" s="9">
        <f t="shared" si="7"/>
        <v>0</v>
      </c>
      <c r="G24" s="9">
        <f t="shared" si="7"/>
        <v>1916.13</v>
      </c>
      <c r="H24" s="9">
        <f t="shared" si="7"/>
        <v>6755.140000000001</v>
      </c>
      <c r="I24" s="9">
        <f t="shared" si="7"/>
        <v>0</v>
      </c>
      <c r="J24" s="9">
        <f t="shared" si="7"/>
        <v>8671.27</v>
      </c>
      <c r="K24" s="9">
        <f t="shared" si="7"/>
        <v>57489.73</v>
      </c>
      <c r="L24" s="9">
        <f t="shared" si="7"/>
        <v>28440.975499999993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536.4</v>
      </c>
      <c r="F26" s="26">
        <v>0</v>
      </c>
      <c r="G26" s="26">
        <f>'9-3-09'!G26+'9-17-09'!D26</f>
        <v>0</v>
      </c>
      <c r="H26" s="26">
        <f>'9-3-09'!H26+'9-17-09'!E26</f>
        <v>2682</v>
      </c>
      <c r="I26" s="26">
        <f>'9-3-09'!I26+'9-17-09'!F26</f>
        <v>0</v>
      </c>
      <c r="J26" s="6">
        <f>SUM(G26:I26)</f>
        <v>2682</v>
      </c>
      <c r="K26" s="26">
        <f>C26-J26</f>
        <v>12494</v>
      </c>
      <c r="L26" s="26">
        <f>C26-(J26/6*26.1)</f>
        <v>3509.2999999999993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96.01</v>
      </c>
      <c r="E27" s="26">
        <v>108.75</v>
      </c>
      <c r="F27" s="26">
        <v>0</v>
      </c>
      <c r="G27" s="26">
        <f>'9-3-09'!G27+'9-17-09'!D27</f>
        <v>533.34</v>
      </c>
      <c r="H27" s="26">
        <f>'9-3-09'!H27+'9-17-09'!E27</f>
        <v>376.54</v>
      </c>
      <c r="I27" s="26">
        <f>'9-3-09'!I27+'9-17-09'!F27</f>
        <v>0</v>
      </c>
      <c r="J27" s="6">
        <f>SUM(G27:I27)</f>
        <v>909.8800000000001</v>
      </c>
      <c r="K27" s="6">
        <f>C27-J27</f>
        <v>4791.12</v>
      </c>
      <c r="L27" s="26">
        <f>C27-(J27/6*26.1)</f>
        <v>1743.0219999999995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96.01</v>
      </c>
      <c r="E28" s="9">
        <f t="shared" si="8"/>
        <v>645.15</v>
      </c>
      <c r="F28" s="9">
        <f t="shared" si="8"/>
        <v>0</v>
      </c>
      <c r="G28" s="9">
        <f t="shared" si="8"/>
        <v>533.34</v>
      </c>
      <c r="H28" s="9">
        <f t="shared" si="8"/>
        <v>3058.54</v>
      </c>
      <c r="I28" s="9">
        <f t="shared" si="8"/>
        <v>0</v>
      </c>
      <c r="J28" s="9">
        <f t="shared" si="8"/>
        <v>3591.88</v>
      </c>
      <c r="K28" s="9">
        <f t="shared" si="8"/>
        <v>17285.12</v>
      </c>
      <c r="L28" s="9">
        <f t="shared" si="8"/>
        <v>5252.321999999998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v>2374.8</v>
      </c>
      <c r="F30" s="26">
        <v>0</v>
      </c>
      <c r="G30" s="26">
        <f>'9-3-09'!G30+'9-17-09'!D30</f>
        <v>0</v>
      </c>
      <c r="H30" s="26">
        <f>'9-3-09'!H30+'9-17-09'!E30</f>
        <v>13082</v>
      </c>
      <c r="I30" s="26">
        <f>'9-3-09'!I30+'9-17-09'!F30</f>
        <v>0</v>
      </c>
      <c r="J30" s="6">
        <f>SUM(G30:I30)</f>
        <v>13082</v>
      </c>
      <c r="K30" s="26">
        <f>C30-J30</f>
        <v>48589</v>
      </c>
      <c r="L30" s="26">
        <f>C30-(J30/6*26.1)</f>
        <v>4764.299999999996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276.12</v>
      </c>
      <c r="F31" s="26">
        <v>0</v>
      </c>
      <c r="G31" s="26">
        <f>'9-3-09'!G31+'9-17-09'!D31</f>
        <v>0</v>
      </c>
      <c r="H31" s="26">
        <f>'9-3-09'!H31+'9-17-09'!E31</f>
        <v>2127.8199999999997</v>
      </c>
      <c r="I31" s="26">
        <f>'9-3-09'!I31+'9-17-09'!F31</f>
        <v>0</v>
      </c>
      <c r="J31" s="6">
        <f>SUM(G31:I31)</f>
        <v>2127.8199999999997</v>
      </c>
      <c r="K31" s="6">
        <f>C31-J31</f>
        <v>13953.18</v>
      </c>
      <c r="L31" s="26">
        <f>C31-(J31/6*26.1)</f>
        <v>6824.983000000002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0</v>
      </c>
      <c r="E32" s="9">
        <f t="shared" si="9"/>
        <v>2650.92</v>
      </c>
      <c r="F32" s="9">
        <f t="shared" si="9"/>
        <v>0</v>
      </c>
      <c r="G32" s="9">
        <f t="shared" si="9"/>
        <v>0</v>
      </c>
      <c r="H32" s="9">
        <f t="shared" si="9"/>
        <v>15209.82</v>
      </c>
      <c r="I32" s="9">
        <f t="shared" si="9"/>
        <v>0</v>
      </c>
      <c r="J32" s="9">
        <f t="shared" si="9"/>
        <v>15209.82</v>
      </c>
      <c r="K32" s="9">
        <f t="shared" si="9"/>
        <v>62542.18</v>
      </c>
      <c r="L32" s="9">
        <f t="shared" si="9"/>
        <v>11589.282999999998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2925.1500000000005</v>
      </c>
      <c r="E33" s="14">
        <f t="shared" si="10"/>
        <v>8244.85</v>
      </c>
      <c r="F33" s="14">
        <f t="shared" si="10"/>
        <v>0</v>
      </c>
      <c r="G33" s="14">
        <f t="shared" si="10"/>
        <v>10258.059999999998</v>
      </c>
      <c r="H33" s="14">
        <f t="shared" si="10"/>
        <v>45856.41</v>
      </c>
      <c r="I33" s="14">
        <f t="shared" si="10"/>
        <v>0</v>
      </c>
      <c r="J33" s="14">
        <f t="shared" si="10"/>
        <v>56114.469999999994</v>
      </c>
      <c r="K33" s="14">
        <f t="shared" si="10"/>
        <v>279798.53</v>
      </c>
      <c r="L33" s="14">
        <f t="shared" si="10"/>
        <v>91815.0555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9-17-09</oddHeader>
    <oddFooter>&amp;CFY 2009-2010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G24" sqref="G24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138.63</v>
      </c>
      <c r="E4" s="26">
        <v>419.52</v>
      </c>
      <c r="F4" s="26">
        <v>0</v>
      </c>
      <c r="G4" s="26">
        <f>'9-17-09'!G4+'10-1-09'!D4</f>
        <v>475.86</v>
      </c>
      <c r="H4" s="26">
        <f>'9-17-09'!H4+'10-1-09'!E4</f>
        <v>1940.8</v>
      </c>
      <c r="I4" s="26">
        <f>'9-17-09'!I4+'10-1-09'!F4</f>
        <v>0</v>
      </c>
      <c r="J4" s="26">
        <f>SUM(G4:I4)</f>
        <v>2416.66</v>
      </c>
      <c r="K4" s="26">
        <f>C4-J4</f>
        <v>10902.34</v>
      </c>
      <c r="L4" s="26">
        <f aca="true" t="shared" si="0" ref="L4:L15">C4-(J4/7*26.1)</f>
        <v>4308.310571428572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514.15</v>
      </c>
      <c r="E5" s="26">
        <v>280.32</v>
      </c>
      <c r="F5" s="26">
        <v>0</v>
      </c>
      <c r="G5" s="26">
        <f>'9-17-09'!G5+'10-1-09'!D5</f>
        <v>2568.12</v>
      </c>
      <c r="H5" s="26">
        <f>'9-17-09'!H5+'10-1-09'!E5</f>
        <v>2324.6500000000005</v>
      </c>
      <c r="I5" s="26">
        <f>'9-17-09'!I5+'10-1-09'!F5</f>
        <v>0</v>
      </c>
      <c r="J5" s="6">
        <f aca="true" t="shared" si="1" ref="J5:J15">SUM(G5:I5)</f>
        <v>4892.77</v>
      </c>
      <c r="K5" s="6">
        <f aca="true" t="shared" si="2" ref="K5:K15">C5-J5</f>
        <v>17156.23</v>
      </c>
      <c r="L5" s="26">
        <f t="shared" si="0"/>
        <v>3805.9575714285675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86.85</v>
      </c>
      <c r="E6" s="26">
        <v>361.52</v>
      </c>
      <c r="F6" s="26">
        <v>0</v>
      </c>
      <c r="G6" s="26">
        <f>'9-17-09'!G6+'10-1-09'!D6</f>
        <v>466.99</v>
      </c>
      <c r="H6" s="26">
        <f>'9-17-09'!H6+'10-1-09'!E6</f>
        <v>2615.5099999999998</v>
      </c>
      <c r="I6" s="26">
        <f>'9-17-09'!I6+'10-1-09'!F6</f>
        <v>0</v>
      </c>
      <c r="J6" s="6">
        <f t="shared" si="1"/>
        <v>3082.5</v>
      </c>
      <c r="K6" s="6">
        <f t="shared" si="2"/>
        <v>7018.5</v>
      </c>
      <c r="L6" s="26">
        <f t="shared" si="0"/>
        <v>-1392.3214285714294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294.15</v>
      </c>
      <c r="E7" s="26">
        <v>0</v>
      </c>
      <c r="F7" s="26">
        <v>0</v>
      </c>
      <c r="G7" s="26">
        <f>'9-17-09'!G7+'10-1-09'!D7</f>
        <v>1296.52</v>
      </c>
      <c r="H7" s="26">
        <f>'9-17-09'!H7+'10-1-09'!E7</f>
        <v>135.97</v>
      </c>
      <c r="I7" s="26">
        <f>'9-17-09'!I7+'10-1-09'!F7</f>
        <v>0</v>
      </c>
      <c r="J7" s="6">
        <f>SUM(G7:I7)</f>
        <v>1432.49</v>
      </c>
      <c r="K7" s="6">
        <f t="shared" si="2"/>
        <v>5117.51</v>
      </c>
      <c r="L7" s="26">
        <f t="shared" si="0"/>
        <v>1208.858714285714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259.69</v>
      </c>
      <c r="E8" s="26">
        <v>0</v>
      </c>
      <c r="F8" s="26">
        <v>0</v>
      </c>
      <c r="G8" s="26">
        <f>'9-17-09'!G8+'10-1-09'!D8</f>
        <v>1010.78</v>
      </c>
      <c r="H8" s="26">
        <f>'9-17-09'!H8+'10-1-09'!E8</f>
        <v>0</v>
      </c>
      <c r="I8" s="26">
        <f>'9-17-09'!I8+'10-1-09'!F8</f>
        <v>0</v>
      </c>
      <c r="J8" s="6">
        <f t="shared" si="1"/>
        <v>1010.78</v>
      </c>
      <c r="K8" s="6">
        <f t="shared" si="2"/>
        <v>8772.22</v>
      </c>
      <c r="L8" s="26">
        <f t="shared" si="0"/>
        <v>6014.234571428571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239.04</v>
      </c>
      <c r="E9" s="26">
        <v>0</v>
      </c>
      <c r="F9" s="26">
        <v>0</v>
      </c>
      <c r="G9" s="26">
        <f>'9-17-09'!G9+'10-1-09'!D9</f>
        <v>614.9</v>
      </c>
      <c r="H9" s="26">
        <f>'9-17-09'!H9+'10-1-09'!E9</f>
        <v>0</v>
      </c>
      <c r="I9" s="26">
        <f>'9-17-09'!I9+'10-1-09'!F9</f>
        <v>0</v>
      </c>
      <c r="J9" s="6">
        <f t="shared" si="1"/>
        <v>614.9</v>
      </c>
      <c r="K9" s="6">
        <f t="shared" si="2"/>
        <v>7391.1</v>
      </c>
      <c r="L9" s="26">
        <f t="shared" si="0"/>
        <v>5713.301428571429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259.43</v>
      </c>
      <c r="E10" s="26">
        <v>685.51</v>
      </c>
      <c r="F10" s="26">
        <v>0</v>
      </c>
      <c r="G10" s="26">
        <f>'9-17-09'!G10+'10-1-09'!D10</f>
        <v>995.8400000000001</v>
      </c>
      <c r="H10" s="26">
        <f>'9-17-09'!H10+'10-1-09'!E10</f>
        <v>5489.03</v>
      </c>
      <c r="I10" s="26">
        <f>'9-17-09'!I10+'10-1-09'!F10</f>
        <v>0</v>
      </c>
      <c r="J10" s="6">
        <f t="shared" si="1"/>
        <v>6484.87</v>
      </c>
      <c r="K10" s="6">
        <f t="shared" si="2"/>
        <v>18711.13</v>
      </c>
      <c r="L10" s="26">
        <f t="shared" si="0"/>
        <v>1016.6990000000005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641.03</v>
      </c>
      <c r="F11" s="26">
        <v>0</v>
      </c>
      <c r="G11" s="26">
        <f>'9-17-09'!G11+'10-1-09'!D11</f>
        <v>0</v>
      </c>
      <c r="H11" s="26">
        <f>'9-17-09'!H11+'10-1-09'!E11</f>
        <v>1983.26</v>
      </c>
      <c r="I11" s="26">
        <f>'9-17-09'!I11+'10-1-09'!F11</f>
        <v>0</v>
      </c>
      <c r="J11" s="6">
        <f t="shared" si="1"/>
        <v>1983.26</v>
      </c>
      <c r="K11" s="6">
        <f t="shared" si="2"/>
        <v>5516.74</v>
      </c>
      <c r="L11" s="26">
        <f t="shared" si="0"/>
        <v>105.27342857142867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48.95</v>
      </c>
      <c r="E12" s="26">
        <v>94.26</v>
      </c>
      <c r="F12" s="26">
        <v>0</v>
      </c>
      <c r="G12" s="26">
        <f>'9-17-09'!G12+'10-1-09'!D12</f>
        <v>374.77</v>
      </c>
      <c r="H12" s="26">
        <f>'9-17-09'!H12+'10-1-09'!E12</f>
        <v>683.06</v>
      </c>
      <c r="I12" s="26">
        <f>'9-17-09'!I12+'10-1-09'!F12</f>
        <v>0</v>
      </c>
      <c r="J12" s="6">
        <f t="shared" si="1"/>
        <v>1057.83</v>
      </c>
      <c r="K12" s="6">
        <f t="shared" si="2"/>
        <v>3086.17</v>
      </c>
      <c r="L12" s="26">
        <f t="shared" si="0"/>
        <v>199.80528571428567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117.39</v>
      </c>
      <c r="E13" s="26">
        <v>399.37</v>
      </c>
      <c r="F13" s="26">
        <v>0</v>
      </c>
      <c r="G13" s="26">
        <f>'9-17-09'!G13+'10-1-09'!D13</f>
        <v>222.87</v>
      </c>
      <c r="H13" s="26">
        <f>'9-17-09'!H13+'10-1-09'!E13</f>
        <v>3482.96</v>
      </c>
      <c r="I13" s="26">
        <f>'9-17-09'!I13+'10-1-09'!F13</f>
        <v>0</v>
      </c>
      <c r="J13" s="6">
        <f t="shared" si="1"/>
        <v>3705.83</v>
      </c>
      <c r="K13" s="6">
        <f t="shared" si="2"/>
        <v>16468.17</v>
      </c>
      <c r="L13" s="26">
        <f t="shared" si="0"/>
        <v>6356.548142857142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618.71</v>
      </c>
      <c r="E14" s="26">
        <v>715.41</v>
      </c>
      <c r="F14" s="26">
        <v>0</v>
      </c>
      <c r="G14" s="26">
        <f>'9-17-09'!G14+'10-1-09'!D14</f>
        <v>1969.53</v>
      </c>
      <c r="H14" s="26">
        <f>'9-17-09'!H14+'10-1-09'!E14</f>
        <v>3848.5</v>
      </c>
      <c r="I14" s="26">
        <f>'9-17-09'!I14+'10-1-09'!F14</f>
        <v>0</v>
      </c>
      <c r="J14" s="6">
        <f t="shared" si="1"/>
        <v>5818.03</v>
      </c>
      <c r="K14" s="6">
        <f t="shared" si="2"/>
        <v>25190.97</v>
      </c>
      <c r="L14" s="26">
        <f t="shared" si="0"/>
        <v>9316.05957142857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116.72</v>
      </c>
      <c r="E15" s="26">
        <v>580.76</v>
      </c>
      <c r="F15" s="26">
        <v>0</v>
      </c>
      <c r="G15" s="26">
        <f>'9-17-09'!G15+'10-1-09'!D15</f>
        <v>506.12</v>
      </c>
      <c r="H15" s="26">
        <f>'9-17-09'!H15+'10-1-09'!E15</f>
        <v>2506.87</v>
      </c>
      <c r="I15" s="26">
        <f>'9-17-09'!I15+'10-1-09'!F15</f>
        <v>0</v>
      </c>
      <c r="J15" s="6">
        <f t="shared" si="1"/>
        <v>3012.99</v>
      </c>
      <c r="K15" s="6">
        <f t="shared" si="2"/>
        <v>10279.01</v>
      </c>
      <c r="L15" s="26">
        <f t="shared" si="0"/>
        <v>2057.8515714285713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2693.71</v>
      </c>
      <c r="E16" s="25">
        <f t="shared" si="3"/>
        <v>4177.7</v>
      </c>
      <c r="F16" s="25">
        <f t="shared" si="3"/>
        <v>0</v>
      </c>
      <c r="G16" s="25">
        <f t="shared" si="3"/>
        <v>10502.3</v>
      </c>
      <c r="H16" s="25">
        <f t="shared" si="3"/>
        <v>25010.61</v>
      </c>
      <c r="I16" s="25">
        <f t="shared" si="3"/>
        <v>0</v>
      </c>
      <c r="J16" s="25">
        <f t="shared" si="3"/>
        <v>35512.909999999996</v>
      </c>
      <c r="K16" s="25">
        <f t="shared" si="3"/>
        <v>135610.09</v>
      </c>
      <c r="L16" s="9">
        <f t="shared" si="3"/>
        <v>38710.57842857143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116.5</v>
      </c>
      <c r="E18" s="6">
        <v>488.04</v>
      </c>
      <c r="F18" s="6">
        <v>0</v>
      </c>
      <c r="G18" s="6">
        <f>'9-17-09'!G18+'10-1-09'!D18</f>
        <v>356.9</v>
      </c>
      <c r="H18" s="6">
        <f>'9-17-09'!H18+'10-1-09'!E18</f>
        <v>3790.0800000000004</v>
      </c>
      <c r="I18" s="6">
        <f>'9-17-09'!I18+'10-1-09'!F18</f>
        <v>0</v>
      </c>
      <c r="J18" s="6">
        <f aca="true" t="shared" si="4" ref="J18:J23">SUM(G18:I18)</f>
        <v>4146.9800000000005</v>
      </c>
      <c r="K18" s="6">
        <f aca="true" t="shared" si="5" ref="K18:K23">C18-J18</f>
        <v>11744.02</v>
      </c>
      <c r="L18" s="26">
        <f aca="true" t="shared" si="6" ref="L18:L23">C18-(J18/7*26.1)</f>
        <v>428.68885714285534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124.33</v>
      </c>
      <c r="E19" s="26">
        <v>449.51</v>
      </c>
      <c r="F19" s="26">
        <v>0</v>
      </c>
      <c r="G19" s="26">
        <f>'9-17-09'!G19+'10-1-09'!D19</f>
        <v>704.2300000000001</v>
      </c>
      <c r="H19" s="26">
        <f>'9-17-09'!H19+'10-1-09'!E19</f>
        <v>2441.17</v>
      </c>
      <c r="I19" s="26">
        <f>'9-17-09'!I19+'10-1-09'!F19</f>
        <v>0</v>
      </c>
      <c r="J19" s="6">
        <f t="shared" si="4"/>
        <v>3145.4</v>
      </c>
      <c r="K19" s="6">
        <f t="shared" si="5"/>
        <v>12247.6</v>
      </c>
      <c r="L19" s="26">
        <f t="shared" si="6"/>
        <v>3665.1514285714275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210.28</v>
      </c>
      <c r="E20" s="26">
        <v>141.38</v>
      </c>
      <c r="F20" s="26">
        <v>0</v>
      </c>
      <c r="G20" s="26">
        <f>'9-17-09'!G20+'10-1-09'!D20</f>
        <v>570.05</v>
      </c>
      <c r="H20" s="26">
        <f>'9-17-09'!H20+'10-1-09'!E20</f>
        <v>965.65</v>
      </c>
      <c r="I20" s="26">
        <f>'9-17-09'!I20+'10-1-09'!F20</f>
        <v>0</v>
      </c>
      <c r="J20" s="6">
        <f t="shared" si="4"/>
        <v>1535.6999999999998</v>
      </c>
      <c r="K20" s="6">
        <f t="shared" si="5"/>
        <v>13032.3</v>
      </c>
      <c r="L20" s="26">
        <f t="shared" si="6"/>
        <v>8842.032857142858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36.79</v>
      </c>
      <c r="E21" s="26">
        <v>0</v>
      </c>
      <c r="F21" s="26">
        <v>0</v>
      </c>
      <c r="G21" s="26">
        <f>'9-17-09'!G21+'10-1-09'!D21</f>
        <v>83.82</v>
      </c>
      <c r="H21" s="26">
        <f>'9-17-09'!H21+'10-1-09'!E21</f>
        <v>0</v>
      </c>
      <c r="I21" s="26">
        <f>'9-17-09'!I21+'10-1-09'!F21</f>
        <v>0</v>
      </c>
      <c r="J21" s="6">
        <f t="shared" si="4"/>
        <v>83.82</v>
      </c>
      <c r="K21" s="6">
        <f t="shared" si="5"/>
        <v>5998.18</v>
      </c>
      <c r="L21" s="26">
        <f t="shared" si="6"/>
        <v>5769.471142857143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101.01</v>
      </c>
      <c r="E22" s="26">
        <v>0</v>
      </c>
      <c r="F22" s="26">
        <v>0</v>
      </c>
      <c r="G22" s="26">
        <f>'9-17-09'!G22+'10-1-09'!D22</f>
        <v>195.73000000000002</v>
      </c>
      <c r="H22" s="26">
        <f>'9-17-09'!H22+'10-1-09'!E22</f>
        <v>637.1700000000001</v>
      </c>
      <c r="I22" s="26">
        <f>'9-17-09'!I22+'10-1-09'!F22</f>
        <v>0</v>
      </c>
      <c r="J22" s="6">
        <f t="shared" si="4"/>
        <v>832.9000000000001</v>
      </c>
      <c r="K22" s="6">
        <f t="shared" si="5"/>
        <v>6859.1</v>
      </c>
      <c r="L22" s="26">
        <f t="shared" si="6"/>
        <v>4586.472857142857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115.11</v>
      </c>
      <c r="E23" s="26">
        <v>0</v>
      </c>
      <c r="F23" s="26">
        <v>0</v>
      </c>
      <c r="G23" s="26">
        <f>'9-17-09'!G23+'10-1-09'!D23</f>
        <v>709.42</v>
      </c>
      <c r="H23" s="26">
        <f>'9-17-09'!H23+'10-1-09'!E23</f>
        <v>0</v>
      </c>
      <c r="I23" s="26">
        <f>'9-17-09'!I23+'10-1-09'!F23</f>
        <v>0</v>
      </c>
      <c r="J23" s="6">
        <f t="shared" si="4"/>
        <v>709.42</v>
      </c>
      <c r="K23" s="6">
        <f t="shared" si="5"/>
        <v>5825.58</v>
      </c>
      <c r="L23" s="26">
        <f t="shared" si="6"/>
        <v>3889.8768571428573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 aca="true" t="shared" si="7" ref="D24:L24">SUM(D18:D23)</f>
        <v>704.0200000000001</v>
      </c>
      <c r="E24" s="9">
        <f t="shared" si="7"/>
        <v>1078.9299999999998</v>
      </c>
      <c r="F24" s="9">
        <f t="shared" si="7"/>
        <v>0</v>
      </c>
      <c r="G24" s="9">
        <f t="shared" si="7"/>
        <v>2620.15</v>
      </c>
      <c r="H24" s="9">
        <f t="shared" si="7"/>
        <v>7834.07</v>
      </c>
      <c r="I24" s="9">
        <f t="shared" si="7"/>
        <v>0</v>
      </c>
      <c r="J24" s="9">
        <f t="shared" si="7"/>
        <v>10454.220000000001</v>
      </c>
      <c r="K24" s="9">
        <f t="shared" si="7"/>
        <v>55706.78</v>
      </c>
      <c r="L24" s="9">
        <f t="shared" si="7"/>
        <v>27181.693999999996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'9-17-09'!G26+'10-1-09'!D26</f>
        <v>0</v>
      </c>
      <c r="H26" s="26">
        <f>'9-17-09'!H26+'10-1-09'!E26</f>
        <v>3278</v>
      </c>
      <c r="I26" s="26">
        <f>'9-17-09'!I26+'10-1-09'!F26</f>
        <v>0</v>
      </c>
      <c r="J26" s="6">
        <f>SUM(G26:I26)</f>
        <v>3278</v>
      </c>
      <c r="K26" s="26">
        <f>C26-J26</f>
        <v>11898</v>
      </c>
      <c r="L26" s="26">
        <f>C26-(J26/7*26.1)</f>
        <v>2953.7428571428572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115.5</v>
      </c>
      <c r="E27" s="26">
        <v>87</v>
      </c>
      <c r="F27" s="26">
        <v>0</v>
      </c>
      <c r="G27" s="26">
        <f>'9-17-09'!G27+'10-1-09'!D27</f>
        <v>648.84</v>
      </c>
      <c r="H27" s="26">
        <f>'9-17-09'!H27+'10-1-09'!E27</f>
        <v>463.54</v>
      </c>
      <c r="I27" s="26">
        <f>'9-17-09'!I27+'10-1-09'!F27</f>
        <v>0</v>
      </c>
      <c r="J27" s="6">
        <f>SUM(G27:I27)</f>
        <v>1112.38</v>
      </c>
      <c r="K27" s="6">
        <f>C27-J27</f>
        <v>4588.62</v>
      </c>
      <c r="L27" s="26">
        <f>C27-(J27/7*26.1)</f>
        <v>1553.411714285714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115.5</v>
      </c>
      <c r="E28" s="9">
        <f t="shared" si="8"/>
        <v>683</v>
      </c>
      <c r="F28" s="9">
        <f t="shared" si="8"/>
        <v>0</v>
      </c>
      <c r="G28" s="9">
        <f t="shared" si="8"/>
        <v>648.84</v>
      </c>
      <c r="H28" s="9">
        <f t="shared" si="8"/>
        <v>3741.54</v>
      </c>
      <c r="I28" s="9">
        <f t="shared" si="8"/>
        <v>0</v>
      </c>
      <c r="J28" s="9">
        <f t="shared" si="8"/>
        <v>4390.38</v>
      </c>
      <c r="K28" s="9">
        <f t="shared" si="8"/>
        <v>16486.62</v>
      </c>
      <c r="L28" s="9">
        <f t="shared" si="8"/>
        <v>4507.154571428571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0</v>
      </c>
      <c r="E30" s="26">
        <v>2335.15</v>
      </c>
      <c r="F30" s="26">
        <v>0</v>
      </c>
      <c r="G30" s="26">
        <f>'9-17-09'!G30+'10-1-09'!D30</f>
        <v>0</v>
      </c>
      <c r="H30" s="26">
        <f>'9-17-09'!H30+'10-1-09'!E30</f>
        <v>15417.15</v>
      </c>
      <c r="I30" s="26">
        <f>'9-17-09'!I30+'10-1-09'!F30</f>
        <v>0</v>
      </c>
      <c r="J30" s="6">
        <f>SUM(G30:I30)</f>
        <v>15417.15</v>
      </c>
      <c r="K30" s="26">
        <f>C30-J30</f>
        <v>46253.85</v>
      </c>
      <c r="L30" s="26">
        <f>C30-(J30/7*26.1)</f>
        <v>4187.055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365.2</v>
      </c>
      <c r="F31" s="26">
        <v>0</v>
      </c>
      <c r="G31" s="26">
        <f>'9-17-09'!G31+'10-1-09'!D31</f>
        <v>0</v>
      </c>
      <c r="H31" s="26">
        <f>'9-17-09'!H31+'10-1-09'!E31</f>
        <v>2493.0199999999995</v>
      </c>
      <c r="I31" s="26">
        <f>'9-17-09'!I31+'10-1-09'!F31</f>
        <v>0</v>
      </c>
      <c r="J31" s="6">
        <f>SUM(G31:I31)</f>
        <v>2493.0199999999995</v>
      </c>
      <c r="K31" s="6">
        <f>C31-J31</f>
        <v>13587.98</v>
      </c>
      <c r="L31" s="26">
        <f>C31-(J31/7*26.1)</f>
        <v>6785.596857142858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0</v>
      </c>
      <c r="E32" s="9">
        <f t="shared" si="9"/>
        <v>2700.35</v>
      </c>
      <c r="F32" s="9">
        <f t="shared" si="9"/>
        <v>0</v>
      </c>
      <c r="G32" s="9">
        <f t="shared" si="9"/>
        <v>0</v>
      </c>
      <c r="H32" s="9">
        <f t="shared" si="9"/>
        <v>17910.17</v>
      </c>
      <c r="I32" s="9">
        <f t="shared" si="9"/>
        <v>0</v>
      </c>
      <c r="J32" s="9">
        <f t="shared" si="9"/>
        <v>17910.17</v>
      </c>
      <c r="K32" s="9">
        <f t="shared" si="9"/>
        <v>59841.83</v>
      </c>
      <c r="L32" s="9">
        <f t="shared" si="9"/>
        <v>10972.651857142859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3513.23</v>
      </c>
      <c r="E33" s="14">
        <f t="shared" si="10"/>
        <v>8639.98</v>
      </c>
      <c r="F33" s="14">
        <f t="shared" si="10"/>
        <v>0</v>
      </c>
      <c r="G33" s="14">
        <f t="shared" si="10"/>
        <v>13771.289999999999</v>
      </c>
      <c r="H33" s="14">
        <f t="shared" si="10"/>
        <v>54496.39</v>
      </c>
      <c r="I33" s="14">
        <f t="shared" si="10"/>
        <v>0</v>
      </c>
      <c r="J33" s="14">
        <f t="shared" si="10"/>
        <v>68267.68</v>
      </c>
      <c r="K33" s="14">
        <f t="shared" si="10"/>
        <v>267645.32</v>
      </c>
      <c r="L33" s="14">
        <f t="shared" si="10"/>
        <v>81372.07885714286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10-1-09</oddHeader>
    <oddFooter>&amp;CFY 2009-2010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C33" sqref="C33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156.81</v>
      </c>
      <c r="E4" s="26">
        <v>305.93</v>
      </c>
      <c r="F4" s="26">
        <v>0</v>
      </c>
      <c r="G4" s="26">
        <f>'10-1-09'!G4+'10-15-09'!D4</f>
        <v>632.6700000000001</v>
      </c>
      <c r="H4" s="26">
        <f>'10-1-09'!H4+'10-15-09'!E4</f>
        <v>2246.73</v>
      </c>
      <c r="I4" s="26">
        <f>'9-17-09'!I4+'10-15-09'!F4</f>
        <v>0</v>
      </c>
      <c r="J4" s="26">
        <f>SUM(G4:I4)</f>
        <v>2879.4</v>
      </c>
      <c r="K4" s="26">
        <f>C4-J4</f>
        <v>10439.6</v>
      </c>
      <c r="L4" s="26">
        <f>C4-(J4/8*26.1)</f>
        <v>3924.9574999999986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520.04</v>
      </c>
      <c r="E5" s="26">
        <v>280.32</v>
      </c>
      <c r="F5" s="26">
        <v>0</v>
      </c>
      <c r="G5" s="26">
        <f>'10-1-09'!G5+'10-15-09'!D5</f>
        <v>3088.16</v>
      </c>
      <c r="H5" s="26">
        <f>'10-1-09'!H5+'10-15-09'!E5</f>
        <v>2604.9700000000007</v>
      </c>
      <c r="I5" s="26">
        <f>'9-17-09'!I5+'10-15-09'!F5</f>
        <v>0</v>
      </c>
      <c r="J5" s="6">
        <f aca="true" t="shared" si="0" ref="J5:J15">SUM(G5:I5)</f>
        <v>5693.130000000001</v>
      </c>
      <c r="K5" s="6">
        <f aca="true" t="shared" si="1" ref="K5:K15">C5-J5</f>
        <v>16355.869999999999</v>
      </c>
      <c r="L5" s="26">
        <f aca="true" t="shared" si="2" ref="L5:L15">C5-(J5/8*26.1)</f>
        <v>3475.1633749999964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156.59</v>
      </c>
      <c r="E6" s="26">
        <v>296.8</v>
      </c>
      <c r="F6" s="26">
        <v>0</v>
      </c>
      <c r="G6" s="26">
        <f>'10-1-09'!G6+'10-15-09'!D6</f>
        <v>623.58</v>
      </c>
      <c r="H6" s="26">
        <f>'10-1-09'!H6+'10-15-09'!E6</f>
        <v>2912.31</v>
      </c>
      <c r="I6" s="26">
        <f>'9-17-09'!I6+'10-15-09'!F6</f>
        <v>0</v>
      </c>
      <c r="J6" s="6">
        <f t="shared" si="0"/>
        <v>3535.89</v>
      </c>
      <c r="K6" s="6">
        <f t="shared" si="1"/>
        <v>6565.110000000001</v>
      </c>
      <c r="L6" s="26">
        <f t="shared" si="2"/>
        <v>-1434.8411250000008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310.41</v>
      </c>
      <c r="E7" s="26">
        <v>0</v>
      </c>
      <c r="F7" s="26">
        <v>0</v>
      </c>
      <c r="G7" s="26">
        <f>'10-1-09'!G7+'10-15-09'!D7</f>
        <v>1606.93</v>
      </c>
      <c r="H7" s="26">
        <f>'10-1-09'!H7+'10-15-09'!E7</f>
        <v>135.97</v>
      </c>
      <c r="I7" s="26">
        <f>'9-17-09'!I7+'10-15-09'!F7</f>
        <v>0</v>
      </c>
      <c r="J7" s="6">
        <f t="shared" si="0"/>
        <v>1742.9</v>
      </c>
      <c r="K7" s="6">
        <f t="shared" si="1"/>
        <v>4807.1</v>
      </c>
      <c r="L7" s="26">
        <f t="shared" si="2"/>
        <v>863.7887499999997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183.38</v>
      </c>
      <c r="E8" s="26">
        <v>0</v>
      </c>
      <c r="F8" s="26">
        <v>0</v>
      </c>
      <c r="G8" s="26">
        <f>'10-1-09'!G8+'10-15-09'!D8</f>
        <v>1194.1599999999999</v>
      </c>
      <c r="H8" s="26">
        <f>'10-1-09'!H8+'10-15-09'!E8</f>
        <v>0</v>
      </c>
      <c r="I8" s="26">
        <f>'9-17-09'!I8+'10-15-09'!F8</f>
        <v>0</v>
      </c>
      <c r="J8" s="6">
        <f t="shared" si="0"/>
        <v>1194.1599999999999</v>
      </c>
      <c r="K8" s="6">
        <f t="shared" si="1"/>
        <v>8588.84</v>
      </c>
      <c r="L8" s="26">
        <f t="shared" si="2"/>
        <v>5887.053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274.06</v>
      </c>
      <c r="E9" s="26">
        <v>0</v>
      </c>
      <c r="F9" s="26">
        <v>0</v>
      </c>
      <c r="G9" s="26">
        <f>'10-1-09'!G9+'10-15-09'!D9</f>
        <v>888.96</v>
      </c>
      <c r="H9" s="26">
        <f>'10-1-09'!H9+'10-15-09'!E9</f>
        <v>0</v>
      </c>
      <c r="I9" s="26">
        <f>'9-17-09'!I9+'10-15-09'!F9</f>
        <v>0</v>
      </c>
      <c r="J9" s="6">
        <f t="shared" si="0"/>
        <v>888.96</v>
      </c>
      <c r="K9" s="6">
        <f t="shared" si="1"/>
        <v>7117.04</v>
      </c>
      <c r="L9" s="26">
        <f t="shared" si="2"/>
        <v>5105.768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321.49</v>
      </c>
      <c r="E10" s="26">
        <v>501.44</v>
      </c>
      <c r="F10" s="26">
        <v>0</v>
      </c>
      <c r="G10" s="26">
        <f>'10-1-09'!G10+'10-15-09'!D10</f>
        <v>1317.3300000000002</v>
      </c>
      <c r="H10" s="26">
        <f>'10-1-09'!H10+'10-15-09'!E10</f>
        <v>5990.469999999999</v>
      </c>
      <c r="I10" s="26">
        <f>'9-17-09'!I10+'10-15-09'!F10</f>
        <v>0</v>
      </c>
      <c r="J10" s="6">
        <f t="shared" si="0"/>
        <v>7307.799999999999</v>
      </c>
      <c r="K10" s="6">
        <f t="shared" si="1"/>
        <v>17888.2</v>
      </c>
      <c r="L10" s="26">
        <f t="shared" si="2"/>
        <v>1354.3025000000016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641.03</v>
      </c>
      <c r="F11" s="26">
        <v>0</v>
      </c>
      <c r="G11" s="26">
        <f>'10-1-09'!G11+'10-15-09'!D11</f>
        <v>0</v>
      </c>
      <c r="H11" s="26">
        <f>'10-1-09'!H11+'10-15-09'!E11</f>
        <v>2624.29</v>
      </c>
      <c r="I11" s="26">
        <f>'9-17-09'!I11+'10-15-09'!F11</f>
        <v>0</v>
      </c>
      <c r="J11" s="6">
        <f t="shared" si="0"/>
        <v>2624.29</v>
      </c>
      <c r="K11" s="6">
        <f t="shared" si="1"/>
        <v>4875.71</v>
      </c>
      <c r="L11" s="26">
        <f t="shared" si="2"/>
        <v>-1061.7461249999997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63.67</v>
      </c>
      <c r="E12" s="26">
        <v>11.33</v>
      </c>
      <c r="F12" s="26">
        <v>0</v>
      </c>
      <c r="G12" s="26">
        <f>'10-1-09'!G12+'10-15-09'!D12</f>
        <v>438.44</v>
      </c>
      <c r="H12" s="26">
        <f>'10-1-09'!H12+'10-15-09'!E12</f>
        <v>694.39</v>
      </c>
      <c r="I12" s="26">
        <f>'9-17-09'!I12+'10-15-09'!F12</f>
        <v>0</v>
      </c>
      <c r="J12" s="6">
        <f t="shared" si="0"/>
        <v>1132.83</v>
      </c>
      <c r="K12" s="6">
        <f t="shared" si="1"/>
        <v>3011.17</v>
      </c>
      <c r="L12" s="26">
        <f t="shared" si="2"/>
        <v>448.14212499999985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91.64</v>
      </c>
      <c r="E13" s="26">
        <v>445.82</v>
      </c>
      <c r="F13" s="26">
        <v>0</v>
      </c>
      <c r="G13" s="26">
        <f>'10-1-09'!G13+'10-15-09'!D13</f>
        <v>314.51</v>
      </c>
      <c r="H13" s="26">
        <f>'10-1-09'!H13+'10-15-09'!E13</f>
        <v>3928.78</v>
      </c>
      <c r="I13" s="26">
        <f>'9-17-09'!I13+'10-15-09'!F13</f>
        <v>0</v>
      </c>
      <c r="J13" s="6">
        <f t="shared" si="0"/>
        <v>4243.29</v>
      </c>
      <c r="K13" s="6">
        <f t="shared" si="1"/>
        <v>15930.71</v>
      </c>
      <c r="L13" s="26">
        <f t="shared" si="2"/>
        <v>6330.266374999999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571.39</v>
      </c>
      <c r="E14" s="26">
        <v>647.89</v>
      </c>
      <c r="F14" s="26">
        <v>0</v>
      </c>
      <c r="G14" s="26">
        <f>'10-1-09'!G14+'10-15-09'!D14</f>
        <v>2540.92</v>
      </c>
      <c r="H14" s="26">
        <f>'10-1-09'!H14+'10-15-09'!E14</f>
        <v>4496.39</v>
      </c>
      <c r="I14" s="26">
        <f>'9-17-09'!I14+'10-15-09'!F14</f>
        <v>0</v>
      </c>
      <c r="J14" s="6">
        <f t="shared" si="0"/>
        <v>7037.31</v>
      </c>
      <c r="K14" s="6">
        <f t="shared" si="1"/>
        <v>23971.69</v>
      </c>
      <c r="L14" s="26">
        <f t="shared" si="2"/>
        <v>8049.776124999997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214.33</v>
      </c>
      <c r="E15" s="26">
        <v>184.08</v>
      </c>
      <c r="F15" s="26">
        <v>0</v>
      </c>
      <c r="G15" s="26">
        <f>'10-1-09'!G15+'10-15-09'!D15</f>
        <v>720.45</v>
      </c>
      <c r="H15" s="26">
        <f>'10-1-09'!H15+'10-15-09'!E15</f>
        <v>2690.95</v>
      </c>
      <c r="I15" s="26">
        <f>'9-17-09'!I15+'10-15-09'!F15</f>
        <v>0</v>
      </c>
      <c r="J15" s="6">
        <f t="shared" si="0"/>
        <v>3411.3999999999996</v>
      </c>
      <c r="K15" s="6">
        <f t="shared" si="1"/>
        <v>9880.6</v>
      </c>
      <c r="L15" s="26">
        <f t="shared" si="2"/>
        <v>2162.307500000001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2863.81</v>
      </c>
      <c r="E16" s="25">
        <f t="shared" si="3"/>
        <v>3314.64</v>
      </c>
      <c r="F16" s="25">
        <f t="shared" si="3"/>
        <v>0</v>
      </c>
      <c r="G16" s="25">
        <f t="shared" si="3"/>
        <v>13366.110000000002</v>
      </c>
      <c r="H16" s="25">
        <f t="shared" si="3"/>
        <v>28325.25</v>
      </c>
      <c r="I16" s="25">
        <f t="shared" si="3"/>
        <v>0</v>
      </c>
      <c r="J16" s="25">
        <f t="shared" si="3"/>
        <v>41691.36</v>
      </c>
      <c r="K16" s="25">
        <f t="shared" si="3"/>
        <v>129431.64000000001</v>
      </c>
      <c r="L16" s="9">
        <f t="shared" si="3"/>
        <v>35104.937999999995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164.03</v>
      </c>
      <c r="E18" s="6">
        <v>414.43</v>
      </c>
      <c r="F18" s="6">
        <v>0</v>
      </c>
      <c r="G18" s="6">
        <f>'10-1-09'!G18+'10-15-09'!D18</f>
        <v>520.93</v>
      </c>
      <c r="H18" s="6">
        <f>'10-1-09'!H18+'10-15-09'!E18</f>
        <v>4204.51</v>
      </c>
      <c r="I18" s="6">
        <f>'9-17-09'!I18+'10-15-09'!F18</f>
        <v>0</v>
      </c>
      <c r="J18" s="6">
        <f aca="true" t="shared" si="4" ref="J18:J23">SUM(G18:I18)</f>
        <v>4725.4400000000005</v>
      </c>
      <c r="K18" s="6">
        <f aca="true" t="shared" si="5" ref="K18:K23">C18-J18</f>
        <v>11165.56</v>
      </c>
      <c r="L18" s="6">
        <f aca="true" t="shared" si="6" ref="L18:L23">C18-(J18/8*26.1)</f>
        <v>474.25199999999677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102.56</v>
      </c>
      <c r="E19" s="26">
        <v>415.77</v>
      </c>
      <c r="F19" s="26">
        <v>0</v>
      </c>
      <c r="G19" s="26">
        <f>'10-1-09'!G19+'10-15-09'!D19</f>
        <v>806.7900000000002</v>
      </c>
      <c r="H19" s="26">
        <f>'10-1-09'!H19+'10-15-09'!E19</f>
        <v>2856.94</v>
      </c>
      <c r="I19" s="26">
        <f>'9-17-09'!I19+'10-15-09'!F19</f>
        <v>0</v>
      </c>
      <c r="J19" s="6">
        <f t="shared" si="4"/>
        <v>3663.7300000000005</v>
      </c>
      <c r="K19" s="6">
        <f t="shared" si="5"/>
        <v>11729.27</v>
      </c>
      <c r="L19" s="26">
        <f t="shared" si="6"/>
        <v>3440.080874999998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180.36</v>
      </c>
      <c r="E20" s="26">
        <v>143.19</v>
      </c>
      <c r="F20" s="26">
        <v>0</v>
      </c>
      <c r="G20" s="26">
        <f>'10-1-09'!G20+'10-15-09'!D20</f>
        <v>750.41</v>
      </c>
      <c r="H20" s="26">
        <f>'10-1-09'!H20+'10-15-09'!E20</f>
        <v>1108.84</v>
      </c>
      <c r="I20" s="26">
        <f>'9-17-09'!I20+'10-15-09'!F20</f>
        <v>0</v>
      </c>
      <c r="J20" s="6">
        <f t="shared" si="4"/>
        <v>1859.25</v>
      </c>
      <c r="K20" s="6">
        <f t="shared" si="5"/>
        <v>12708.75</v>
      </c>
      <c r="L20" s="26">
        <f t="shared" si="6"/>
        <v>8502.196875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36.79</v>
      </c>
      <c r="E21" s="26">
        <v>0</v>
      </c>
      <c r="F21" s="26">
        <v>0</v>
      </c>
      <c r="G21" s="26">
        <f>'10-1-09'!G21+'10-15-09'!D21</f>
        <v>120.60999999999999</v>
      </c>
      <c r="H21" s="26">
        <f>'10-1-09'!H21+'10-15-09'!E21</f>
        <v>0</v>
      </c>
      <c r="I21" s="26">
        <f>'9-17-09'!I21+'10-15-09'!F21</f>
        <v>0</v>
      </c>
      <c r="J21" s="6">
        <f t="shared" si="4"/>
        <v>120.60999999999999</v>
      </c>
      <c r="K21" s="6">
        <f t="shared" si="5"/>
        <v>5961.39</v>
      </c>
      <c r="L21" s="26">
        <f t="shared" si="6"/>
        <v>5688.509875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128.96</v>
      </c>
      <c r="E22" s="26">
        <v>0</v>
      </c>
      <c r="F22" s="26">
        <v>0</v>
      </c>
      <c r="G22" s="26">
        <f>'10-1-09'!G22+'10-15-09'!D22</f>
        <v>324.69000000000005</v>
      </c>
      <c r="H22" s="26">
        <f>'10-1-09'!H22+'10-15-09'!E22</f>
        <v>637.1700000000001</v>
      </c>
      <c r="I22" s="26">
        <f>'9-17-09'!I22+'10-15-09'!F22</f>
        <v>0</v>
      </c>
      <c r="J22" s="6">
        <f t="shared" si="4"/>
        <v>961.8600000000001</v>
      </c>
      <c r="K22" s="6">
        <f t="shared" si="5"/>
        <v>6730.139999999999</v>
      </c>
      <c r="L22" s="26">
        <f t="shared" si="6"/>
        <v>4553.93175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120.08</v>
      </c>
      <c r="E23" s="26">
        <v>0</v>
      </c>
      <c r="F23" s="26">
        <v>0</v>
      </c>
      <c r="G23" s="26">
        <f>'10-1-09'!G23+'10-15-09'!D23</f>
        <v>829.5</v>
      </c>
      <c r="H23" s="26">
        <f>'10-1-09'!H23+'10-15-09'!E23</f>
        <v>0</v>
      </c>
      <c r="I23" s="26">
        <f>'9-17-09'!I23+'10-15-09'!F23</f>
        <v>0</v>
      </c>
      <c r="J23" s="6">
        <f t="shared" si="4"/>
        <v>829.5</v>
      </c>
      <c r="K23" s="6">
        <f t="shared" si="5"/>
        <v>5705.5</v>
      </c>
      <c r="L23" s="26">
        <f t="shared" si="6"/>
        <v>3828.75625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732.7800000000001</v>
      </c>
      <c r="E24" s="9">
        <f aca="true" t="shared" si="7" ref="E24:L24">SUM(E18:E23)</f>
        <v>973.3900000000001</v>
      </c>
      <c r="F24" s="9">
        <f t="shared" si="7"/>
        <v>0</v>
      </c>
      <c r="G24" s="9">
        <f t="shared" si="7"/>
        <v>3352.9300000000003</v>
      </c>
      <c r="H24" s="9">
        <f t="shared" si="7"/>
        <v>8807.460000000001</v>
      </c>
      <c r="I24" s="9">
        <f t="shared" si="7"/>
        <v>0</v>
      </c>
      <c r="J24" s="9">
        <f t="shared" si="7"/>
        <v>12160.390000000003</v>
      </c>
      <c r="K24" s="9">
        <f t="shared" si="7"/>
        <v>54000.61</v>
      </c>
      <c r="L24" s="9">
        <f t="shared" si="7"/>
        <v>26487.727624999992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596</v>
      </c>
      <c r="F26" s="26">
        <v>0</v>
      </c>
      <c r="G26" s="26">
        <f>'10-1-09'!G26+'10-15-09'!D26</f>
        <v>0</v>
      </c>
      <c r="H26" s="26">
        <f>'10-1-09'!H26+'10-15-09'!E26</f>
        <v>3874</v>
      </c>
      <c r="I26" s="26">
        <f>'9-17-09'!I26+'10-15-09'!F26</f>
        <v>0</v>
      </c>
      <c r="J26" s="6">
        <f>SUM(G26:I26)</f>
        <v>3874</v>
      </c>
      <c r="K26" s="26">
        <f>C26-J26</f>
        <v>11302</v>
      </c>
      <c r="L26" s="26">
        <f>C26-(J26/8*26.1)</f>
        <v>2537.074999999999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105.67</v>
      </c>
      <c r="E27" s="26">
        <v>130.5</v>
      </c>
      <c r="F27" s="26">
        <v>0</v>
      </c>
      <c r="G27" s="26">
        <f>'10-1-09'!G27+'10-15-09'!D27</f>
        <v>754.51</v>
      </c>
      <c r="H27" s="26">
        <f>'10-1-09'!H27+'10-15-09'!E27</f>
        <v>594.04</v>
      </c>
      <c r="I27" s="26">
        <f>'9-17-09'!I27+'10-15-09'!F27</f>
        <v>0</v>
      </c>
      <c r="J27" s="6">
        <f>SUM(G27:I27)</f>
        <v>1348.55</v>
      </c>
      <c r="K27" s="6">
        <f>C27-J27</f>
        <v>4352.45</v>
      </c>
      <c r="L27" s="26">
        <f>C27-(J27/8*26.1)</f>
        <v>1301.3556250000001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105.67</v>
      </c>
      <c r="E28" s="9">
        <f t="shared" si="8"/>
        <v>726.5</v>
      </c>
      <c r="F28" s="9">
        <f t="shared" si="8"/>
        <v>0</v>
      </c>
      <c r="G28" s="9">
        <f t="shared" si="8"/>
        <v>754.51</v>
      </c>
      <c r="H28" s="9">
        <f t="shared" si="8"/>
        <v>4468.04</v>
      </c>
      <c r="I28" s="9">
        <f t="shared" si="8"/>
        <v>0</v>
      </c>
      <c r="J28" s="9">
        <f t="shared" si="8"/>
        <v>5222.55</v>
      </c>
      <c r="K28" s="9">
        <f t="shared" si="8"/>
        <v>15654.45</v>
      </c>
      <c r="L28" s="9">
        <f t="shared" si="8"/>
        <v>3838.430624999999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80.54</v>
      </c>
      <c r="E30" s="26">
        <v>2268</v>
      </c>
      <c r="F30" s="26">
        <v>0</v>
      </c>
      <c r="G30" s="26">
        <f>'10-1-09'!G30+'10-15-09'!D30</f>
        <v>80.54</v>
      </c>
      <c r="H30" s="26">
        <f>'10-1-09'!H30+'10-15-09'!E30</f>
        <v>17685.15</v>
      </c>
      <c r="I30" s="26">
        <f>'9-17-09'!I30+'10-15-09'!F30</f>
        <v>0</v>
      </c>
      <c r="J30" s="6">
        <f>SUM(G30:I30)</f>
        <v>17765.690000000002</v>
      </c>
      <c r="K30" s="26">
        <f>C30-J30</f>
        <v>43905.31</v>
      </c>
      <c r="L30" s="26">
        <f>C30-(J30/8*26.1)</f>
        <v>3710.43637499999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314.8</v>
      </c>
      <c r="F31" s="26">
        <v>0</v>
      </c>
      <c r="G31" s="26">
        <f>'10-1-09'!G31+'10-15-09'!D31</f>
        <v>0</v>
      </c>
      <c r="H31" s="26">
        <f>'10-1-09'!H31+'10-15-09'!E31</f>
        <v>2807.8199999999997</v>
      </c>
      <c r="I31" s="26">
        <f>'9-17-09'!I31+'10-15-09'!F31</f>
        <v>0</v>
      </c>
      <c r="J31" s="6">
        <f>SUM(G31:I31)</f>
        <v>2807.8199999999997</v>
      </c>
      <c r="K31" s="6">
        <f>C31-J31</f>
        <v>13273.18</v>
      </c>
      <c r="L31" s="26">
        <f>C31-(J31/8*26.1)</f>
        <v>6920.48725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80.54</v>
      </c>
      <c r="E32" s="9">
        <f t="shared" si="9"/>
        <v>2582.8</v>
      </c>
      <c r="F32" s="9">
        <f t="shared" si="9"/>
        <v>0</v>
      </c>
      <c r="G32" s="9">
        <f t="shared" si="9"/>
        <v>80.54</v>
      </c>
      <c r="H32" s="9">
        <f t="shared" si="9"/>
        <v>20492.97</v>
      </c>
      <c r="I32" s="9">
        <f t="shared" si="9"/>
        <v>0</v>
      </c>
      <c r="J32" s="9">
        <f t="shared" si="9"/>
        <v>20573.510000000002</v>
      </c>
      <c r="K32" s="9">
        <f t="shared" si="9"/>
        <v>57178.49</v>
      </c>
      <c r="L32" s="9">
        <f t="shared" si="9"/>
        <v>10630.92362499999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3782.8</v>
      </c>
      <c r="E33" s="14">
        <f t="shared" si="10"/>
        <v>7597.33</v>
      </c>
      <c r="F33" s="14">
        <f t="shared" si="10"/>
        <v>0</v>
      </c>
      <c r="G33" s="14">
        <f t="shared" si="10"/>
        <v>17554.09</v>
      </c>
      <c r="H33" s="14">
        <f t="shared" si="10"/>
        <v>62093.72</v>
      </c>
      <c r="I33" s="14">
        <f t="shared" si="10"/>
        <v>0</v>
      </c>
      <c r="J33" s="14">
        <f t="shared" si="10"/>
        <v>79647.81</v>
      </c>
      <c r="K33" s="14">
        <f t="shared" si="10"/>
        <v>256265.19</v>
      </c>
      <c r="L33" s="14">
        <f t="shared" si="10"/>
        <v>76062.01987499998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10-15-09</oddHeader>
    <oddFooter>&amp;CFY 2009-2010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view="pageLayout" showRuler="0" workbookViewId="0" topLeftCell="A1">
      <selection activeCell="D8" sqref="D8"/>
    </sheetView>
  </sheetViews>
  <sheetFormatPr defaultColWidth="9.140625" defaultRowHeight="15"/>
  <cols>
    <col min="1" max="1" width="23.140625" style="0" customWidth="1"/>
    <col min="2" max="4" width="12.140625" style="0" bestFit="1" customWidth="1"/>
    <col min="5" max="5" width="10.7109375" style="0" bestFit="1" customWidth="1"/>
    <col min="6" max="6" width="11.140625" style="0" bestFit="1" customWidth="1"/>
    <col min="8" max="8" width="10.140625" style="0" bestFit="1" customWidth="1"/>
    <col min="10" max="11" width="10.140625" style="0" bestFit="1" customWidth="1"/>
    <col min="12" max="12" width="13.421875" style="0" bestFit="1" customWidth="1"/>
  </cols>
  <sheetData>
    <row r="1" spans="1:12" s="24" customFormat="1" ht="11.25">
      <c r="A1" s="2"/>
      <c r="B1" s="23"/>
      <c r="C1" s="2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11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4" customFormat="1" ht="11.25">
      <c r="A3" s="39"/>
      <c r="B3" s="39"/>
      <c r="C3" s="39"/>
      <c r="D3" s="40"/>
      <c r="E3" s="40"/>
      <c r="F3" s="40"/>
      <c r="G3" s="41"/>
      <c r="H3" s="40"/>
      <c r="I3" s="40"/>
      <c r="J3" s="40"/>
      <c r="K3" s="40"/>
      <c r="L3" s="41"/>
    </row>
    <row r="4" spans="1:12" s="24" customFormat="1" ht="11.25">
      <c r="A4" s="31" t="s">
        <v>12</v>
      </c>
      <c r="B4" s="31">
        <v>55020300</v>
      </c>
      <c r="C4" s="32">
        <v>13319</v>
      </c>
      <c r="D4" s="26">
        <v>135.12</v>
      </c>
      <c r="E4" s="26">
        <v>313.84</v>
      </c>
      <c r="F4" s="26">
        <v>0</v>
      </c>
      <c r="G4" s="26">
        <f>'10-15-09'!G4+'10-29-09'!D4</f>
        <v>767.7900000000001</v>
      </c>
      <c r="H4" s="26">
        <f>'10-15-09'!H4+'10-29-09'!E4</f>
        <v>2560.57</v>
      </c>
      <c r="I4" s="26">
        <f>'10-15-09'!I4+'10-29-09'!F4</f>
        <v>0</v>
      </c>
      <c r="J4" s="26">
        <f>SUM(G4:I4)</f>
        <v>3328.36</v>
      </c>
      <c r="K4" s="26">
        <f>C4-J4</f>
        <v>9990.64</v>
      </c>
      <c r="L4" s="26">
        <f>C4-(J4/9*26.1)</f>
        <v>3666.7559999999994</v>
      </c>
    </row>
    <row r="5" spans="1:12" s="24" customFormat="1" ht="11.25">
      <c r="A5" s="7" t="s">
        <v>13</v>
      </c>
      <c r="B5" s="7">
        <v>55020400</v>
      </c>
      <c r="C5" s="8">
        <v>22049</v>
      </c>
      <c r="D5" s="26">
        <v>443.26</v>
      </c>
      <c r="E5" s="26">
        <v>245.28</v>
      </c>
      <c r="F5" s="26">
        <v>0</v>
      </c>
      <c r="G5" s="26">
        <f>'10-15-09'!G5+'10-29-09'!D5</f>
        <v>3531.42</v>
      </c>
      <c r="H5" s="26">
        <f>'10-15-09'!H5+'10-29-09'!E5</f>
        <v>2850.250000000001</v>
      </c>
      <c r="I5" s="26">
        <f>'10-15-09'!I5+'10-29-09'!F5</f>
        <v>0</v>
      </c>
      <c r="J5" s="6">
        <f aca="true" t="shared" si="0" ref="J5:J15">SUM(G5:I5)</f>
        <v>6381.670000000001</v>
      </c>
      <c r="K5" s="6">
        <f aca="true" t="shared" si="1" ref="K5:K15">C5-J5</f>
        <v>15667.329999999998</v>
      </c>
      <c r="L5" s="26">
        <f aca="true" t="shared" si="2" ref="L5:L15">C5-(J5/9*26.1)</f>
        <v>3542.1569999999956</v>
      </c>
    </row>
    <row r="6" spans="1:12" s="24" customFormat="1" ht="11.25">
      <c r="A6" s="7" t="s">
        <v>14</v>
      </c>
      <c r="B6" s="7">
        <v>55020500</v>
      </c>
      <c r="C6" s="8">
        <f>6601+3500</f>
        <v>10101</v>
      </c>
      <c r="D6" s="26">
        <v>120.86</v>
      </c>
      <c r="E6" s="26">
        <v>218.33</v>
      </c>
      <c r="F6" s="26">
        <v>0</v>
      </c>
      <c r="G6" s="26">
        <f>'10-15-09'!G6+'10-29-09'!D6</f>
        <v>744.44</v>
      </c>
      <c r="H6" s="26">
        <f>'10-15-09'!H6+'10-29-09'!E6</f>
        <v>3130.64</v>
      </c>
      <c r="I6" s="26">
        <f>'10-15-09'!I6+'10-29-09'!F6</f>
        <v>0</v>
      </c>
      <c r="J6" s="6">
        <f t="shared" si="0"/>
        <v>3875.08</v>
      </c>
      <c r="K6" s="6">
        <f t="shared" si="1"/>
        <v>6225.92</v>
      </c>
      <c r="L6" s="26">
        <f t="shared" si="2"/>
        <v>-1136.7320000000018</v>
      </c>
    </row>
    <row r="7" spans="1:12" s="24" customFormat="1" ht="11.25" customHeight="1">
      <c r="A7" s="7" t="s">
        <v>15</v>
      </c>
      <c r="B7" s="7">
        <v>55020600</v>
      </c>
      <c r="C7" s="8">
        <v>6550</v>
      </c>
      <c r="D7" s="26">
        <v>268.27</v>
      </c>
      <c r="E7" s="26">
        <v>0</v>
      </c>
      <c r="F7" s="26">
        <v>0</v>
      </c>
      <c r="G7" s="26">
        <f>'10-15-09'!G7+'10-29-09'!D7</f>
        <v>1875.2</v>
      </c>
      <c r="H7" s="26">
        <f>'10-15-09'!H7+'10-29-09'!E7</f>
        <v>135.97</v>
      </c>
      <c r="I7" s="26">
        <f>'10-15-09'!I7+'10-29-09'!F7</f>
        <v>0</v>
      </c>
      <c r="J7" s="6">
        <f t="shared" si="0"/>
        <v>2011.17</v>
      </c>
      <c r="K7" s="6">
        <f t="shared" si="1"/>
        <v>4538.83</v>
      </c>
      <c r="L7" s="26">
        <f t="shared" si="2"/>
        <v>717.607</v>
      </c>
    </row>
    <row r="8" spans="1:12" s="24" customFormat="1" ht="11.25">
      <c r="A8" s="7" t="s">
        <v>16</v>
      </c>
      <c r="B8" s="7">
        <v>55040100</v>
      </c>
      <c r="C8" s="8">
        <v>9783</v>
      </c>
      <c r="D8" s="26">
        <v>309.2</v>
      </c>
      <c r="E8" s="26">
        <v>0</v>
      </c>
      <c r="F8" s="26">
        <v>0</v>
      </c>
      <c r="G8" s="26">
        <f>'10-15-09'!G8+'10-29-09'!D8</f>
        <v>1503.36</v>
      </c>
      <c r="H8" s="26">
        <f>'10-15-09'!H8+'10-29-09'!E8</f>
        <v>0</v>
      </c>
      <c r="I8" s="26">
        <f>'10-15-09'!I8+'10-29-09'!F8</f>
        <v>0</v>
      </c>
      <c r="J8" s="6">
        <f t="shared" si="0"/>
        <v>1503.36</v>
      </c>
      <c r="K8" s="6">
        <f t="shared" si="1"/>
        <v>8279.64</v>
      </c>
      <c r="L8" s="26">
        <f t="shared" si="2"/>
        <v>5423.256</v>
      </c>
    </row>
    <row r="9" spans="1:12" s="24" customFormat="1" ht="11.25">
      <c r="A9" s="7" t="s">
        <v>17</v>
      </c>
      <c r="B9" s="7">
        <v>55040200</v>
      </c>
      <c r="C9" s="8">
        <v>8006</v>
      </c>
      <c r="D9" s="26">
        <v>223.17</v>
      </c>
      <c r="E9" s="26">
        <v>0</v>
      </c>
      <c r="F9" s="26">
        <v>0</v>
      </c>
      <c r="G9" s="26">
        <f>'10-15-09'!G9+'10-29-09'!D9</f>
        <v>1112.13</v>
      </c>
      <c r="H9" s="26">
        <f>'10-15-09'!H9+'10-29-09'!E9</f>
        <v>0</v>
      </c>
      <c r="I9" s="26">
        <f>'10-15-09'!I9+'10-29-09'!F9</f>
        <v>0</v>
      </c>
      <c r="J9" s="6">
        <f t="shared" si="0"/>
        <v>1112.13</v>
      </c>
      <c r="K9" s="6">
        <f t="shared" si="1"/>
        <v>6893.87</v>
      </c>
      <c r="L9" s="26">
        <f t="shared" si="2"/>
        <v>4780.822999999999</v>
      </c>
    </row>
    <row r="10" spans="1:12" s="24" customFormat="1" ht="11.25">
      <c r="A10" s="7" t="s">
        <v>18</v>
      </c>
      <c r="B10" s="7">
        <v>55050200</v>
      </c>
      <c r="C10" s="8">
        <v>25196</v>
      </c>
      <c r="D10" s="26">
        <v>319.64</v>
      </c>
      <c r="E10" s="26">
        <v>616.06</v>
      </c>
      <c r="F10" s="26">
        <v>0</v>
      </c>
      <c r="G10" s="26">
        <f>'10-15-09'!G10+'10-29-09'!D10</f>
        <v>1636.9700000000003</v>
      </c>
      <c r="H10" s="26">
        <f>'10-15-09'!H10+'10-29-09'!E10</f>
        <v>6606.529999999999</v>
      </c>
      <c r="I10" s="26">
        <f>'10-15-09'!I10+'10-29-09'!F10</f>
        <v>0</v>
      </c>
      <c r="J10" s="6">
        <f t="shared" si="0"/>
        <v>8243.5</v>
      </c>
      <c r="K10" s="6">
        <f t="shared" si="1"/>
        <v>16952.5</v>
      </c>
      <c r="L10" s="26">
        <f t="shared" si="2"/>
        <v>1289.8499999999985</v>
      </c>
    </row>
    <row r="11" spans="1:12" s="24" customFormat="1" ht="11.25">
      <c r="A11" s="7" t="s">
        <v>19</v>
      </c>
      <c r="B11" s="7">
        <v>55070400</v>
      </c>
      <c r="C11" s="8">
        <f>4310+3190</f>
        <v>7500</v>
      </c>
      <c r="D11" s="26">
        <v>0</v>
      </c>
      <c r="E11" s="26">
        <v>641.02</v>
      </c>
      <c r="F11" s="26">
        <v>0</v>
      </c>
      <c r="G11" s="26">
        <f>'10-15-09'!G11+'10-29-09'!D11</f>
        <v>0</v>
      </c>
      <c r="H11" s="26">
        <f>'10-15-09'!H11+'10-29-09'!E11</f>
        <v>3265.31</v>
      </c>
      <c r="I11" s="26">
        <f>'10-15-09'!I11+'10-29-09'!F11</f>
        <v>0</v>
      </c>
      <c r="J11" s="6">
        <f t="shared" si="0"/>
        <v>3265.31</v>
      </c>
      <c r="K11" s="6">
        <f t="shared" si="1"/>
        <v>4234.6900000000005</v>
      </c>
      <c r="L11" s="26">
        <f t="shared" si="2"/>
        <v>-1969.3989999999994</v>
      </c>
    </row>
    <row r="12" spans="1:12" s="24" customFormat="1" ht="11.25">
      <c r="A12" s="7" t="s">
        <v>20</v>
      </c>
      <c r="B12" s="7">
        <v>55070200</v>
      </c>
      <c r="C12" s="8">
        <v>4144</v>
      </c>
      <c r="D12" s="26">
        <v>65.72</v>
      </c>
      <c r="E12" s="26">
        <v>0</v>
      </c>
      <c r="F12" s="26">
        <v>0</v>
      </c>
      <c r="G12" s="26">
        <f>'10-15-09'!G12+'10-29-09'!D12</f>
        <v>504.15999999999997</v>
      </c>
      <c r="H12" s="26">
        <f>'10-15-09'!H12+'10-29-09'!E12</f>
        <v>694.39</v>
      </c>
      <c r="I12" s="26">
        <f>'10-15-09'!I12+'10-29-09'!F12</f>
        <v>0</v>
      </c>
      <c r="J12" s="6">
        <f t="shared" si="0"/>
        <v>1198.55</v>
      </c>
      <c r="K12" s="6">
        <f t="shared" si="1"/>
        <v>2945.45</v>
      </c>
      <c r="L12" s="26">
        <f t="shared" si="2"/>
        <v>668.2049999999999</v>
      </c>
    </row>
    <row r="13" spans="1:12" s="24" customFormat="1" ht="11.25">
      <c r="A13" s="7" t="s">
        <v>21</v>
      </c>
      <c r="B13" s="7">
        <v>55070100</v>
      </c>
      <c r="C13" s="8">
        <v>20174</v>
      </c>
      <c r="D13" s="26">
        <v>100.72</v>
      </c>
      <c r="E13" s="26">
        <v>500.51</v>
      </c>
      <c r="F13" s="26">
        <v>0</v>
      </c>
      <c r="G13" s="26">
        <f>'10-15-09'!G13+'10-29-09'!D13</f>
        <v>415.23</v>
      </c>
      <c r="H13" s="26">
        <f>'10-15-09'!H13+'10-29-09'!E13</f>
        <v>4429.29</v>
      </c>
      <c r="I13" s="26">
        <f>'10-15-09'!I13+'10-29-09'!F13</f>
        <v>0</v>
      </c>
      <c r="J13" s="6">
        <f t="shared" si="0"/>
        <v>4844.52</v>
      </c>
      <c r="K13" s="6">
        <f t="shared" si="1"/>
        <v>15329.48</v>
      </c>
      <c r="L13" s="26">
        <f t="shared" si="2"/>
        <v>6124.891999999996</v>
      </c>
    </row>
    <row r="14" spans="1:12" s="24" customFormat="1" ht="11.25">
      <c r="A14" s="7" t="s">
        <v>37</v>
      </c>
      <c r="B14" s="7">
        <v>55030200</v>
      </c>
      <c r="C14" s="8">
        <v>31009</v>
      </c>
      <c r="D14" s="26">
        <v>628.53</v>
      </c>
      <c r="E14" s="26">
        <v>585.9</v>
      </c>
      <c r="F14" s="26">
        <v>0</v>
      </c>
      <c r="G14" s="26">
        <f>'10-15-09'!G14+'10-29-09'!D14</f>
        <v>3169.45</v>
      </c>
      <c r="H14" s="26">
        <f>'10-15-09'!H14+'10-29-09'!E14</f>
        <v>5082.29</v>
      </c>
      <c r="I14" s="26">
        <f>'10-15-09'!I14+'10-29-09'!F14</f>
        <v>0</v>
      </c>
      <c r="J14" s="6">
        <f t="shared" si="0"/>
        <v>8251.74</v>
      </c>
      <c r="K14" s="6">
        <f t="shared" si="1"/>
        <v>22757.260000000002</v>
      </c>
      <c r="L14" s="26">
        <f t="shared" si="2"/>
        <v>7078.953999999998</v>
      </c>
    </row>
    <row r="15" spans="1:12" s="24" customFormat="1" ht="11.25">
      <c r="A15" s="7" t="s">
        <v>36</v>
      </c>
      <c r="B15" s="7">
        <v>55020200</v>
      </c>
      <c r="C15" s="8">
        <v>13292</v>
      </c>
      <c r="D15" s="26">
        <v>197.71</v>
      </c>
      <c r="E15" s="26">
        <v>153.4</v>
      </c>
      <c r="F15" s="26">
        <v>0</v>
      </c>
      <c r="G15" s="26">
        <f>'10-15-09'!G15+'10-29-09'!D15</f>
        <v>918.1600000000001</v>
      </c>
      <c r="H15" s="26">
        <f>'10-15-09'!H15+'10-29-09'!E15</f>
        <v>2844.35</v>
      </c>
      <c r="I15" s="26">
        <f>'10-15-09'!I15+'10-29-09'!F15</f>
        <v>0</v>
      </c>
      <c r="J15" s="6">
        <f t="shared" si="0"/>
        <v>3762.51</v>
      </c>
      <c r="K15" s="6">
        <f t="shared" si="1"/>
        <v>9529.49</v>
      </c>
      <c r="L15" s="26">
        <f t="shared" si="2"/>
        <v>2380.7209999999995</v>
      </c>
    </row>
    <row r="16" spans="1:12" s="24" customFormat="1" ht="11.25">
      <c r="A16" s="16" t="s">
        <v>22</v>
      </c>
      <c r="B16" s="20"/>
      <c r="C16" s="25">
        <f aca="true" t="shared" si="3" ref="C16:L16">SUM(C4:C15)</f>
        <v>171123</v>
      </c>
      <c r="D16" s="25">
        <f t="shared" si="3"/>
        <v>2812.2</v>
      </c>
      <c r="E16" s="25">
        <f t="shared" si="3"/>
        <v>3274.34</v>
      </c>
      <c r="F16" s="25">
        <f t="shared" si="3"/>
        <v>0</v>
      </c>
      <c r="G16" s="25">
        <f t="shared" si="3"/>
        <v>16178.310000000001</v>
      </c>
      <c r="H16" s="25">
        <f t="shared" si="3"/>
        <v>31599.59</v>
      </c>
      <c r="I16" s="25">
        <f t="shared" si="3"/>
        <v>0</v>
      </c>
      <c r="J16" s="25">
        <f t="shared" si="3"/>
        <v>47777.9</v>
      </c>
      <c r="K16" s="25">
        <f t="shared" si="3"/>
        <v>123345.10000000002</v>
      </c>
      <c r="L16" s="9">
        <f t="shared" si="3"/>
        <v>32567.08999999999</v>
      </c>
    </row>
    <row r="17" spans="1:12" s="24" customFormat="1" ht="11.25">
      <c r="A17" s="1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47"/>
    </row>
    <row r="18" spans="1:12" s="24" customFormat="1" ht="11.25">
      <c r="A18" s="10" t="s">
        <v>35</v>
      </c>
      <c r="B18" s="10">
        <v>55080100</v>
      </c>
      <c r="C18" s="11">
        <f>13891+500+1500</f>
        <v>15891</v>
      </c>
      <c r="D18" s="6">
        <v>153.35</v>
      </c>
      <c r="E18" s="6">
        <v>524.52</v>
      </c>
      <c r="F18" s="6">
        <v>0</v>
      </c>
      <c r="G18" s="6">
        <f>'10-15-09'!G18+'10-29-09'!D18</f>
        <v>674.28</v>
      </c>
      <c r="H18" s="6">
        <f>'10-15-09'!H18+'10-29-09'!E18</f>
        <v>4729.030000000001</v>
      </c>
      <c r="I18" s="6">
        <f>'10-15-09'!I18+'10-29-09'!F18</f>
        <v>0</v>
      </c>
      <c r="J18" s="6">
        <f aca="true" t="shared" si="4" ref="J18:J23">SUM(G18:I18)</f>
        <v>5403.31</v>
      </c>
      <c r="K18" s="6">
        <f aca="true" t="shared" si="5" ref="K18:K23">C18-J18</f>
        <v>10487.689999999999</v>
      </c>
      <c r="L18" s="6">
        <f aca="true" t="shared" si="6" ref="L18:L23">C18-(J18/9*26.1)</f>
        <v>221.4009999999962</v>
      </c>
    </row>
    <row r="19" spans="1:12" s="24" customFormat="1" ht="11.25">
      <c r="A19" s="10" t="s">
        <v>34</v>
      </c>
      <c r="B19" s="10">
        <v>55160100</v>
      </c>
      <c r="C19" s="11">
        <f>15893-500</f>
        <v>15393</v>
      </c>
      <c r="D19" s="26">
        <v>103.2</v>
      </c>
      <c r="E19" s="26">
        <v>336.59</v>
      </c>
      <c r="F19" s="26">
        <v>0</v>
      </c>
      <c r="G19" s="26">
        <f>'10-15-09'!G19+'10-29-09'!D19</f>
        <v>909.9900000000002</v>
      </c>
      <c r="H19" s="26">
        <f>'10-15-09'!H19+'10-29-09'!E19</f>
        <v>3193.53</v>
      </c>
      <c r="I19" s="26">
        <f>'10-15-09'!I19+'10-29-09'!F19</f>
        <v>0</v>
      </c>
      <c r="J19" s="6">
        <f t="shared" si="4"/>
        <v>4103.52</v>
      </c>
      <c r="K19" s="6">
        <f t="shared" si="5"/>
        <v>11289.48</v>
      </c>
      <c r="L19" s="26">
        <f t="shared" si="6"/>
        <v>3492.7919999999976</v>
      </c>
    </row>
    <row r="20" spans="1:12" s="24" customFormat="1" ht="11.25">
      <c r="A20" s="7" t="s">
        <v>33</v>
      </c>
      <c r="B20" s="7">
        <v>55030100</v>
      </c>
      <c r="C20" s="8">
        <f>14568</f>
        <v>14568</v>
      </c>
      <c r="D20" s="26">
        <v>195.31</v>
      </c>
      <c r="E20" s="26">
        <v>134.12</v>
      </c>
      <c r="F20" s="26">
        <v>0</v>
      </c>
      <c r="G20" s="26">
        <f>'10-15-09'!G20+'10-29-09'!D20</f>
        <v>945.72</v>
      </c>
      <c r="H20" s="26">
        <f>'10-15-09'!H20+'10-29-09'!E20</f>
        <v>1242.96</v>
      </c>
      <c r="I20" s="26">
        <f>'10-15-09'!I20+'10-29-09'!F20</f>
        <v>0</v>
      </c>
      <c r="J20" s="6">
        <f t="shared" si="4"/>
        <v>2188.6800000000003</v>
      </c>
      <c r="K20" s="6">
        <f t="shared" si="5"/>
        <v>12379.32</v>
      </c>
      <c r="L20" s="26">
        <f t="shared" si="6"/>
        <v>8220.827999999998</v>
      </c>
    </row>
    <row r="21" spans="1:12" s="24" customFormat="1" ht="11.25">
      <c r="A21" s="7" t="s">
        <v>23</v>
      </c>
      <c r="B21" s="7">
        <v>55100100</v>
      </c>
      <c r="C21" s="8">
        <v>6082</v>
      </c>
      <c r="D21" s="26">
        <v>18.63</v>
      </c>
      <c r="E21" s="26">
        <v>0</v>
      </c>
      <c r="F21" s="26">
        <v>0</v>
      </c>
      <c r="G21" s="26">
        <f>'10-15-09'!G21+'10-29-09'!D21</f>
        <v>139.23999999999998</v>
      </c>
      <c r="H21" s="26">
        <f>'10-15-09'!H21+'10-29-09'!E21</f>
        <v>0</v>
      </c>
      <c r="I21" s="26">
        <f>'10-15-09'!I21+'10-29-09'!F21</f>
        <v>0</v>
      </c>
      <c r="J21" s="6">
        <f t="shared" si="4"/>
        <v>139.23999999999998</v>
      </c>
      <c r="K21" s="6">
        <f t="shared" si="5"/>
        <v>5942.76</v>
      </c>
      <c r="L21" s="26">
        <f t="shared" si="6"/>
        <v>5678.204</v>
      </c>
    </row>
    <row r="22" spans="1:12" s="24" customFormat="1" ht="11.25">
      <c r="A22" s="7" t="s">
        <v>24</v>
      </c>
      <c r="B22" s="7">
        <v>55090100</v>
      </c>
      <c r="C22" s="8">
        <v>7692</v>
      </c>
      <c r="D22" s="26">
        <v>249.2</v>
      </c>
      <c r="E22" s="26">
        <v>0</v>
      </c>
      <c r="F22" s="26">
        <v>0</v>
      </c>
      <c r="G22" s="26">
        <f>'10-15-09'!G22+'10-29-09'!D22</f>
        <v>573.8900000000001</v>
      </c>
      <c r="H22" s="26">
        <f>'10-15-09'!H22+'10-29-09'!E22</f>
        <v>637.1700000000001</v>
      </c>
      <c r="I22" s="26">
        <f>'10-15-09'!I22+'10-29-09'!F22</f>
        <v>0</v>
      </c>
      <c r="J22" s="6">
        <f t="shared" si="4"/>
        <v>1211.0600000000002</v>
      </c>
      <c r="K22" s="6">
        <f t="shared" si="5"/>
        <v>6480.94</v>
      </c>
      <c r="L22" s="26">
        <f t="shared" si="6"/>
        <v>4179.9259999999995</v>
      </c>
    </row>
    <row r="23" spans="1:12" s="24" customFormat="1" ht="11.25">
      <c r="A23" s="7" t="s">
        <v>25</v>
      </c>
      <c r="B23" s="19">
        <v>55110100</v>
      </c>
      <c r="C23" s="8">
        <f>8035-1500</f>
        <v>6535</v>
      </c>
      <c r="D23" s="26">
        <v>100.15</v>
      </c>
      <c r="E23" s="26">
        <v>0</v>
      </c>
      <c r="F23" s="26">
        <v>0</v>
      </c>
      <c r="G23" s="26">
        <f>'10-15-09'!G23+'10-29-09'!D23</f>
        <v>929.65</v>
      </c>
      <c r="H23" s="26">
        <f>'10-15-09'!H23+'10-29-09'!E23</f>
        <v>0</v>
      </c>
      <c r="I23" s="26">
        <f>'10-15-09'!I23+'10-29-09'!F23</f>
        <v>0</v>
      </c>
      <c r="J23" s="6">
        <f t="shared" si="4"/>
        <v>929.65</v>
      </c>
      <c r="K23" s="6">
        <f t="shared" si="5"/>
        <v>5605.35</v>
      </c>
      <c r="L23" s="26">
        <f t="shared" si="6"/>
        <v>3839.015</v>
      </c>
    </row>
    <row r="24" spans="1:12" s="24" customFormat="1" ht="11.25">
      <c r="A24" s="16" t="s">
        <v>26</v>
      </c>
      <c r="B24" s="20"/>
      <c r="C24" s="9">
        <f>SUM(C18:C23)</f>
        <v>66161</v>
      </c>
      <c r="D24" s="9">
        <f>SUM(D18:D23)</f>
        <v>819.84</v>
      </c>
      <c r="E24" s="9">
        <f aca="true" t="shared" si="7" ref="E24:L24">SUM(E18:E23)</f>
        <v>995.2299999999999</v>
      </c>
      <c r="F24" s="9">
        <f t="shared" si="7"/>
        <v>0</v>
      </c>
      <c r="G24" s="9">
        <f t="shared" si="7"/>
        <v>4172.7699999999995</v>
      </c>
      <c r="H24" s="9">
        <f t="shared" si="7"/>
        <v>9802.69</v>
      </c>
      <c r="I24" s="9">
        <f t="shared" si="7"/>
        <v>0</v>
      </c>
      <c r="J24" s="9">
        <f t="shared" si="7"/>
        <v>13975.460000000001</v>
      </c>
      <c r="K24" s="9">
        <f t="shared" si="7"/>
        <v>52185.54</v>
      </c>
      <c r="L24" s="9">
        <f t="shared" si="7"/>
        <v>25632.16599999999</v>
      </c>
    </row>
    <row r="25" spans="1:12" s="24" customFormat="1" ht="11.25">
      <c r="A25" s="1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0"/>
    </row>
    <row r="26" spans="1:12" s="24" customFormat="1" ht="11.25">
      <c r="A26" s="7" t="s">
        <v>27</v>
      </c>
      <c r="B26" s="31">
        <v>55030400</v>
      </c>
      <c r="C26" s="32">
        <v>15176</v>
      </c>
      <c r="D26" s="26">
        <v>0</v>
      </c>
      <c r="E26" s="26">
        <v>476.8</v>
      </c>
      <c r="F26" s="26">
        <v>0</v>
      </c>
      <c r="G26" s="26">
        <f>'10-15-09'!G26+'10-29-09'!D26</f>
        <v>0</v>
      </c>
      <c r="H26" s="26">
        <f>'10-15-09'!H26+'10-29-09'!E26</f>
        <v>4350.8</v>
      </c>
      <c r="I26" s="26">
        <f>'10-15-09'!I26+'10-29-09'!F26</f>
        <v>0</v>
      </c>
      <c r="J26" s="6">
        <f>SUM(G26:I26)</f>
        <v>4350.8</v>
      </c>
      <c r="K26" s="26">
        <f>C26-J26</f>
        <v>10825.2</v>
      </c>
      <c r="L26" s="26">
        <f>C26-(J26/9*26.1)</f>
        <v>2558.6800000000003</v>
      </c>
    </row>
    <row r="27" spans="1:12" s="24" customFormat="1" ht="11.25">
      <c r="A27" s="7" t="s">
        <v>28</v>
      </c>
      <c r="B27" s="7">
        <v>55010100</v>
      </c>
      <c r="C27" s="8">
        <v>5701</v>
      </c>
      <c r="D27" s="26">
        <v>85.69</v>
      </c>
      <c r="E27" s="26">
        <v>123.25</v>
      </c>
      <c r="F27" s="26">
        <v>0</v>
      </c>
      <c r="G27" s="26">
        <f>'10-15-09'!G27+'10-29-09'!D27</f>
        <v>840.2</v>
      </c>
      <c r="H27" s="26">
        <f>'10-15-09'!H27+'10-29-09'!E27</f>
        <v>717.29</v>
      </c>
      <c r="I27" s="26">
        <f>'10-15-09'!I27+'10-29-09'!F27</f>
        <v>0</v>
      </c>
      <c r="J27" s="6">
        <f>SUM(G27:I27)</f>
        <v>1557.49</v>
      </c>
      <c r="K27" s="6">
        <f>C27-J27</f>
        <v>4143.51</v>
      </c>
      <c r="L27" s="26">
        <f>C27-(J27/9*26.1)</f>
        <v>1184.2789999999995</v>
      </c>
    </row>
    <row r="28" spans="1:12" s="24" customFormat="1" ht="11.25">
      <c r="A28" s="16" t="s">
        <v>29</v>
      </c>
      <c r="B28" s="20"/>
      <c r="C28" s="9">
        <f>SUM(C26:C27)</f>
        <v>20877</v>
      </c>
      <c r="D28" s="9">
        <f aca="true" t="shared" si="8" ref="D28:L28">SUM(D26:D27)</f>
        <v>85.69</v>
      </c>
      <c r="E28" s="9">
        <f t="shared" si="8"/>
        <v>600.05</v>
      </c>
      <c r="F28" s="9">
        <f t="shared" si="8"/>
        <v>0</v>
      </c>
      <c r="G28" s="9">
        <f t="shared" si="8"/>
        <v>840.2</v>
      </c>
      <c r="H28" s="9">
        <f t="shared" si="8"/>
        <v>5068.09</v>
      </c>
      <c r="I28" s="9">
        <f t="shared" si="8"/>
        <v>0</v>
      </c>
      <c r="J28" s="9">
        <f t="shared" si="8"/>
        <v>5908.29</v>
      </c>
      <c r="K28" s="9">
        <f t="shared" si="8"/>
        <v>14968.710000000001</v>
      </c>
      <c r="L28" s="9">
        <f t="shared" si="8"/>
        <v>3742.959</v>
      </c>
    </row>
    <row r="29" spans="1:12" s="24" customFormat="1" ht="11.25">
      <c r="A29" s="16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38"/>
    </row>
    <row r="30" spans="1:12" s="24" customFormat="1" ht="11.25">
      <c r="A30" s="15" t="s">
        <v>30</v>
      </c>
      <c r="B30" s="36">
        <v>55170100</v>
      </c>
      <c r="C30" s="37">
        <v>61671</v>
      </c>
      <c r="D30" s="26">
        <v>87.05</v>
      </c>
      <c r="E30" s="26">
        <v>1627.78</v>
      </c>
      <c r="F30" s="26">
        <v>0</v>
      </c>
      <c r="G30" s="26">
        <f>'10-15-09'!G30+'10-29-09'!D30</f>
        <v>167.59</v>
      </c>
      <c r="H30" s="26">
        <f>'10-15-09'!H30+'10-29-09'!E30</f>
        <v>19312.93</v>
      </c>
      <c r="I30" s="26">
        <f>'10-15-09'!I30+'10-29-09'!F30</f>
        <v>0</v>
      </c>
      <c r="J30" s="6">
        <f>SUM(G30:I30)</f>
        <v>19480.52</v>
      </c>
      <c r="K30" s="26">
        <f>C30-J30</f>
        <v>42190.479999999996</v>
      </c>
      <c r="L30" s="26">
        <f>C30-(J30/9*26.1)</f>
        <v>5177.491999999991</v>
      </c>
    </row>
    <row r="31" spans="1:12" s="24" customFormat="1" ht="11.25">
      <c r="A31" s="15" t="s">
        <v>31</v>
      </c>
      <c r="B31" s="22">
        <v>55171200</v>
      </c>
      <c r="C31" s="17">
        <v>16081</v>
      </c>
      <c r="D31" s="26">
        <v>0</v>
      </c>
      <c r="E31" s="26">
        <v>575.32</v>
      </c>
      <c r="F31" s="26">
        <v>0</v>
      </c>
      <c r="G31" s="26">
        <f>'10-15-09'!G31+'10-29-09'!D31</f>
        <v>0</v>
      </c>
      <c r="H31" s="26">
        <f>'10-15-09'!H31+'10-29-09'!E31</f>
        <v>3383.14</v>
      </c>
      <c r="I31" s="26">
        <f>'10-15-09'!I31+'10-29-09'!F31</f>
        <v>0</v>
      </c>
      <c r="J31" s="6">
        <f>SUM(G31:I31)</f>
        <v>3383.14</v>
      </c>
      <c r="K31" s="6">
        <f>C31-J31</f>
        <v>12697.86</v>
      </c>
      <c r="L31" s="26">
        <f>C31-(J31/9*26.1)</f>
        <v>6269.894</v>
      </c>
    </row>
    <row r="32" spans="1:12" s="24" customFormat="1" ht="11.25">
      <c r="A32" s="21" t="s">
        <v>32</v>
      </c>
      <c r="B32" s="20"/>
      <c r="C32" s="9">
        <f>SUM(C30:C31)</f>
        <v>77752</v>
      </c>
      <c r="D32" s="9">
        <f aca="true" t="shared" si="9" ref="D32:L32">SUM(D30:D31)</f>
        <v>87.05</v>
      </c>
      <c r="E32" s="9">
        <f t="shared" si="9"/>
        <v>2203.1</v>
      </c>
      <c r="F32" s="9">
        <f t="shared" si="9"/>
        <v>0</v>
      </c>
      <c r="G32" s="9">
        <f t="shared" si="9"/>
        <v>167.59</v>
      </c>
      <c r="H32" s="9">
        <f t="shared" si="9"/>
        <v>22696.07</v>
      </c>
      <c r="I32" s="9">
        <f t="shared" si="9"/>
        <v>0</v>
      </c>
      <c r="J32" s="9">
        <f t="shared" si="9"/>
        <v>22863.66</v>
      </c>
      <c r="K32" s="9">
        <f t="shared" si="9"/>
        <v>54888.34</v>
      </c>
      <c r="L32" s="9">
        <f t="shared" si="9"/>
        <v>11447.385999999991</v>
      </c>
    </row>
    <row r="33" spans="1:12" s="24" customFormat="1" ht="11.25">
      <c r="A33" s="23"/>
      <c r="B33" s="23"/>
      <c r="C33" s="14">
        <f aca="true" t="shared" si="10" ref="C33:L33">C16+C24+C28+C32</f>
        <v>335913</v>
      </c>
      <c r="D33" s="14">
        <f t="shared" si="10"/>
        <v>3804.78</v>
      </c>
      <c r="E33" s="14">
        <f t="shared" si="10"/>
        <v>7072.719999999999</v>
      </c>
      <c r="F33" s="14">
        <f t="shared" si="10"/>
        <v>0</v>
      </c>
      <c r="G33" s="14">
        <f t="shared" si="10"/>
        <v>21358.870000000003</v>
      </c>
      <c r="H33" s="14">
        <f t="shared" si="10"/>
        <v>69166.44</v>
      </c>
      <c r="I33" s="14">
        <f t="shared" si="10"/>
        <v>0</v>
      </c>
      <c r="J33" s="14">
        <f t="shared" si="10"/>
        <v>90525.31</v>
      </c>
      <c r="K33" s="14">
        <f t="shared" si="10"/>
        <v>245387.69</v>
      </c>
      <c r="L33" s="14">
        <f t="shared" si="10"/>
        <v>73389.60099999997</v>
      </c>
    </row>
    <row r="34" s="24" customFormat="1" ht="11.25"/>
    <row r="35" spans="1:12" s="24" customFormat="1" ht="11.25">
      <c r="A35" s="51" t="s">
        <v>38</v>
      </c>
      <c r="B35" s="23"/>
      <c r="C35" s="12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4" customFormat="1" ht="11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24" customFormat="1" ht="11.2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3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</row>
    <row r="39" spans="1:12" ht="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">
      <c r="A41" s="3"/>
    </row>
    <row r="42" ht="15">
      <c r="A42" s="3"/>
    </row>
    <row r="43" ht="15">
      <c r="A43" s="3"/>
    </row>
    <row r="44" ht="15">
      <c r="A4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headerFooter>
    <oddHeader>&amp;CBiweekly OPS Report
10-29-09</oddHeader>
    <oddFooter>&amp;CFY 2009-2010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jenelle</dc:creator>
  <cp:keywords/>
  <dc:description/>
  <cp:lastModifiedBy>mcleanc</cp:lastModifiedBy>
  <cp:lastPrinted>2010-07-22T14:41:13Z</cp:lastPrinted>
  <dcterms:created xsi:type="dcterms:W3CDTF">2009-06-18T15:25:43Z</dcterms:created>
  <dcterms:modified xsi:type="dcterms:W3CDTF">2010-08-02T13:05:04Z</dcterms:modified>
  <cp:category/>
  <cp:version/>
  <cp:contentType/>
  <cp:contentStatus/>
</cp:coreProperties>
</file>