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bookViews>
    <workbookView xWindow="0" yWindow="0" windowWidth="28800" windowHeight="12300" firstSheet="16" activeTab="26"/>
  </bookViews>
  <sheets>
    <sheet name="7-11-19" sheetId="30" r:id="rId1"/>
    <sheet name="7-25-19" sheetId="31" r:id="rId2"/>
    <sheet name="08-08-19" sheetId="32" r:id="rId3"/>
    <sheet name="08-22-19" sheetId="34" r:id="rId4"/>
    <sheet name="09-05-19" sheetId="35" r:id="rId5"/>
    <sheet name="09-19-19" sheetId="36" r:id="rId6"/>
    <sheet name="10-03-19" sheetId="38" r:id="rId7"/>
    <sheet name="10-17-19" sheetId="39" r:id="rId8"/>
    <sheet name="10-31-19" sheetId="40" r:id="rId9"/>
    <sheet name="11-14-19" sheetId="41" r:id="rId10"/>
    <sheet name="11-28-19" sheetId="42" r:id="rId11"/>
    <sheet name="12-12-19" sheetId="43" r:id="rId12"/>
    <sheet name="12-26-19" sheetId="44" r:id="rId13"/>
    <sheet name="01-09-20" sheetId="46" r:id="rId14"/>
    <sheet name="01-23-20" sheetId="47" r:id="rId15"/>
    <sheet name="02-06-20" sheetId="49" r:id="rId16"/>
    <sheet name="02-20-20" sheetId="50" r:id="rId17"/>
    <sheet name="03-05-20" sheetId="51" r:id="rId18"/>
    <sheet name="03-19-20" sheetId="52" r:id="rId19"/>
    <sheet name="04-02-20" sheetId="53" r:id="rId20"/>
    <sheet name="04-16-20" sheetId="54" r:id="rId21"/>
    <sheet name="04-30-20" sheetId="55" r:id="rId22"/>
    <sheet name="05-14-20" sheetId="56" r:id="rId23"/>
    <sheet name="05-28-20" sheetId="57" r:id="rId24"/>
    <sheet name="06-11-20" sheetId="58" r:id="rId25"/>
    <sheet name="06-25-20" sheetId="59" r:id="rId26"/>
    <sheet name="06-30-20 FINAL" sheetId="60" r:id="rId27"/>
  </sheets>
  <definedNames>
    <definedName name="_xlnm.Print_Area" localSheetId="13">'01-09-20'!$A$1:$L$48</definedName>
    <definedName name="_xlnm.Print_Area" localSheetId="14">'01-23-20'!$A$1:$L$49</definedName>
    <definedName name="_xlnm.Print_Area" localSheetId="15">'02-06-20'!$A$1:$L$49</definedName>
    <definedName name="_xlnm.Print_Area" localSheetId="16">'02-20-20'!$A$1:$L$50</definedName>
    <definedName name="_xlnm.Print_Area" localSheetId="17">'03-05-20'!$A$1:$L$50</definedName>
    <definedName name="_xlnm.Print_Area" localSheetId="18">'03-19-20'!$A$1:$L$50</definedName>
    <definedName name="_xlnm.Print_Area" localSheetId="19">'04-02-20'!$A$1:$L$50</definedName>
    <definedName name="_xlnm.Print_Area" localSheetId="20">'04-16-20'!$A$1:$L$50</definedName>
    <definedName name="_xlnm.Print_Area" localSheetId="21">'04-30-20'!$A$1:$L$50</definedName>
    <definedName name="_xlnm.Print_Area" localSheetId="22">'05-14-20'!$A$1:$L$50</definedName>
    <definedName name="_xlnm.Print_Area" localSheetId="23">'05-28-20'!$A$1:$L$50</definedName>
    <definedName name="_xlnm.Print_Area" localSheetId="24">'06-11-20'!$A$1:$L$50</definedName>
    <definedName name="_xlnm.Print_Area" localSheetId="25">'06-25-20'!$A$1:$L$50</definedName>
    <definedName name="_xlnm.Print_Area" localSheetId="26">'06-30-20 FINAL'!$A$1:$L$50</definedName>
    <definedName name="_xlnm.Print_Area" localSheetId="2">'08-08-19'!$A$1:$L$46</definedName>
    <definedName name="_xlnm.Print_Area" localSheetId="3">'08-22-19'!$A$1:$L$47</definedName>
    <definedName name="_xlnm.Print_Area" localSheetId="4">'09-05-19'!$A$1:$L$48</definedName>
    <definedName name="_xlnm.Print_Area" localSheetId="5">'09-19-19'!$A$1:$L$48</definedName>
    <definedName name="_xlnm.Print_Area" localSheetId="6">'10-03-19'!$A$1:$L$48</definedName>
    <definedName name="_xlnm.Print_Area" localSheetId="7">'10-17-19'!$A$1:$L$48</definedName>
    <definedName name="_xlnm.Print_Area" localSheetId="8">'10-31-19'!$A$1:$L$48</definedName>
    <definedName name="_xlnm.Print_Area" localSheetId="9">'11-14-19'!$A$1:$L$48</definedName>
    <definedName name="_xlnm.Print_Area" localSheetId="10">'11-28-19'!$A$1:$L$48</definedName>
    <definedName name="_xlnm.Print_Area" localSheetId="11">'12-12-19'!$A$1:$L$48</definedName>
    <definedName name="_xlnm.Print_Area" localSheetId="12">'12-26-19'!$A$1:$L$48</definedName>
    <definedName name="_xlnm.Print_Area" localSheetId="1">'7-25-19'!$A$1:$L$45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60" l="1"/>
  <c r="K41" i="60" l="1"/>
  <c r="L33" i="60" l="1"/>
  <c r="I49" i="60"/>
  <c r="I50" i="60" s="1"/>
  <c r="H49" i="60"/>
  <c r="I45" i="60"/>
  <c r="I46" i="60" s="1"/>
  <c r="H45" i="60"/>
  <c r="H46" i="60" s="1"/>
  <c r="I41" i="60"/>
  <c r="H41" i="60"/>
  <c r="I40" i="60"/>
  <c r="H40" i="60"/>
  <c r="I39" i="60"/>
  <c r="H39" i="60"/>
  <c r="I38" i="60"/>
  <c r="H38" i="60"/>
  <c r="I37" i="60"/>
  <c r="H37" i="60"/>
  <c r="J37" i="60" s="1"/>
  <c r="L37" i="60" s="1"/>
  <c r="I36" i="60"/>
  <c r="H36" i="60"/>
  <c r="I35" i="60"/>
  <c r="H35" i="60"/>
  <c r="J35" i="60" s="1"/>
  <c r="L35" i="60" s="1"/>
  <c r="I34" i="60"/>
  <c r="H34" i="60"/>
  <c r="I33" i="60"/>
  <c r="H33" i="60"/>
  <c r="J33" i="60" s="1"/>
  <c r="I32" i="60"/>
  <c r="H32" i="60"/>
  <c r="I25" i="60"/>
  <c r="H25" i="60"/>
  <c r="I24" i="60"/>
  <c r="H24" i="60"/>
  <c r="I23" i="60"/>
  <c r="H23" i="60"/>
  <c r="I18" i="60"/>
  <c r="H18" i="60"/>
  <c r="I17" i="60"/>
  <c r="H17" i="60"/>
  <c r="I16" i="60"/>
  <c r="H16" i="60"/>
  <c r="I12" i="60"/>
  <c r="H12" i="60"/>
  <c r="I11" i="60"/>
  <c r="H11" i="60"/>
  <c r="I10" i="60"/>
  <c r="H10" i="60"/>
  <c r="J10" i="60" s="1"/>
  <c r="L10" i="60" s="1"/>
  <c r="I9" i="60"/>
  <c r="H9" i="60"/>
  <c r="I8" i="60"/>
  <c r="H8" i="60"/>
  <c r="I7" i="60"/>
  <c r="H7" i="60"/>
  <c r="I6" i="60"/>
  <c r="H6" i="60"/>
  <c r="I5" i="60"/>
  <c r="H5" i="60"/>
  <c r="I4" i="60"/>
  <c r="H4" i="60"/>
  <c r="I3" i="60"/>
  <c r="H3" i="60"/>
  <c r="G50" i="60"/>
  <c r="F50" i="60"/>
  <c r="E50" i="60"/>
  <c r="D50" i="60"/>
  <c r="C49" i="60"/>
  <c r="C50" i="60" s="1"/>
  <c r="G46" i="60"/>
  <c r="F46" i="60"/>
  <c r="E46" i="60"/>
  <c r="D46" i="60"/>
  <c r="C45" i="60"/>
  <c r="C46" i="60" s="1"/>
  <c r="G42" i="60"/>
  <c r="F42" i="60"/>
  <c r="E42" i="60"/>
  <c r="D42" i="60"/>
  <c r="C42" i="60"/>
  <c r="C39" i="60"/>
  <c r="C38" i="60"/>
  <c r="C36" i="60"/>
  <c r="C35" i="60"/>
  <c r="G26" i="60"/>
  <c r="F26" i="60"/>
  <c r="E26" i="60"/>
  <c r="D26" i="60"/>
  <c r="C23" i="60"/>
  <c r="J22" i="60"/>
  <c r="I22" i="60"/>
  <c r="H22" i="60"/>
  <c r="G19" i="60"/>
  <c r="F19" i="60"/>
  <c r="E19" i="60"/>
  <c r="D19" i="60"/>
  <c r="C19" i="60"/>
  <c r="G13" i="60"/>
  <c r="F13" i="60"/>
  <c r="E13" i="60"/>
  <c r="D13" i="60"/>
  <c r="C10" i="60"/>
  <c r="C7" i="60"/>
  <c r="J6" i="60"/>
  <c r="L6" i="60" s="1"/>
  <c r="C6" i="60"/>
  <c r="C3" i="60"/>
  <c r="C13" i="60" s="1"/>
  <c r="J39" i="60" l="1"/>
  <c r="K39" i="60" s="1"/>
  <c r="J40" i="60"/>
  <c r="L40" i="60" s="1"/>
  <c r="L39" i="60"/>
  <c r="J17" i="60"/>
  <c r="L17" i="60" s="1"/>
  <c r="J7" i="60"/>
  <c r="L7" i="60" s="1"/>
  <c r="J4" i="60"/>
  <c r="L4" i="60" s="1"/>
  <c r="J3" i="60"/>
  <c r="L3" i="60" s="1"/>
  <c r="F29" i="60"/>
  <c r="J23" i="60"/>
  <c r="L23" i="60" s="1"/>
  <c r="J49" i="60"/>
  <c r="L49" i="60" s="1"/>
  <c r="L50" i="60" s="1"/>
  <c r="J41" i="60"/>
  <c r="L41" i="60" s="1"/>
  <c r="J18" i="60"/>
  <c r="L18" i="60" s="1"/>
  <c r="G29" i="60"/>
  <c r="E29" i="60"/>
  <c r="J34" i="60"/>
  <c r="L34" i="60" s="1"/>
  <c r="J36" i="60"/>
  <c r="L36" i="60" s="1"/>
  <c r="J11" i="60"/>
  <c r="L11" i="60" s="1"/>
  <c r="J9" i="60"/>
  <c r="L9" i="60" s="1"/>
  <c r="J5" i="60"/>
  <c r="L5" i="60" s="1"/>
  <c r="J8" i="60"/>
  <c r="L8" i="60" s="1"/>
  <c r="H42" i="60"/>
  <c r="J38" i="60"/>
  <c r="I42" i="60"/>
  <c r="I26" i="60"/>
  <c r="H26" i="60"/>
  <c r="D29" i="60"/>
  <c r="J25" i="60"/>
  <c r="L25" i="60" s="1"/>
  <c r="H19" i="60"/>
  <c r="I19" i="60"/>
  <c r="I13" i="60"/>
  <c r="K10" i="60"/>
  <c r="J12" i="60"/>
  <c r="L12" i="60" s="1"/>
  <c r="K3" i="60"/>
  <c r="K33" i="60"/>
  <c r="K37" i="60"/>
  <c r="K8" i="60"/>
  <c r="K49" i="60"/>
  <c r="K50" i="60" s="1"/>
  <c r="K11" i="60"/>
  <c r="H13" i="60"/>
  <c r="K18" i="60"/>
  <c r="K35" i="60"/>
  <c r="K36" i="60"/>
  <c r="J45" i="60"/>
  <c r="H50" i="60"/>
  <c r="J16" i="60"/>
  <c r="L16" i="60" s="1"/>
  <c r="J24" i="60"/>
  <c r="L24" i="60" s="1"/>
  <c r="J32" i="60"/>
  <c r="L32" i="60" s="1"/>
  <c r="K6" i="60"/>
  <c r="K7" i="60"/>
  <c r="K22" i="60"/>
  <c r="C26" i="60"/>
  <c r="C29" i="60" s="1"/>
  <c r="L22" i="60"/>
  <c r="L33" i="59"/>
  <c r="L12" i="59"/>
  <c r="I49" i="59"/>
  <c r="I50" i="59" s="1"/>
  <c r="H49" i="59"/>
  <c r="I45" i="59"/>
  <c r="I46" i="59" s="1"/>
  <c r="H45" i="59"/>
  <c r="I41" i="59"/>
  <c r="H41" i="59"/>
  <c r="I40" i="59"/>
  <c r="H40" i="59"/>
  <c r="I39" i="59"/>
  <c r="H39" i="59"/>
  <c r="I38" i="59"/>
  <c r="H38" i="59"/>
  <c r="I37" i="59"/>
  <c r="H37" i="59"/>
  <c r="I36" i="59"/>
  <c r="H36" i="59"/>
  <c r="I35" i="59"/>
  <c r="H35" i="59"/>
  <c r="J35" i="59" s="1"/>
  <c r="K35" i="59" s="1"/>
  <c r="I34" i="59"/>
  <c r="H34" i="59"/>
  <c r="I33" i="59"/>
  <c r="H33" i="59"/>
  <c r="I32" i="59"/>
  <c r="H32" i="59"/>
  <c r="I25" i="59"/>
  <c r="H25" i="59"/>
  <c r="I24" i="59"/>
  <c r="J24" i="59" s="1"/>
  <c r="L24" i="59" s="1"/>
  <c r="H24" i="59"/>
  <c r="I23" i="59"/>
  <c r="H23" i="59"/>
  <c r="I18" i="59"/>
  <c r="H18" i="59"/>
  <c r="I17" i="59"/>
  <c r="H17" i="59"/>
  <c r="I16" i="59"/>
  <c r="H16" i="59"/>
  <c r="I12" i="59"/>
  <c r="H12" i="59"/>
  <c r="I11" i="59"/>
  <c r="H11" i="59"/>
  <c r="I10" i="59"/>
  <c r="H10" i="59"/>
  <c r="J10" i="59" s="1"/>
  <c r="L10" i="59" s="1"/>
  <c r="I9" i="59"/>
  <c r="H9" i="59"/>
  <c r="I7" i="59"/>
  <c r="H7" i="59"/>
  <c r="I6" i="59"/>
  <c r="H6" i="59"/>
  <c r="I4" i="59"/>
  <c r="H4" i="59"/>
  <c r="I3" i="59"/>
  <c r="H3" i="59"/>
  <c r="J3" i="59" s="1"/>
  <c r="L3" i="59" s="1"/>
  <c r="G50" i="59"/>
  <c r="F50" i="59"/>
  <c r="E50" i="59"/>
  <c r="D50" i="59"/>
  <c r="C49" i="59"/>
  <c r="C50" i="59" s="1"/>
  <c r="G46" i="59"/>
  <c r="F46" i="59"/>
  <c r="E46" i="59"/>
  <c r="D46" i="59"/>
  <c r="C46" i="59"/>
  <c r="C45" i="59"/>
  <c r="G42" i="59"/>
  <c r="F42" i="59"/>
  <c r="E42" i="59"/>
  <c r="D42" i="59"/>
  <c r="C39" i="59"/>
  <c r="C38" i="59"/>
  <c r="C36" i="59"/>
  <c r="C35" i="59"/>
  <c r="J33" i="59"/>
  <c r="G26" i="59"/>
  <c r="F26" i="59"/>
  <c r="E26" i="59"/>
  <c r="D26" i="59"/>
  <c r="C26" i="59"/>
  <c r="C23" i="59"/>
  <c r="I22" i="59"/>
  <c r="H22" i="59"/>
  <c r="G19" i="59"/>
  <c r="F19" i="59"/>
  <c r="E19" i="59"/>
  <c r="D19" i="59"/>
  <c r="C19" i="59"/>
  <c r="G13" i="59"/>
  <c r="F13" i="59"/>
  <c r="E13" i="59"/>
  <c r="J12" i="59"/>
  <c r="C10" i="59"/>
  <c r="C7" i="59"/>
  <c r="C6" i="59"/>
  <c r="D13" i="59"/>
  <c r="C3" i="59"/>
  <c r="K40" i="60" l="1"/>
  <c r="K38" i="60"/>
  <c r="L38" i="60"/>
  <c r="K17" i="60"/>
  <c r="K12" i="60"/>
  <c r="K4" i="60"/>
  <c r="K23" i="60"/>
  <c r="J50" i="60"/>
  <c r="K45" i="60"/>
  <c r="K46" i="60" s="1"/>
  <c r="L45" i="60"/>
  <c r="K34" i="60"/>
  <c r="K9" i="60"/>
  <c r="J13" i="60"/>
  <c r="K5" i="60"/>
  <c r="H29" i="60"/>
  <c r="J26" i="60"/>
  <c r="K25" i="60"/>
  <c r="I29" i="60"/>
  <c r="L13" i="60"/>
  <c r="K32" i="60"/>
  <c r="K42" i="60" s="1"/>
  <c r="J42" i="60"/>
  <c r="J19" i="60"/>
  <c r="L19" i="60"/>
  <c r="K16" i="60"/>
  <c r="J46" i="60"/>
  <c r="L46" i="60"/>
  <c r="L26" i="60"/>
  <c r="K24" i="60"/>
  <c r="J38" i="59"/>
  <c r="L38" i="59" s="1"/>
  <c r="J40" i="59"/>
  <c r="L35" i="59"/>
  <c r="J32" i="59"/>
  <c r="L32" i="59" s="1"/>
  <c r="J17" i="59"/>
  <c r="L17" i="59" s="1"/>
  <c r="J6" i="59"/>
  <c r="K6" i="59" s="1"/>
  <c r="J45" i="59"/>
  <c r="J46" i="59" s="1"/>
  <c r="J23" i="59"/>
  <c r="K23" i="59" s="1"/>
  <c r="J49" i="59"/>
  <c r="J50" i="59" s="1"/>
  <c r="J18" i="59"/>
  <c r="L18" i="59" s="1"/>
  <c r="E29" i="59"/>
  <c r="J36" i="59"/>
  <c r="K36" i="59" s="1"/>
  <c r="J11" i="59"/>
  <c r="L11" i="59" s="1"/>
  <c r="G29" i="59"/>
  <c r="J9" i="59"/>
  <c r="L9" i="59" s="1"/>
  <c r="J41" i="59"/>
  <c r="L41" i="59" s="1"/>
  <c r="F29" i="59"/>
  <c r="J25" i="59"/>
  <c r="L25" i="59" s="1"/>
  <c r="I26" i="59"/>
  <c r="J34" i="59"/>
  <c r="L34" i="59" s="1"/>
  <c r="H46" i="59"/>
  <c r="H42" i="59"/>
  <c r="J37" i="59"/>
  <c r="L37" i="59" s="1"/>
  <c r="J39" i="59"/>
  <c r="L39" i="59" s="1"/>
  <c r="H26" i="59"/>
  <c r="D29" i="59"/>
  <c r="H19" i="59"/>
  <c r="I19" i="59"/>
  <c r="J4" i="59"/>
  <c r="L4" i="59" s="1"/>
  <c r="J7" i="59"/>
  <c r="K24" i="59"/>
  <c r="K3" i="59"/>
  <c r="K12" i="59"/>
  <c r="K4" i="59"/>
  <c r="K41" i="59"/>
  <c r="C42" i="59"/>
  <c r="I42" i="59"/>
  <c r="H50" i="59"/>
  <c r="K10" i="59"/>
  <c r="C13" i="59"/>
  <c r="C29" i="59" s="1"/>
  <c r="J16" i="59"/>
  <c r="L16" i="59" s="1"/>
  <c r="K17" i="59"/>
  <c r="K25" i="59"/>
  <c r="K33" i="59"/>
  <c r="K45" i="59"/>
  <c r="K46" i="59" s="1"/>
  <c r="J22" i="59"/>
  <c r="K19" i="60" l="1"/>
  <c r="K13" i="60"/>
  <c r="J29" i="60"/>
  <c r="L42" i="60"/>
  <c r="K26" i="60"/>
  <c r="L29" i="60"/>
  <c r="K38" i="59"/>
  <c r="K40" i="59"/>
  <c r="L40" i="59"/>
  <c r="K32" i="59"/>
  <c r="K7" i="59"/>
  <c r="L7" i="59"/>
  <c r="L6" i="59"/>
  <c r="L45" i="59"/>
  <c r="L46" i="59" s="1"/>
  <c r="L23" i="59"/>
  <c r="L26" i="59" s="1"/>
  <c r="K49" i="59"/>
  <c r="K50" i="59" s="1"/>
  <c r="L49" i="59"/>
  <c r="L50" i="59" s="1"/>
  <c r="K18" i="59"/>
  <c r="L36" i="59"/>
  <c r="L42" i="59" s="1"/>
  <c r="K11" i="59"/>
  <c r="K9" i="59"/>
  <c r="K34" i="59"/>
  <c r="J42" i="59"/>
  <c r="K39" i="59"/>
  <c r="K37" i="59"/>
  <c r="J26" i="59"/>
  <c r="L22" i="59"/>
  <c r="K22" i="59"/>
  <c r="K26" i="59" s="1"/>
  <c r="J19" i="59"/>
  <c r="K16" i="59"/>
  <c r="K19" i="59" s="1"/>
  <c r="L19" i="59"/>
  <c r="C36" i="58"/>
  <c r="K29" i="60" l="1"/>
  <c r="K42" i="59"/>
  <c r="C7" i="58"/>
  <c r="C6" i="58"/>
  <c r="L33" i="58"/>
  <c r="I49" i="58"/>
  <c r="I50" i="58" s="1"/>
  <c r="H49" i="58"/>
  <c r="H50" i="58" s="1"/>
  <c r="I45" i="58"/>
  <c r="I46" i="58" s="1"/>
  <c r="H45" i="58"/>
  <c r="H46" i="58" s="1"/>
  <c r="I41" i="58"/>
  <c r="H41" i="58"/>
  <c r="I40" i="58"/>
  <c r="H40" i="58"/>
  <c r="J40" i="58" s="1"/>
  <c r="L40" i="58" s="1"/>
  <c r="I39" i="58"/>
  <c r="H39" i="58"/>
  <c r="I38" i="58"/>
  <c r="H38" i="58"/>
  <c r="I37" i="58"/>
  <c r="H37" i="58"/>
  <c r="I36" i="58"/>
  <c r="H36" i="58"/>
  <c r="I35" i="58"/>
  <c r="H35" i="58"/>
  <c r="I34" i="58"/>
  <c r="H34" i="58"/>
  <c r="I33" i="58"/>
  <c r="H33" i="58"/>
  <c r="I32" i="58"/>
  <c r="H32" i="58"/>
  <c r="J32" i="58" s="1"/>
  <c r="L32" i="58" s="1"/>
  <c r="I25" i="58"/>
  <c r="H25" i="58"/>
  <c r="J25" i="58" s="1"/>
  <c r="L25" i="58" s="1"/>
  <c r="I24" i="58"/>
  <c r="H24" i="58"/>
  <c r="I23" i="58"/>
  <c r="H23" i="58"/>
  <c r="I18" i="58"/>
  <c r="H18" i="58"/>
  <c r="I17" i="58"/>
  <c r="H17" i="58"/>
  <c r="I16" i="58"/>
  <c r="H16" i="58"/>
  <c r="I12" i="58"/>
  <c r="H12" i="58"/>
  <c r="I11" i="58"/>
  <c r="H11" i="58"/>
  <c r="I10" i="58"/>
  <c r="H10" i="58"/>
  <c r="I9" i="58"/>
  <c r="H9" i="58"/>
  <c r="I8" i="58"/>
  <c r="I8" i="59" s="1"/>
  <c r="H8" i="58"/>
  <c r="H8" i="59" s="1"/>
  <c r="I7" i="58"/>
  <c r="H7" i="58"/>
  <c r="I6" i="58"/>
  <c r="H6" i="58"/>
  <c r="I5" i="58"/>
  <c r="I5" i="59" s="1"/>
  <c r="H5" i="58"/>
  <c r="H5" i="59" s="1"/>
  <c r="I4" i="58"/>
  <c r="H4" i="58"/>
  <c r="I3" i="58"/>
  <c r="H3" i="58"/>
  <c r="G50" i="58"/>
  <c r="F50" i="58"/>
  <c r="E50" i="58"/>
  <c r="D50" i="58"/>
  <c r="C49" i="58"/>
  <c r="C50" i="58" s="1"/>
  <c r="G46" i="58"/>
  <c r="F46" i="58"/>
  <c r="E46" i="58"/>
  <c r="D46" i="58"/>
  <c r="C45" i="58"/>
  <c r="C46" i="58" s="1"/>
  <c r="G42" i="58"/>
  <c r="F42" i="58"/>
  <c r="C39" i="58"/>
  <c r="C38" i="58"/>
  <c r="E42" i="58"/>
  <c r="D42" i="58"/>
  <c r="C35" i="58"/>
  <c r="J33" i="58"/>
  <c r="G26" i="58"/>
  <c r="F26" i="58"/>
  <c r="E26" i="58"/>
  <c r="D26" i="58"/>
  <c r="C23" i="58"/>
  <c r="C26" i="58" s="1"/>
  <c r="I22" i="58"/>
  <c r="H22" i="58"/>
  <c r="G19" i="58"/>
  <c r="F19" i="58"/>
  <c r="E19" i="58"/>
  <c r="D19" i="58"/>
  <c r="C19" i="58"/>
  <c r="G13" i="58"/>
  <c r="F13" i="58"/>
  <c r="E13" i="58"/>
  <c r="D13" i="58"/>
  <c r="C10" i="58"/>
  <c r="C3" i="58"/>
  <c r="C13" i="58" s="1"/>
  <c r="C29" i="58" s="1"/>
  <c r="I13" i="59" l="1"/>
  <c r="I29" i="59" s="1"/>
  <c r="J8" i="59"/>
  <c r="L8" i="59"/>
  <c r="K8" i="59"/>
  <c r="J5" i="59"/>
  <c r="H13" i="59"/>
  <c r="H29" i="59" s="1"/>
  <c r="J38" i="58"/>
  <c r="J37" i="58"/>
  <c r="L37" i="58" s="1"/>
  <c r="J17" i="58"/>
  <c r="K17" i="58"/>
  <c r="L17" i="58"/>
  <c r="J6" i="58"/>
  <c r="L6" i="58" s="1"/>
  <c r="J4" i="58"/>
  <c r="L4" i="58" s="1"/>
  <c r="J3" i="58"/>
  <c r="L3" i="58" s="1"/>
  <c r="J23" i="58"/>
  <c r="L23" i="58" s="1"/>
  <c r="J18" i="58"/>
  <c r="L18" i="58" s="1"/>
  <c r="E29" i="58"/>
  <c r="J10" i="58"/>
  <c r="L10" i="58" s="1"/>
  <c r="F29" i="58"/>
  <c r="I26" i="58"/>
  <c r="J24" i="58"/>
  <c r="L24" i="58" s="1"/>
  <c r="J9" i="58"/>
  <c r="L9" i="58" s="1"/>
  <c r="J41" i="58"/>
  <c r="K41" i="58"/>
  <c r="L41" i="58"/>
  <c r="J34" i="58"/>
  <c r="L34" i="58" s="1"/>
  <c r="J5" i="58"/>
  <c r="L5" i="58" s="1"/>
  <c r="J35" i="58"/>
  <c r="J39" i="58"/>
  <c r="L39" i="58" s="1"/>
  <c r="D29" i="58"/>
  <c r="H26" i="58"/>
  <c r="G29" i="58"/>
  <c r="H19" i="58"/>
  <c r="I19" i="58"/>
  <c r="J11" i="58"/>
  <c r="L11" i="58" s="1"/>
  <c r="J12" i="58"/>
  <c r="L12" i="58" s="1"/>
  <c r="K32" i="58"/>
  <c r="K4" i="58"/>
  <c r="J7" i="58"/>
  <c r="L7" i="58" s="1"/>
  <c r="K18" i="58"/>
  <c r="K37" i="58"/>
  <c r="K10" i="58"/>
  <c r="K40" i="58"/>
  <c r="J8" i="58"/>
  <c r="L8" i="58" s="1"/>
  <c r="K23" i="58"/>
  <c r="K24" i="58"/>
  <c r="K25" i="58"/>
  <c r="K33" i="58"/>
  <c r="I13" i="58"/>
  <c r="H13" i="58"/>
  <c r="I42" i="58"/>
  <c r="K3" i="58"/>
  <c r="J45" i="58"/>
  <c r="L45" i="58" s="1"/>
  <c r="J49" i="58"/>
  <c r="L49" i="58" s="1"/>
  <c r="J16" i="58"/>
  <c r="L16" i="58" s="1"/>
  <c r="H42" i="58"/>
  <c r="J22" i="58"/>
  <c r="C42" i="58"/>
  <c r="C35" i="57"/>
  <c r="C36" i="57"/>
  <c r="C38" i="57"/>
  <c r="K5" i="59" l="1"/>
  <c r="K13" i="59" s="1"/>
  <c r="K29" i="59" s="1"/>
  <c r="L5" i="59"/>
  <c r="L13" i="59" s="1"/>
  <c r="L29" i="59" s="1"/>
  <c r="J13" i="59"/>
  <c r="J29" i="59" s="1"/>
  <c r="K38" i="58"/>
  <c r="L38" i="58"/>
  <c r="K35" i="58"/>
  <c r="L35" i="58"/>
  <c r="K6" i="58"/>
  <c r="K11" i="58"/>
  <c r="K9" i="58"/>
  <c r="K34" i="58"/>
  <c r="K5" i="58"/>
  <c r="K39" i="58"/>
  <c r="H29" i="58"/>
  <c r="I29" i="58"/>
  <c r="J13" i="58"/>
  <c r="K12" i="58"/>
  <c r="K16" i="58"/>
  <c r="K19" i="58" s="1"/>
  <c r="L19" i="58"/>
  <c r="J19" i="58"/>
  <c r="J50" i="58"/>
  <c r="L50" i="58"/>
  <c r="K49" i="58"/>
  <c r="K50" i="58" s="1"/>
  <c r="K7" i="58"/>
  <c r="J46" i="58"/>
  <c r="L46" i="58"/>
  <c r="K45" i="58"/>
  <c r="K46" i="58" s="1"/>
  <c r="L26" i="58"/>
  <c r="J26" i="58"/>
  <c r="L22" i="58"/>
  <c r="K22" i="58"/>
  <c r="K26" i="58" s="1"/>
  <c r="J36" i="58"/>
  <c r="L36" i="58" s="1"/>
  <c r="K8" i="58"/>
  <c r="E45" i="57"/>
  <c r="D45" i="57"/>
  <c r="E36" i="57"/>
  <c r="D36" i="57"/>
  <c r="E10" i="57"/>
  <c r="D10" i="57"/>
  <c r="E8" i="57"/>
  <c r="D8" i="57"/>
  <c r="E5" i="57"/>
  <c r="D5" i="57"/>
  <c r="K13" i="58" l="1"/>
  <c r="K29" i="58" s="1"/>
  <c r="L13" i="58"/>
  <c r="L29" i="58" s="1"/>
  <c r="J29" i="58"/>
  <c r="L42" i="58"/>
  <c r="J42" i="58"/>
  <c r="K36" i="58"/>
  <c r="K42" i="58" s="1"/>
  <c r="E7" i="57"/>
  <c r="D7" i="57"/>
  <c r="C10" i="57" l="1"/>
  <c r="I49" i="57" l="1"/>
  <c r="H49" i="57"/>
  <c r="H50" i="57" s="1"/>
  <c r="I45" i="57"/>
  <c r="H45" i="57"/>
  <c r="H46" i="57" s="1"/>
  <c r="I41" i="57"/>
  <c r="H41" i="57"/>
  <c r="I40" i="57"/>
  <c r="H40" i="57"/>
  <c r="I39" i="57"/>
  <c r="J39" i="57" s="1"/>
  <c r="H39" i="57"/>
  <c r="I38" i="57"/>
  <c r="H38" i="57"/>
  <c r="I37" i="57"/>
  <c r="H37" i="57"/>
  <c r="I36" i="57"/>
  <c r="H36" i="57"/>
  <c r="I35" i="57"/>
  <c r="H35" i="57"/>
  <c r="I34" i="57"/>
  <c r="H34" i="57"/>
  <c r="I33" i="57"/>
  <c r="H33" i="57"/>
  <c r="J33" i="57" s="1"/>
  <c r="L33" i="57" s="1"/>
  <c r="I32" i="57"/>
  <c r="H32" i="57"/>
  <c r="I25" i="57"/>
  <c r="H25" i="57"/>
  <c r="I24" i="57"/>
  <c r="H24" i="57"/>
  <c r="I23" i="57"/>
  <c r="H23" i="57"/>
  <c r="I18" i="57"/>
  <c r="H18" i="57"/>
  <c r="I17" i="57"/>
  <c r="H17" i="57"/>
  <c r="I16" i="57"/>
  <c r="H16" i="57"/>
  <c r="I12" i="57"/>
  <c r="H12" i="57"/>
  <c r="I11" i="57"/>
  <c r="H11" i="57"/>
  <c r="I10" i="57"/>
  <c r="H10" i="57"/>
  <c r="I9" i="57"/>
  <c r="H9" i="57"/>
  <c r="I8" i="57"/>
  <c r="H8" i="57"/>
  <c r="I7" i="57"/>
  <c r="H7" i="57"/>
  <c r="I6" i="57"/>
  <c r="H6" i="57"/>
  <c r="I5" i="57"/>
  <c r="H5" i="57"/>
  <c r="I4" i="57"/>
  <c r="H4" i="57"/>
  <c r="I3" i="57"/>
  <c r="H3" i="57"/>
  <c r="G50" i="57"/>
  <c r="F50" i="57"/>
  <c r="E50" i="57"/>
  <c r="D50" i="57"/>
  <c r="I50" i="57"/>
  <c r="C49" i="57"/>
  <c r="C50" i="57" s="1"/>
  <c r="G46" i="57"/>
  <c r="F46" i="57"/>
  <c r="E46" i="57"/>
  <c r="D46" i="57"/>
  <c r="C45" i="57"/>
  <c r="C46" i="57" s="1"/>
  <c r="G42" i="57"/>
  <c r="F42" i="57"/>
  <c r="C39" i="57"/>
  <c r="C42" i="57"/>
  <c r="E42" i="57"/>
  <c r="D42" i="57"/>
  <c r="G26" i="57"/>
  <c r="F26" i="57"/>
  <c r="E26" i="57"/>
  <c r="D26" i="57"/>
  <c r="C23" i="57"/>
  <c r="I22" i="57"/>
  <c r="H22" i="57"/>
  <c r="G19" i="57"/>
  <c r="F19" i="57"/>
  <c r="E19" i="57"/>
  <c r="D19" i="57"/>
  <c r="C19" i="57"/>
  <c r="G13" i="57"/>
  <c r="F13" i="57"/>
  <c r="C3" i="57"/>
  <c r="L39" i="57" l="1"/>
  <c r="J40" i="57"/>
  <c r="L40" i="57" s="1"/>
  <c r="J37" i="57"/>
  <c r="L37" i="57" s="1"/>
  <c r="J35" i="57"/>
  <c r="L35" i="57" s="1"/>
  <c r="I42" i="57"/>
  <c r="J32" i="57"/>
  <c r="L32" i="57" s="1"/>
  <c r="J25" i="57"/>
  <c r="L25" i="57" s="1"/>
  <c r="J17" i="57"/>
  <c r="L17" i="57" s="1"/>
  <c r="J23" i="57"/>
  <c r="K23" i="57" s="1"/>
  <c r="L23" i="57"/>
  <c r="J18" i="57"/>
  <c r="L18" i="57" s="1"/>
  <c r="J16" i="57"/>
  <c r="L16" i="57" s="1"/>
  <c r="F29" i="57"/>
  <c r="J41" i="57"/>
  <c r="L41" i="57" s="1"/>
  <c r="J34" i="57"/>
  <c r="L34" i="57" s="1"/>
  <c r="G29" i="57"/>
  <c r="I26" i="57"/>
  <c r="J38" i="57"/>
  <c r="H26" i="57"/>
  <c r="J24" i="57"/>
  <c r="L24" i="57" s="1"/>
  <c r="I19" i="57"/>
  <c r="H19" i="57"/>
  <c r="K25" i="57"/>
  <c r="K39" i="57"/>
  <c r="K41" i="57"/>
  <c r="K40" i="57"/>
  <c r="K16" i="57"/>
  <c r="K37" i="57"/>
  <c r="K32" i="57"/>
  <c r="C13" i="57"/>
  <c r="C26" i="57"/>
  <c r="I46" i="57"/>
  <c r="D13" i="57"/>
  <c r="D29" i="57" s="1"/>
  <c r="J49" i="57"/>
  <c r="J50" i="57" s="1"/>
  <c r="E13" i="57"/>
  <c r="E29" i="57" s="1"/>
  <c r="J36" i="57"/>
  <c r="L36" i="57" s="1"/>
  <c r="K33" i="57"/>
  <c r="J22" i="57"/>
  <c r="E45" i="56"/>
  <c r="D45" i="56"/>
  <c r="E36" i="56"/>
  <c r="D36" i="56"/>
  <c r="E11" i="56"/>
  <c r="D11" i="56"/>
  <c r="E10" i="56"/>
  <c r="D10" i="56"/>
  <c r="E9" i="56"/>
  <c r="D9" i="56"/>
  <c r="E8" i="56"/>
  <c r="D8" i="56"/>
  <c r="E7" i="56"/>
  <c r="D7" i="56"/>
  <c r="E5" i="56"/>
  <c r="D5" i="56"/>
  <c r="K35" i="57" l="1"/>
  <c r="K17" i="57"/>
  <c r="L26" i="57"/>
  <c r="J19" i="57"/>
  <c r="K18" i="57"/>
  <c r="K19" i="57" s="1"/>
  <c r="K34" i="57"/>
  <c r="K24" i="57"/>
  <c r="K38" i="57"/>
  <c r="L38" i="57"/>
  <c r="L42" i="57" s="1"/>
  <c r="L49" i="57"/>
  <c r="L50" i="57" s="1"/>
  <c r="J45" i="57"/>
  <c r="K36" i="57"/>
  <c r="C29" i="57"/>
  <c r="J42" i="57"/>
  <c r="H42" i="57"/>
  <c r="L19" i="57"/>
  <c r="K22" i="57"/>
  <c r="J26" i="57"/>
  <c r="L22" i="57"/>
  <c r="K49" i="57"/>
  <c r="K50" i="57" s="1"/>
  <c r="E12" i="56"/>
  <c r="D12" i="56"/>
  <c r="K42" i="57" l="1"/>
  <c r="K45" i="57"/>
  <c r="K46" i="57" s="1"/>
  <c r="L45" i="57"/>
  <c r="L46" i="57" s="1"/>
  <c r="K26" i="57"/>
  <c r="J46" i="57"/>
  <c r="L33" i="56"/>
  <c r="I49" i="56"/>
  <c r="I50" i="56" s="1"/>
  <c r="H49" i="56"/>
  <c r="H50" i="56" s="1"/>
  <c r="I45" i="56"/>
  <c r="I46" i="56" s="1"/>
  <c r="H45" i="56"/>
  <c r="H46" i="56" s="1"/>
  <c r="I41" i="56"/>
  <c r="H41" i="56"/>
  <c r="I40" i="56"/>
  <c r="H40" i="56"/>
  <c r="J40" i="56" s="1"/>
  <c r="L40" i="56" s="1"/>
  <c r="I39" i="56"/>
  <c r="H39" i="56"/>
  <c r="I38" i="56"/>
  <c r="H38" i="56"/>
  <c r="I37" i="56"/>
  <c r="H37" i="56"/>
  <c r="I36" i="56"/>
  <c r="H36" i="56"/>
  <c r="I35" i="56"/>
  <c r="H35" i="56"/>
  <c r="I34" i="56"/>
  <c r="H34" i="56"/>
  <c r="I33" i="56"/>
  <c r="H33" i="56"/>
  <c r="I32" i="56"/>
  <c r="H32" i="56"/>
  <c r="I25" i="56"/>
  <c r="H25" i="56"/>
  <c r="I24" i="56"/>
  <c r="H24" i="56"/>
  <c r="I23" i="56"/>
  <c r="H23" i="56"/>
  <c r="I18" i="56"/>
  <c r="H18" i="56"/>
  <c r="I17" i="56"/>
  <c r="H17" i="56"/>
  <c r="I16" i="56"/>
  <c r="H16" i="56"/>
  <c r="I12" i="56"/>
  <c r="H12" i="56"/>
  <c r="I11" i="56"/>
  <c r="H11" i="56"/>
  <c r="I10" i="56"/>
  <c r="H10" i="56"/>
  <c r="I9" i="56"/>
  <c r="H9" i="56"/>
  <c r="I8" i="56"/>
  <c r="H8" i="56"/>
  <c r="I7" i="56"/>
  <c r="H7" i="56"/>
  <c r="I6" i="56"/>
  <c r="H6" i="56"/>
  <c r="I5" i="56"/>
  <c r="H5" i="56"/>
  <c r="I4" i="56"/>
  <c r="H4" i="56"/>
  <c r="I3" i="56"/>
  <c r="H3" i="56"/>
  <c r="G50" i="56"/>
  <c r="F50" i="56"/>
  <c r="E50" i="56"/>
  <c r="D50" i="56"/>
  <c r="C50" i="56"/>
  <c r="C49" i="56"/>
  <c r="G46" i="56"/>
  <c r="F46" i="56"/>
  <c r="E46" i="56"/>
  <c r="D46" i="56"/>
  <c r="C45" i="56"/>
  <c r="C46" i="56" s="1"/>
  <c r="G42" i="56"/>
  <c r="F42" i="56"/>
  <c r="C39" i="56"/>
  <c r="C38" i="56"/>
  <c r="C42" i="56" s="1"/>
  <c r="E42" i="56"/>
  <c r="D42" i="56"/>
  <c r="J33" i="56"/>
  <c r="G26" i="56"/>
  <c r="F26" i="56"/>
  <c r="E26" i="56"/>
  <c r="D26" i="56"/>
  <c r="C23" i="56"/>
  <c r="I22" i="56"/>
  <c r="H22" i="56"/>
  <c r="G19" i="56"/>
  <c r="F19" i="56"/>
  <c r="E19" i="56"/>
  <c r="D19" i="56"/>
  <c r="C19" i="56"/>
  <c r="G13" i="56"/>
  <c r="F13" i="56"/>
  <c r="C13" i="56"/>
  <c r="E13" i="56"/>
  <c r="C3" i="56"/>
  <c r="J6" i="56" l="1"/>
  <c r="L6" i="56" s="1"/>
  <c r="J17" i="56"/>
  <c r="L17" i="56" s="1"/>
  <c r="J25" i="56"/>
  <c r="L25" i="56" s="1"/>
  <c r="J35" i="56"/>
  <c r="L35" i="56" s="1"/>
  <c r="J39" i="56"/>
  <c r="K39" i="56" s="1"/>
  <c r="L39" i="56"/>
  <c r="J16" i="56"/>
  <c r="L16" i="56" s="1"/>
  <c r="H19" i="56"/>
  <c r="G29" i="56"/>
  <c r="E29" i="56"/>
  <c r="J24" i="56"/>
  <c r="L24" i="56" s="1"/>
  <c r="H26" i="56"/>
  <c r="J41" i="56"/>
  <c r="L41" i="56" s="1"/>
  <c r="I42" i="56"/>
  <c r="J34" i="56"/>
  <c r="L34" i="56" s="1"/>
  <c r="J12" i="56"/>
  <c r="L12" i="56" s="1"/>
  <c r="J10" i="56"/>
  <c r="L10" i="56" s="1"/>
  <c r="J9" i="56"/>
  <c r="L9" i="56" s="1"/>
  <c r="J3" i="56"/>
  <c r="L3" i="56" s="1"/>
  <c r="J38" i="56"/>
  <c r="L38" i="56" s="1"/>
  <c r="H42" i="56"/>
  <c r="J37" i="56"/>
  <c r="L37" i="56" s="1"/>
  <c r="J36" i="56"/>
  <c r="J23" i="56"/>
  <c r="I26" i="56"/>
  <c r="F29" i="56"/>
  <c r="J18" i="56"/>
  <c r="L18" i="56" s="1"/>
  <c r="J7" i="56"/>
  <c r="L7" i="56" s="1"/>
  <c r="J4" i="56"/>
  <c r="J5" i="56"/>
  <c r="L5" i="56" s="1"/>
  <c r="J8" i="56"/>
  <c r="L8" i="56" s="1"/>
  <c r="K40" i="56"/>
  <c r="H13" i="56"/>
  <c r="K37" i="56"/>
  <c r="K41" i="56"/>
  <c r="J11" i="56"/>
  <c r="L11" i="56" s="1"/>
  <c r="K33" i="56"/>
  <c r="D13" i="56"/>
  <c r="D29" i="56" s="1"/>
  <c r="J45" i="56"/>
  <c r="I13" i="56"/>
  <c r="J32" i="56"/>
  <c r="L32" i="56" s="1"/>
  <c r="J49" i="56"/>
  <c r="I19" i="56"/>
  <c r="C26" i="56"/>
  <c r="C29" i="56" s="1"/>
  <c r="J22" i="56"/>
  <c r="E45" i="55"/>
  <c r="D45" i="55"/>
  <c r="E11" i="55"/>
  <c r="D11" i="55"/>
  <c r="E10" i="55"/>
  <c r="D10" i="55"/>
  <c r="E9" i="55"/>
  <c r="D9" i="55"/>
  <c r="E7" i="55"/>
  <c r="D7" i="55"/>
  <c r="E5" i="55"/>
  <c r="D5" i="55"/>
  <c r="E34" i="55"/>
  <c r="D34" i="55"/>
  <c r="K4" i="56" l="1"/>
  <c r="L4" i="56"/>
  <c r="K6" i="56"/>
  <c r="K12" i="56"/>
  <c r="K17" i="56"/>
  <c r="K25" i="56"/>
  <c r="K35" i="56"/>
  <c r="K38" i="56"/>
  <c r="K23" i="56"/>
  <c r="L23" i="56"/>
  <c r="L26" i="56" s="1"/>
  <c r="J50" i="56"/>
  <c r="L49" i="56"/>
  <c r="L50" i="56" s="1"/>
  <c r="K16" i="56"/>
  <c r="H29" i="56"/>
  <c r="K10" i="56"/>
  <c r="K24" i="56"/>
  <c r="K8" i="56"/>
  <c r="K7" i="56"/>
  <c r="K34" i="56"/>
  <c r="J46" i="56"/>
  <c r="L45" i="56"/>
  <c r="L46" i="56" s="1"/>
  <c r="K36" i="56"/>
  <c r="L36" i="56"/>
  <c r="L42" i="56" s="1"/>
  <c r="K9" i="56"/>
  <c r="J13" i="56"/>
  <c r="K3" i="56"/>
  <c r="K45" i="56"/>
  <c r="K46" i="56" s="1"/>
  <c r="J19" i="56"/>
  <c r="K18" i="56"/>
  <c r="K5" i="56"/>
  <c r="J26" i="56"/>
  <c r="L22" i="56"/>
  <c r="K22" i="56"/>
  <c r="J42" i="56"/>
  <c r="K32" i="56"/>
  <c r="I29" i="56"/>
  <c r="K11" i="56"/>
  <c r="K49" i="56"/>
  <c r="K50" i="56" s="1"/>
  <c r="L19" i="56"/>
  <c r="E12" i="55"/>
  <c r="D12" i="55"/>
  <c r="K19" i="56" l="1"/>
  <c r="K42" i="56"/>
  <c r="K26" i="56"/>
  <c r="K13" i="56"/>
  <c r="J29" i="56"/>
  <c r="L13" i="56"/>
  <c r="L29" i="56" s="1"/>
  <c r="L33" i="55"/>
  <c r="I49" i="55"/>
  <c r="I50" i="55" s="1"/>
  <c r="H49" i="55"/>
  <c r="H50" i="55" s="1"/>
  <c r="I45" i="55"/>
  <c r="I46" i="55" s="1"/>
  <c r="H45" i="55"/>
  <c r="H46" i="55" s="1"/>
  <c r="I41" i="55"/>
  <c r="H41" i="55"/>
  <c r="I40" i="55"/>
  <c r="H40" i="55"/>
  <c r="I39" i="55"/>
  <c r="H39" i="55"/>
  <c r="I38" i="55"/>
  <c r="H38" i="55"/>
  <c r="I37" i="55"/>
  <c r="H37" i="55"/>
  <c r="I36" i="55"/>
  <c r="H36" i="55"/>
  <c r="I35" i="55"/>
  <c r="H35" i="55"/>
  <c r="I34" i="55"/>
  <c r="H34" i="55"/>
  <c r="I33" i="55"/>
  <c r="H33" i="55"/>
  <c r="I32" i="55"/>
  <c r="H32" i="55"/>
  <c r="I25" i="55"/>
  <c r="J25" i="55" s="1"/>
  <c r="K25" i="55" s="1"/>
  <c r="H25" i="55"/>
  <c r="I24" i="55"/>
  <c r="H24" i="55"/>
  <c r="I23" i="55"/>
  <c r="H23" i="55"/>
  <c r="I18" i="55"/>
  <c r="H18" i="55"/>
  <c r="I17" i="55"/>
  <c r="H17" i="55"/>
  <c r="I16" i="55"/>
  <c r="H16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5" i="55"/>
  <c r="H5" i="55"/>
  <c r="I4" i="55"/>
  <c r="H4" i="55"/>
  <c r="I3" i="55"/>
  <c r="H3" i="55"/>
  <c r="G50" i="55"/>
  <c r="F50" i="55"/>
  <c r="E50" i="55"/>
  <c r="D50" i="55"/>
  <c r="C49" i="55"/>
  <c r="C50" i="55" s="1"/>
  <c r="G46" i="55"/>
  <c r="F46" i="55"/>
  <c r="E46" i="55"/>
  <c r="D46" i="55"/>
  <c r="C45" i="55"/>
  <c r="C46" i="55" s="1"/>
  <c r="G42" i="55"/>
  <c r="F42" i="55"/>
  <c r="E42" i="55"/>
  <c r="D42" i="55"/>
  <c r="C39" i="55"/>
  <c r="C38" i="55"/>
  <c r="G26" i="55"/>
  <c r="F26" i="55"/>
  <c r="E26" i="55"/>
  <c r="D26" i="55"/>
  <c r="C23" i="55"/>
  <c r="J22" i="55"/>
  <c r="I22" i="55"/>
  <c r="H22" i="55"/>
  <c r="G19" i="55"/>
  <c r="F19" i="55"/>
  <c r="E19" i="55"/>
  <c r="D19" i="55"/>
  <c r="C19" i="55"/>
  <c r="G13" i="55"/>
  <c r="F13" i="55"/>
  <c r="E13" i="55"/>
  <c r="D13" i="55"/>
  <c r="C3" i="55"/>
  <c r="K29" i="56" l="1"/>
  <c r="J38" i="55"/>
  <c r="L38" i="55" s="1"/>
  <c r="J37" i="55"/>
  <c r="L37" i="55" s="1"/>
  <c r="J35" i="55"/>
  <c r="K35" i="55" s="1"/>
  <c r="J32" i="55"/>
  <c r="L32" i="55" s="1"/>
  <c r="I26" i="55"/>
  <c r="L25" i="55"/>
  <c r="J17" i="55"/>
  <c r="L17" i="55" s="1"/>
  <c r="J4" i="55"/>
  <c r="L4" i="55" s="1"/>
  <c r="J3" i="55"/>
  <c r="L3" i="55" s="1"/>
  <c r="J23" i="55"/>
  <c r="L23" i="55" s="1"/>
  <c r="D29" i="55"/>
  <c r="J36" i="55"/>
  <c r="L36" i="55" s="1"/>
  <c r="J10" i="55"/>
  <c r="L10" i="55" s="1"/>
  <c r="F29" i="55"/>
  <c r="J24" i="55"/>
  <c r="L24" i="55" s="1"/>
  <c r="E29" i="55"/>
  <c r="J8" i="55"/>
  <c r="L8" i="55" s="1"/>
  <c r="J41" i="55"/>
  <c r="K41" i="55" s="1"/>
  <c r="I42" i="55"/>
  <c r="H42" i="55"/>
  <c r="J12" i="55"/>
  <c r="L12" i="55" s="1"/>
  <c r="K12" i="55"/>
  <c r="J11" i="55"/>
  <c r="L11" i="55" s="1"/>
  <c r="J7" i="55"/>
  <c r="L7" i="55" s="1"/>
  <c r="J5" i="55"/>
  <c r="L5" i="55" s="1"/>
  <c r="J33" i="55"/>
  <c r="J39" i="55"/>
  <c r="L39" i="55" s="1"/>
  <c r="J34" i="55"/>
  <c r="L34" i="55" s="1"/>
  <c r="J40" i="55"/>
  <c r="L40" i="55" s="1"/>
  <c r="H26" i="55"/>
  <c r="K23" i="55"/>
  <c r="I19" i="55"/>
  <c r="H19" i="55"/>
  <c r="J16" i="55"/>
  <c r="L16" i="55" s="1"/>
  <c r="J9" i="55"/>
  <c r="L9" i="55" s="1"/>
  <c r="H13" i="55"/>
  <c r="I13" i="55"/>
  <c r="K3" i="55"/>
  <c r="G29" i="55"/>
  <c r="K24" i="55"/>
  <c r="K11" i="55"/>
  <c r="K32" i="55"/>
  <c r="K33" i="55"/>
  <c r="K8" i="55"/>
  <c r="K37" i="55"/>
  <c r="K4" i="55"/>
  <c r="K38" i="55"/>
  <c r="J6" i="55"/>
  <c r="L6" i="55" s="1"/>
  <c r="C26" i="55"/>
  <c r="C42" i="55"/>
  <c r="J18" i="55"/>
  <c r="L18" i="55" s="1"/>
  <c r="K22" i="55"/>
  <c r="L22" i="55"/>
  <c r="C13" i="55"/>
  <c r="C29" i="55" s="1"/>
  <c r="J45" i="55"/>
  <c r="J49" i="55"/>
  <c r="K49" i="55" s="1"/>
  <c r="K50" i="55" s="1"/>
  <c r="L33" i="54"/>
  <c r="I49" i="54"/>
  <c r="I50" i="54" s="1"/>
  <c r="H49" i="54"/>
  <c r="H50" i="54" s="1"/>
  <c r="I45" i="54"/>
  <c r="H45" i="54"/>
  <c r="I41" i="54"/>
  <c r="H41" i="54"/>
  <c r="I40" i="54"/>
  <c r="H40" i="54"/>
  <c r="I39" i="54"/>
  <c r="H39" i="54"/>
  <c r="I38" i="54"/>
  <c r="H38" i="54"/>
  <c r="I37" i="54"/>
  <c r="H37" i="54"/>
  <c r="I36" i="54"/>
  <c r="H36" i="54"/>
  <c r="I35" i="54"/>
  <c r="H35" i="54"/>
  <c r="I34" i="54"/>
  <c r="H34" i="54"/>
  <c r="J34" i="54" s="1"/>
  <c r="L34" i="54" s="1"/>
  <c r="I33" i="54"/>
  <c r="H33" i="54"/>
  <c r="I32" i="54"/>
  <c r="H32" i="54"/>
  <c r="I25" i="54"/>
  <c r="H25" i="54"/>
  <c r="I24" i="54"/>
  <c r="H24" i="54"/>
  <c r="I23" i="54"/>
  <c r="H23" i="54"/>
  <c r="I3" i="54"/>
  <c r="I18" i="54"/>
  <c r="H18" i="54"/>
  <c r="I17" i="54"/>
  <c r="H17" i="54"/>
  <c r="I16" i="54"/>
  <c r="H16" i="54"/>
  <c r="I12" i="54"/>
  <c r="H12" i="54"/>
  <c r="I11" i="54"/>
  <c r="H11" i="54"/>
  <c r="I10" i="54"/>
  <c r="H10" i="54"/>
  <c r="I9" i="54"/>
  <c r="H9" i="54"/>
  <c r="I8" i="54"/>
  <c r="H8" i="54"/>
  <c r="I7" i="54"/>
  <c r="H7" i="54"/>
  <c r="I6" i="54"/>
  <c r="H6" i="54"/>
  <c r="I5" i="54"/>
  <c r="H5" i="54"/>
  <c r="I4" i="54"/>
  <c r="H4" i="54"/>
  <c r="H3" i="54"/>
  <c r="G50" i="54"/>
  <c r="F50" i="54"/>
  <c r="E50" i="54"/>
  <c r="D50" i="54"/>
  <c r="C50" i="54"/>
  <c r="C49" i="54"/>
  <c r="G46" i="54"/>
  <c r="F46" i="54"/>
  <c r="E46" i="54"/>
  <c r="D46" i="54"/>
  <c r="C46" i="54"/>
  <c r="I46" i="54"/>
  <c r="C45" i="54"/>
  <c r="G42" i="54"/>
  <c r="F42" i="54"/>
  <c r="E42" i="54"/>
  <c r="D42" i="54"/>
  <c r="C39" i="54"/>
  <c r="C38" i="54"/>
  <c r="J33" i="54"/>
  <c r="G26" i="54"/>
  <c r="F26" i="54"/>
  <c r="E26" i="54"/>
  <c r="D26" i="54"/>
  <c r="C23" i="54"/>
  <c r="J22" i="54"/>
  <c r="I22" i="54"/>
  <c r="H22" i="54"/>
  <c r="G19" i="54"/>
  <c r="F19" i="54"/>
  <c r="E19" i="54"/>
  <c r="D19" i="54"/>
  <c r="C19" i="54"/>
  <c r="G13" i="54"/>
  <c r="F13" i="54"/>
  <c r="E13" i="54"/>
  <c r="D13" i="54"/>
  <c r="C3" i="54"/>
  <c r="C13" i="54" s="1"/>
  <c r="K40" i="55" l="1"/>
  <c r="L35" i="55"/>
  <c r="L26" i="55"/>
  <c r="K17" i="55"/>
  <c r="J26" i="55"/>
  <c r="K26" i="55"/>
  <c r="J50" i="55"/>
  <c r="L49" i="55"/>
  <c r="K16" i="55"/>
  <c r="K36" i="55"/>
  <c r="K10" i="55"/>
  <c r="K7" i="55"/>
  <c r="K5" i="55"/>
  <c r="L41" i="55"/>
  <c r="K34" i="55"/>
  <c r="K42" i="55" s="1"/>
  <c r="J46" i="55"/>
  <c r="L45" i="55"/>
  <c r="L46" i="55" s="1"/>
  <c r="J42" i="55"/>
  <c r="K9" i="55"/>
  <c r="I29" i="55"/>
  <c r="K45" i="55"/>
  <c r="K46" i="55" s="1"/>
  <c r="K39" i="55"/>
  <c r="H29" i="55"/>
  <c r="K18" i="55"/>
  <c r="K19" i="55" s="1"/>
  <c r="L19" i="55"/>
  <c r="J19" i="55"/>
  <c r="L42" i="55"/>
  <c r="K6" i="55"/>
  <c r="L13" i="55"/>
  <c r="L50" i="55"/>
  <c r="J13" i="55"/>
  <c r="J40" i="54"/>
  <c r="L40" i="54" s="1"/>
  <c r="J39" i="54"/>
  <c r="L39" i="54" s="1"/>
  <c r="J37" i="54"/>
  <c r="L37" i="54" s="1"/>
  <c r="J35" i="54"/>
  <c r="K35" i="54" s="1"/>
  <c r="L35" i="54"/>
  <c r="J25" i="54"/>
  <c r="L25" i="54" s="1"/>
  <c r="J12" i="54"/>
  <c r="L12" i="54" s="1"/>
  <c r="K12" i="54"/>
  <c r="J11" i="54"/>
  <c r="L11" i="54" s="1"/>
  <c r="J4" i="54"/>
  <c r="L4" i="54" s="1"/>
  <c r="J45" i="54"/>
  <c r="J46" i="54" s="1"/>
  <c r="I26" i="54"/>
  <c r="J23" i="54"/>
  <c r="L23" i="54" s="1"/>
  <c r="L26" i="54" s="1"/>
  <c r="J38" i="54"/>
  <c r="L38" i="54" s="1"/>
  <c r="J17" i="54"/>
  <c r="L17" i="54" s="1"/>
  <c r="J16" i="54"/>
  <c r="L16" i="54" s="1"/>
  <c r="J36" i="54"/>
  <c r="L36" i="54" s="1"/>
  <c r="J10" i="54"/>
  <c r="L10" i="54" s="1"/>
  <c r="F29" i="54"/>
  <c r="J24" i="54"/>
  <c r="L24" i="54" s="1"/>
  <c r="J9" i="54"/>
  <c r="L9" i="54" s="1"/>
  <c r="J8" i="54"/>
  <c r="L8" i="54" s="1"/>
  <c r="J7" i="54"/>
  <c r="L7" i="54" s="1"/>
  <c r="I42" i="54"/>
  <c r="J41" i="54"/>
  <c r="L41" i="54" s="1"/>
  <c r="K41" i="54"/>
  <c r="J3" i="54"/>
  <c r="L3" i="54" s="1"/>
  <c r="J49" i="54"/>
  <c r="H46" i="54"/>
  <c r="H42" i="54"/>
  <c r="H26" i="54"/>
  <c r="H19" i="54"/>
  <c r="D29" i="54"/>
  <c r="E29" i="54"/>
  <c r="I19" i="54"/>
  <c r="G29" i="54"/>
  <c r="J5" i="54"/>
  <c r="L5" i="54" s="1"/>
  <c r="H13" i="54"/>
  <c r="I13" i="54"/>
  <c r="K11" i="54"/>
  <c r="K40" i="54"/>
  <c r="K36" i="54"/>
  <c r="K33" i="54"/>
  <c r="K34" i="54"/>
  <c r="C29" i="54"/>
  <c r="K25" i="54"/>
  <c r="J32" i="54"/>
  <c r="L32" i="54" s="1"/>
  <c r="J6" i="54"/>
  <c r="L6" i="54" s="1"/>
  <c r="C42" i="54"/>
  <c r="K22" i="54"/>
  <c r="L22" i="54"/>
  <c r="C26" i="54"/>
  <c r="J18" i="54"/>
  <c r="L18" i="54" s="1"/>
  <c r="C38" i="53"/>
  <c r="L33" i="53"/>
  <c r="I49" i="53"/>
  <c r="I50" i="53" s="1"/>
  <c r="H49" i="53"/>
  <c r="H50" i="53" s="1"/>
  <c r="I45" i="53"/>
  <c r="J45" i="53" s="1"/>
  <c r="J46" i="53" s="1"/>
  <c r="H45" i="53"/>
  <c r="H46" i="53" s="1"/>
  <c r="I40" i="53"/>
  <c r="H40" i="53"/>
  <c r="I39" i="53"/>
  <c r="H39" i="53"/>
  <c r="I38" i="53"/>
  <c r="H38" i="53"/>
  <c r="I37" i="53"/>
  <c r="H37" i="53"/>
  <c r="I36" i="53"/>
  <c r="H36" i="53"/>
  <c r="I35" i="53"/>
  <c r="H35" i="53"/>
  <c r="I34" i="53"/>
  <c r="H34" i="53"/>
  <c r="I33" i="53"/>
  <c r="H33" i="53"/>
  <c r="I32" i="53"/>
  <c r="H32" i="53"/>
  <c r="J32" i="53" s="1"/>
  <c r="L32" i="53" s="1"/>
  <c r="I25" i="53"/>
  <c r="H25" i="53"/>
  <c r="I24" i="53"/>
  <c r="H24" i="53"/>
  <c r="I23" i="53"/>
  <c r="H23" i="53"/>
  <c r="I18" i="53"/>
  <c r="H18" i="53"/>
  <c r="I17" i="53"/>
  <c r="H17" i="53"/>
  <c r="I16" i="53"/>
  <c r="H16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I5" i="53"/>
  <c r="H5" i="53"/>
  <c r="I4" i="53"/>
  <c r="H4" i="53"/>
  <c r="I3" i="53"/>
  <c r="H3" i="53"/>
  <c r="G50" i="53"/>
  <c r="F50" i="53"/>
  <c r="E50" i="53"/>
  <c r="D50" i="53"/>
  <c r="C50" i="53"/>
  <c r="C49" i="53"/>
  <c r="G46" i="53"/>
  <c r="F46" i="53"/>
  <c r="E46" i="53"/>
  <c r="D46" i="53"/>
  <c r="C46" i="53"/>
  <c r="C45" i="53"/>
  <c r="G42" i="53"/>
  <c r="F42" i="53"/>
  <c r="I41" i="53"/>
  <c r="H41" i="53"/>
  <c r="C39" i="53"/>
  <c r="C42" i="53" s="1"/>
  <c r="D42" i="53"/>
  <c r="G26" i="53"/>
  <c r="F26" i="53"/>
  <c r="E26" i="53"/>
  <c r="D26" i="53"/>
  <c r="C23" i="53"/>
  <c r="C26" i="53" s="1"/>
  <c r="I22" i="53"/>
  <c r="H22" i="53"/>
  <c r="G19" i="53"/>
  <c r="F19" i="53"/>
  <c r="E19" i="53"/>
  <c r="D19" i="53"/>
  <c r="C19" i="53"/>
  <c r="G13" i="53"/>
  <c r="F13" i="53"/>
  <c r="E13" i="53"/>
  <c r="D13" i="53"/>
  <c r="C3" i="53"/>
  <c r="C13" i="53" s="1"/>
  <c r="C29" i="53" s="1"/>
  <c r="K13" i="55" l="1"/>
  <c r="K29" i="55" s="1"/>
  <c r="L29" i="55"/>
  <c r="J29" i="55"/>
  <c r="K39" i="54"/>
  <c r="K37" i="54"/>
  <c r="K4" i="54"/>
  <c r="K3" i="54"/>
  <c r="K45" i="54"/>
  <c r="K46" i="54" s="1"/>
  <c r="L45" i="54"/>
  <c r="L46" i="54" s="1"/>
  <c r="K23" i="54"/>
  <c r="K38" i="54"/>
  <c r="J50" i="54"/>
  <c r="L49" i="54"/>
  <c r="K49" i="54"/>
  <c r="K50" i="54" s="1"/>
  <c r="K17" i="54"/>
  <c r="K16" i="54"/>
  <c r="I29" i="54"/>
  <c r="K10" i="54"/>
  <c r="J26" i="54"/>
  <c r="K24" i="54"/>
  <c r="K9" i="54"/>
  <c r="K8" i="54"/>
  <c r="K7" i="54"/>
  <c r="H29" i="54"/>
  <c r="J13" i="54"/>
  <c r="L50" i="54"/>
  <c r="K5" i="54"/>
  <c r="L19" i="54"/>
  <c r="K18" i="54"/>
  <c r="K19" i="54" s="1"/>
  <c r="L13" i="54"/>
  <c r="K6" i="54"/>
  <c r="J42" i="54"/>
  <c r="L42" i="54"/>
  <c r="K32" i="54"/>
  <c r="J19" i="54"/>
  <c r="J18" i="53"/>
  <c r="L18" i="53" s="1"/>
  <c r="J25" i="53"/>
  <c r="L25" i="53" s="1"/>
  <c r="J35" i="53"/>
  <c r="L35" i="53" s="1"/>
  <c r="J39" i="53"/>
  <c r="L39" i="53" s="1"/>
  <c r="J40" i="53"/>
  <c r="I46" i="53"/>
  <c r="L45" i="53"/>
  <c r="L46" i="53" s="1"/>
  <c r="J23" i="53"/>
  <c r="K23" i="53" s="1"/>
  <c r="J17" i="53"/>
  <c r="K17" i="53" s="1"/>
  <c r="J11" i="53"/>
  <c r="L11" i="53" s="1"/>
  <c r="J10" i="53"/>
  <c r="K10" i="53" s="1"/>
  <c r="L10" i="53"/>
  <c r="G29" i="53"/>
  <c r="J24" i="53"/>
  <c r="L24" i="53" s="1"/>
  <c r="D29" i="53"/>
  <c r="J9" i="53"/>
  <c r="L9" i="53" s="1"/>
  <c r="J7" i="53"/>
  <c r="L7" i="53" s="1"/>
  <c r="J6" i="53"/>
  <c r="L6" i="53" s="1"/>
  <c r="J5" i="53"/>
  <c r="L5" i="53" s="1"/>
  <c r="J41" i="53"/>
  <c r="L41" i="53" s="1"/>
  <c r="J34" i="53"/>
  <c r="L34" i="53" s="1"/>
  <c r="I42" i="53"/>
  <c r="J3" i="53"/>
  <c r="J49" i="53"/>
  <c r="J36" i="53"/>
  <c r="L36" i="53" s="1"/>
  <c r="J37" i="53"/>
  <c r="L37" i="53" s="1"/>
  <c r="H26" i="53"/>
  <c r="I26" i="53"/>
  <c r="E29" i="53"/>
  <c r="F29" i="53"/>
  <c r="H19" i="53"/>
  <c r="I19" i="53"/>
  <c r="J4" i="53"/>
  <c r="L4" i="53" s="1"/>
  <c r="J8" i="53"/>
  <c r="L8" i="53" s="1"/>
  <c r="J12" i="53"/>
  <c r="L12" i="53" s="1"/>
  <c r="H13" i="53"/>
  <c r="I13" i="53"/>
  <c r="J33" i="53"/>
  <c r="E42" i="53"/>
  <c r="J16" i="53"/>
  <c r="L16" i="53" s="1"/>
  <c r="J38" i="53"/>
  <c r="L38" i="53" s="1"/>
  <c r="J22" i="53"/>
  <c r="K32" i="53"/>
  <c r="K41" i="53"/>
  <c r="K45" i="53"/>
  <c r="K46" i="53" s="1"/>
  <c r="K49" i="53"/>
  <c r="K50" i="53" s="1"/>
  <c r="E12" i="52"/>
  <c r="D12" i="52"/>
  <c r="K42" i="54" l="1"/>
  <c r="K26" i="54"/>
  <c r="J29" i="54"/>
  <c r="K13" i="54"/>
  <c r="L29" i="54"/>
  <c r="K3" i="53"/>
  <c r="L3" i="53"/>
  <c r="L13" i="53" s="1"/>
  <c r="K18" i="53"/>
  <c r="K25" i="53"/>
  <c r="K35" i="53"/>
  <c r="K39" i="53"/>
  <c r="K37" i="53"/>
  <c r="K40" i="53"/>
  <c r="L40" i="53"/>
  <c r="J50" i="53"/>
  <c r="L49" i="53"/>
  <c r="L50" i="53" s="1"/>
  <c r="L23" i="53"/>
  <c r="L17" i="53"/>
  <c r="K36" i="53"/>
  <c r="K11" i="53"/>
  <c r="K24" i="53"/>
  <c r="K9" i="53"/>
  <c r="K7" i="53"/>
  <c r="K6" i="53"/>
  <c r="K5" i="53"/>
  <c r="J42" i="53"/>
  <c r="K34" i="53"/>
  <c r="I29" i="53"/>
  <c r="H29" i="53"/>
  <c r="K8" i="53"/>
  <c r="J13" i="53"/>
  <c r="L26" i="53"/>
  <c r="K4" i="53"/>
  <c r="K33" i="53"/>
  <c r="K38" i="53"/>
  <c r="J19" i="53"/>
  <c r="L19" i="53"/>
  <c r="K16" i="53"/>
  <c r="H42" i="53"/>
  <c r="K12" i="53"/>
  <c r="J26" i="53"/>
  <c r="L22" i="53"/>
  <c r="K22" i="53"/>
  <c r="E38" i="52"/>
  <c r="D38" i="52"/>
  <c r="K29" i="54" l="1"/>
  <c r="K19" i="53"/>
  <c r="K26" i="53"/>
  <c r="K13" i="53"/>
  <c r="K42" i="53"/>
  <c r="J29" i="53"/>
  <c r="L42" i="53"/>
  <c r="L29" i="53"/>
  <c r="L33" i="52"/>
  <c r="I49" i="52"/>
  <c r="I50" i="52" s="1"/>
  <c r="H49" i="52"/>
  <c r="H50" i="52" s="1"/>
  <c r="I45" i="52"/>
  <c r="I46" i="52" s="1"/>
  <c r="H45" i="52"/>
  <c r="H46" i="52" s="1"/>
  <c r="I41" i="52"/>
  <c r="H41" i="52"/>
  <c r="I40" i="52"/>
  <c r="H40" i="52"/>
  <c r="I39" i="52"/>
  <c r="H39" i="52"/>
  <c r="I38" i="52"/>
  <c r="H38" i="52"/>
  <c r="I37" i="52"/>
  <c r="H37" i="52"/>
  <c r="I36" i="52"/>
  <c r="H36" i="52"/>
  <c r="I35" i="52"/>
  <c r="H35" i="52"/>
  <c r="I34" i="52"/>
  <c r="H34" i="52"/>
  <c r="I33" i="52"/>
  <c r="H33" i="52"/>
  <c r="I32" i="52"/>
  <c r="H32" i="52"/>
  <c r="I25" i="52"/>
  <c r="H25" i="52"/>
  <c r="I24" i="52"/>
  <c r="H24" i="52"/>
  <c r="I23" i="52"/>
  <c r="H23" i="52"/>
  <c r="I18" i="52"/>
  <c r="H18" i="52"/>
  <c r="I17" i="52"/>
  <c r="H17" i="52"/>
  <c r="I16" i="52"/>
  <c r="H16" i="52"/>
  <c r="I12" i="52"/>
  <c r="H12" i="52"/>
  <c r="I11" i="52"/>
  <c r="H11" i="52"/>
  <c r="I10" i="52"/>
  <c r="H10" i="52"/>
  <c r="I9" i="52"/>
  <c r="H9" i="52"/>
  <c r="I8" i="52"/>
  <c r="H8" i="52"/>
  <c r="I7" i="52"/>
  <c r="H7" i="52"/>
  <c r="I6" i="52"/>
  <c r="H6" i="52"/>
  <c r="I5" i="52"/>
  <c r="H5" i="52"/>
  <c r="I4" i="52"/>
  <c r="H4" i="52"/>
  <c r="I3" i="52"/>
  <c r="H3" i="52"/>
  <c r="G50" i="52"/>
  <c r="F50" i="52"/>
  <c r="E50" i="52"/>
  <c r="D50" i="52"/>
  <c r="C49" i="52"/>
  <c r="C50" i="52" s="1"/>
  <c r="G46" i="52"/>
  <c r="F46" i="52"/>
  <c r="E46" i="52"/>
  <c r="D46" i="52"/>
  <c r="C45" i="52"/>
  <c r="C46" i="52" s="1"/>
  <c r="G42" i="52"/>
  <c r="F42" i="52"/>
  <c r="C39" i="52"/>
  <c r="C42" i="52" s="1"/>
  <c r="E42" i="52"/>
  <c r="D42" i="52"/>
  <c r="J32" i="52"/>
  <c r="L32" i="52" s="1"/>
  <c r="G26" i="52"/>
  <c r="F26" i="52"/>
  <c r="C26" i="52"/>
  <c r="E26" i="52"/>
  <c r="D26" i="52"/>
  <c r="C23" i="52"/>
  <c r="I22" i="52"/>
  <c r="J22" i="52" s="1"/>
  <c r="H22" i="52"/>
  <c r="G19" i="52"/>
  <c r="F19" i="52"/>
  <c r="E19" i="52"/>
  <c r="D19" i="52"/>
  <c r="C19" i="52"/>
  <c r="G13" i="52"/>
  <c r="F13" i="52"/>
  <c r="E13" i="52"/>
  <c r="C3" i="52"/>
  <c r="K29" i="53" l="1"/>
  <c r="J37" i="52"/>
  <c r="L37" i="52" s="1"/>
  <c r="J35" i="52"/>
  <c r="K35" i="52" s="1"/>
  <c r="J4" i="52"/>
  <c r="L4" i="52" s="1"/>
  <c r="J17" i="52"/>
  <c r="L17" i="52" s="1"/>
  <c r="J18" i="52"/>
  <c r="L18" i="52" s="1"/>
  <c r="J36" i="52"/>
  <c r="L36" i="52" s="1"/>
  <c r="J11" i="52"/>
  <c r="L11" i="52" s="1"/>
  <c r="J10" i="52"/>
  <c r="L10" i="52" s="1"/>
  <c r="J24" i="52"/>
  <c r="L24" i="52" s="1"/>
  <c r="K24" i="52"/>
  <c r="J9" i="52"/>
  <c r="K9" i="52" s="1"/>
  <c r="J5" i="52"/>
  <c r="L5" i="52" s="1"/>
  <c r="J40" i="52"/>
  <c r="L40" i="52" s="1"/>
  <c r="J39" i="52"/>
  <c r="L39" i="52" s="1"/>
  <c r="F29" i="52"/>
  <c r="J25" i="52"/>
  <c r="L25" i="52" s="1"/>
  <c r="J41" i="52"/>
  <c r="L41" i="52" s="1"/>
  <c r="J34" i="52"/>
  <c r="L34" i="52" s="1"/>
  <c r="J12" i="52"/>
  <c r="L12" i="52" s="1"/>
  <c r="J45" i="52"/>
  <c r="J49" i="52"/>
  <c r="K41" i="52"/>
  <c r="K32" i="52"/>
  <c r="I42" i="52"/>
  <c r="H42" i="52"/>
  <c r="J33" i="52"/>
  <c r="J38" i="52"/>
  <c r="L38" i="52" s="1"/>
  <c r="K25" i="52"/>
  <c r="G29" i="52"/>
  <c r="H19" i="52"/>
  <c r="I19" i="52"/>
  <c r="J8" i="52"/>
  <c r="L8" i="52" s="1"/>
  <c r="J6" i="52"/>
  <c r="L6" i="52" s="1"/>
  <c r="K11" i="52"/>
  <c r="K33" i="52"/>
  <c r="H13" i="52"/>
  <c r="J7" i="52"/>
  <c r="L7" i="52" s="1"/>
  <c r="K22" i="52"/>
  <c r="L22" i="52"/>
  <c r="I13" i="52"/>
  <c r="K4" i="52"/>
  <c r="E29" i="52"/>
  <c r="K40" i="52"/>
  <c r="K37" i="52"/>
  <c r="J16" i="52"/>
  <c r="L16" i="52" s="1"/>
  <c r="I26" i="52"/>
  <c r="C13" i="52"/>
  <c r="C29" i="52" s="1"/>
  <c r="D13" i="52"/>
  <c r="D29" i="52" s="1"/>
  <c r="J3" i="52"/>
  <c r="L3" i="52" s="1"/>
  <c r="E45" i="51"/>
  <c r="D45" i="51"/>
  <c r="E23" i="51"/>
  <c r="D23" i="51"/>
  <c r="E36" i="51"/>
  <c r="D36" i="51"/>
  <c r="E11" i="51"/>
  <c r="D11" i="51"/>
  <c r="E10" i="51"/>
  <c r="D10" i="51"/>
  <c r="E9" i="51"/>
  <c r="D9" i="51"/>
  <c r="E8" i="51"/>
  <c r="D8" i="51"/>
  <c r="E7" i="51"/>
  <c r="D7" i="51"/>
  <c r="E5" i="51"/>
  <c r="D5" i="51"/>
  <c r="J46" i="52" l="1"/>
  <c r="L45" i="52"/>
  <c r="L46" i="52" s="1"/>
  <c r="K45" i="52"/>
  <c r="K46" i="52" s="1"/>
  <c r="L35" i="52"/>
  <c r="K12" i="52"/>
  <c r="K49" i="52"/>
  <c r="K50" i="52" s="1"/>
  <c r="L49" i="52"/>
  <c r="K17" i="52"/>
  <c r="K18" i="52"/>
  <c r="K36" i="52"/>
  <c r="K10" i="52"/>
  <c r="L9" i="52"/>
  <c r="K8" i="52"/>
  <c r="K6" i="52"/>
  <c r="K5" i="52"/>
  <c r="K39" i="52"/>
  <c r="K34" i="52"/>
  <c r="K38" i="52"/>
  <c r="J42" i="52"/>
  <c r="J50" i="52"/>
  <c r="L50" i="52"/>
  <c r="L42" i="52"/>
  <c r="K42" i="52"/>
  <c r="J23" i="52"/>
  <c r="K23" i="52" s="1"/>
  <c r="K26" i="52" s="1"/>
  <c r="J13" i="52"/>
  <c r="J26" i="52"/>
  <c r="K3" i="52"/>
  <c r="I29" i="52"/>
  <c r="H26" i="52"/>
  <c r="H29" i="52" s="1"/>
  <c r="K7" i="52"/>
  <c r="L19" i="52"/>
  <c r="K16" i="52"/>
  <c r="J19" i="52"/>
  <c r="L33" i="51"/>
  <c r="I49" i="51"/>
  <c r="I50" i="51" s="1"/>
  <c r="H49" i="51"/>
  <c r="H50" i="51" s="1"/>
  <c r="I45" i="51"/>
  <c r="I46" i="51" s="1"/>
  <c r="H45" i="51"/>
  <c r="H46" i="51" s="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25" i="51"/>
  <c r="H25" i="51"/>
  <c r="I24" i="51"/>
  <c r="H24" i="51"/>
  <c r="I23" i="51"/>
  <c r="H23" i="51"/>
  <c r="I18" i="51"/>
  <c r="H18" i="51"/>
  <c r="I17" i="51"/>
  <c r="H17" i="51"/>
  <c r="I16" i="51"/>
  <c r="H16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I5" i="51"/>
  <c r="H5" i="51"/>
  <c r="I4" i="51"/>
  <c r="H4" i="51"/>
  <c r="I3" i="51"/>
  <c r="H3" i="51"/>
  <c r="I49" i="50"/>
  <c r="H49" i="50"/>
  <c r="I45" i="50"/>
  <c r="H45" i="50"/>
  <c r="I41" i="50"/>
  <c r="I40" i="50"/>
  <c r="I39" i="50"/>
  <c r="H41" i="50"/>
  <c r="H40" i="50"/>
  <c r="H39" i="50"/>
  <c r="I38" i="50"/>
  <c r="H38" i="50"/>
  <c r="L37" i="50"/>
  <c r="L36" i="50"/>
  <c r="L35" i="50"/>
  <c r="L34" i="50"/>
  <c r="L33" i="50"/>
  <c r="L32" i="50"/>
  <c r="L25" i="50"/>
  <c r="L24" i="50"/>
  <c r="L23" i="50"/>
  <c r="L18" i="50"/>
  <c r="L17" i="50"/>
  <c r="L16" i="50"/>
  <c r="L12" i="50"/>
  <c r="L11" i="50"/>
  <c r="L10" i="50"/>
  <c r="L9" i="50"/>
  <c r="L8" i="50"/>
  <c r="L7" i="50"/>
  <c r="L6" i="50"/>
  <c r="L5" i="50"/>
  <c r="L4" i="50"/>
  <c r="L3" i="50"/>
  <c r="I37" i="50"/>
  <c r="H37" i="50"/>
  <c r="I36" i="50"/>
  <c r="H36" i="50"/>
  <c r="I35" i="50"/>
  <c r="H35" i="50"/>
  <c r="I34" i="50"/>
  <c r="H34" i="50"/>
  <c r="I33" i="50"/>
  <c r="H33" i="50"/>
  <c r="I32" i="50"/>
  <c r="H32" i="50"/>
  <c r="I25" i="50"/>
  <c r="H25" i="50"/>
  <c r="I24" i="50"/>
  <c r="H24" i="50"/>
  <c r="I23" i="50"/>
  <c r="H23" i="50"/>
  <c r="I18" i="50"/>
  <c r="H18" i="50"/>
  <c r="I17" i="50"/>
  <c r="H17" i="50"/>
  <c r="I16" i="50"/>
  <c r="H16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I5" i="50"/>
  <c r="H5" i="50"/>
  <c r="I4" i="50"/>
  <c r="H4" i="50"/>
  <c r="I3" i="50"/>
  <c r="H3" i="50"/>
  <c r="G50" i="51"/>
  <c r="F50" i="51"/>
  <c r="E50" i="51"/>
  <c r="D50" i="51"/>
  <c r="C49" i="51"/>
  <c r="C50" i="51" s="1"/>
  <c r="G46" i="51"/>
  <c r="F46" i="51"/>
  <c r="E46" i="51"/>
  <c r="D46" i="51"/>
  <c r="C45" i="51"/>
  <c r="C46" i="51" s="1"/>
  <c r="G42" i="51"/>
  <c r="F42" i="51"/>
  <c r="E42" i="51"/>
  <c r="D42" i="51"/>
  <c r="C39" i="51"/>
  <c r="G26" i="51"/>
  <c r="F26" i="51"/>
  <c r="E26" i="51"/>
  <c r="D26" i="51"/>
  <c r="C23" i="51"/>
  <c r="C26" i="51" s="1"/>
  <c r="I22" i="51"/>
  <c r="H22" i="51"/>
  <c r="G19" i="51"/>
  <c r="F19" i="51"/>
  <c r="E19" i="51"/>
  <c r="D19" i="51"/>
  <c r="C19" i="51"/>
  <c r="G13" i="51"/>
  <c r="F13" i="51"/>
  <c r="E13" i="51"/>
  <c r="D13" i="51"/>
  <c r="C3" i="51"/>
  <c r="L23" i="52" l="1"/>
  <c r="L26" i="52" s="1"/>
  <c r="K19" i="52"/>
  <c r="J29" i="52"/>
  <c r="L13" i="52"/>
  <c r="K13" i="52"/>
  <c r="J38" i="51"/>
  <c r="K38" i="51" s="1"/>
  <c r="J39" i="51"/>
  <c r="L39" i="51" s="1"/>
  <c r="J40" i="51"/>
  <c r="L40" i="51" s="1"/>
  <c r="L38" i="51"/>
  <c r="J37" i="51"/>
  <c r="L37" i="51" s="1"/>
  <c r="J35" i="51"/>
  <c r="L35" i="51" s="1"/>
  <c r="J12" i="51"/>
  <c r="L12" i="51" s="1"/>
  <c r="J17" i="51"/>
  <c r="L17" i="51" s="1"/>
  <c r="J18" i="51"/>
  <c r="L18" i="51" s="1"/>
  <c r="J16" i="51"/>
  <c r="J36" i="51"/>
  <c r="L36" i="51" s="1"/>
  <c r="I42" i="51"/>
  <c r="J7" i="51"/>
  <c r="L7" i="51" s="1"/>
  <c r="J41" i="51"/>
  <c r="L41" i="51" s="1"/>
  <c r="J34" i="51"/>
  <c r="L34" i="51" s="1"/>
  <c r="H42" i="51"/>
  <c r="E29" i="51"/>
  <c r="J23" i="51"/>
  <c r="L23" i="51" s="1"/>
  <c r="H26" i="51"/>
  <c r="D29" i="51"/>
  <c r="J11" i="51"/>
  <c r="L11" i="51" s="1"/>
  <c r="J10" i="51"/>
  <c r="L10" i="51" s="1"/>
  <c r="J9" i="51"/>
  <c r="L9" i="51" s="1"/>
  <c r="J5" i="51"/>
  <c r="L5" i="51" s="1"/>
  <c r="J33" i="51"/>
  <c r="K39" i="51"/>
  <c r="I26" i="51"/>
  <c r="J25" i="51"/>
  <c r="L25" i="51" s="1"/>
  <c r="J24" i="51"/>
  <c r="L24" i="51" s="1"/>
  <c r="I19" i="51"/>
  <c r="G29" i="51"/>
  <c r="J3" i="51"/>
  <c r="L3" i="51" s="1"/>
  <c r="I13" i="51"/>
  <c r="J8" i="51"/>
  <c r="L8" i="51" s="1"/>
  <c r="J6" i="51"/>
  <c r="F29" i="51"/>
  <c r="K23" i="51"/>
  <c r="K18" i="51"/>
  <c r="K8" i="51"/>
  <c r="K11" i="51"/>
  <c r="J4" i="51"/>
  <c r="L4" i="51" s="1"/>
  <c r="H19" i="51"/>
  <c r="H13" i="51"/>
  <c r="J32" i="51"/>
  <c r="L32" i="51" s="1"/>
  <c r="C13" i="51"/>
  <c r="C29" i="51" s="1"/>
  <c r="K16" i="51"/>
  <c r="J22" i="51"/>
  <c r="C42" i="51"/>
  <c r="J45" i="51"/>
  <c r="K45" i="51" s="1"/>
  <c r="K46" i="51" s="1"/>
  <c r="J49" i="51"/>
  <c r="C13" i="50"/>
  <c r="D13" i="50"/>
  <c r="I13" i="50"/>
  <c r="H13" i="50"/>
  <c r="G13" i="50"/>
  <c r="F13" i="50"/>
  <c r="E13" i="50"/>
  <c r="L29" i="52" l="1"/>
  <c r="K29" i="52"/>
  <c r="K40" i="51"/>
  <c r="K37" i="51"/>
  <c r="K35" i="51"/>
  <c r="K12" i="51"/>
  <c r="J50" i="51"/>
  <c r="L49" i="51"/>
  <c r="L50" i="51" s="1"/>
  <c r="K17" i="51"/>
  <c r="J19" i="51"/>
  <c r="L16" i="51"/>
  <c r="L19" i="51" s="1"/>
  <c r="K36" i="51"/>
  <c r="K10" i="51"/>
  <c r="K24" i="51"/>
  <c r="K9" i="51"/>
  <c r="K7" i="51"/>
  <c r="K6" i="51"/>
  <c r="L6" i="51"/>
  <c r="L13" i="51" s="1"/>
  <c r="K5" i="51"/>
  <c r="K25" i="51"/>
  <c r="K41" i="51"/>
  <c r="K34" i="51"/>
  <c r="H29" i="51"/>
  <c r="J46" i="51"/>
  <c r="L45" i="51"/>
  <c r="L46" i="51" s="1"/>
  <c r="J13" i="51"/>
  <c r="K33" i="51"/>
  <c r="K3" i="51"/>
  <c r="I29" i="51"/>
  <c r="K19" i="51"/>
  <c r="L26" i="51"/>
  <c r="L22" i="51"/>
  <c r="J26" i="51"/>
  <c r="K22" i="51"/>
  <c r="K26" i="51" s="1"/>
  <c r="K49" i="51"/>
  <c r="K50" i="51" s="1"/>
  <c r="K4" i="51"/>
  <c r="J42" i="51"/>
  <c r="K32" i="51"/>
  <c r="L42" i="51"/>
  <c r="C49" i="50"/>
  <c r="K42" i="51" l="1"/>
  <c r="K13" i="51"/>
  <c r="K29" i="51" s="1"/>
  <c r="J29" i="51"/>
  <c r="L29" i="51"/>
  <c r="C23" i="50"/>
  <c r="G50" i="50" l="1"/>
  <c r="F50" i="50"/>
  <c r="E50" i="50"/>
  <c r="D50" i="50"/>
  <c r="C50" i="50"/>
  <c r="I50" i="50"/>
  <c r="H50" i="50"/>
  <c r="G46" i="50"/>
  <c r="F46" i="50"/>
  <c r="E46" i="50"/>
  <c r="D46" i="50"/>
  <c r="I46" i="50"/>
  <c r="H46" i="50"/>
  <c r="C45" i="50"/>
  <c r="C46" i="50" s="1"/>
  <c r="C39" i="50"/>
  <c r="C42" i="50" s="1"/>
  <c r="J36" i="50"/>
  <c r="G42" i="50"/>
  <c r="E42" i="50"/>
  <c r="D42" i="50"/>
  <c r="G26" i="50"/>
  <c r="F26" i="50"/>
  <c r="E26" i="50"/>
  <c r="D26" i="50"/>
  <c r="C26" i="50"/>
  <c r="C29" i="50" s="1"/>
  <c r="I22" i="50"/>
  <c r="H22" i="50"/>
  <c r="G19" i="50"/>
  <c r="F19" i="50"/>
  <c r="E19" i="50"/>
  <c r="D19" i="50"/>
  <c r="C19" i="50"/>
  <c r="C3" i="50"/>
  <c r="J40" i="50" l="1"/>
  <c r="L40" i="50" s="1"/>
  <c r="J32" i="50"/>
  <c r="J25" i="50"/>
  <c r="J3" i="50"/>
  <c r="J17" i="50"/>
  <c r="E29" i="50"/>
  <c r="J7" i="50"/>
  <c r="D29" i="50"/>
  <c r="J38" i="50"/>
  <c r="L38" i="50" s="1"/>
  <c r="J37" i="50"/>
  <c r="J18" i="50"/>
  <c r="I26" i="50"/>
  <c r="H19" i="50"/>
  <c r="J24" i="50"/>
  <c r="J39" i="50"/>
  <c r="J12" i="50"/>
  <c r="H42" i="50"/>
  <c r="J35" i="50"/>
  <c r="K35" i="50" s="1"/>
  <c r="J41" i="50"/>
  <c r="H26" i="50"/>
  <c r="I19" i="50"/>
  <c r="J10" i="50"/>
  <c r="K10" i="50" s="1"/>
  <c r="J11" i="50"/>
  <c r="J5" i="50"/>
  <c r="J8" i="50"/>
  <c r="K8" i="50" s="1"/>
  <c r="J6" i="50"/>
  <c r="K6" i="50" s="1"/>
  <c r="J34" i="50"/>
  <c r="K25" i="50"/>
  <c r="J9" i="50"/>
  <c r="K36" i="50"/>
  <c r="J4" i="50"/>
  <c r="K7" i="50"/>
  <c r="F29" i="50"/>
  <c r="J23" i="50"/>
  <c r="K23" i="50" s="1"/>
  <c r="F42" i="50"/>
  <c r="G29" i="50"/>
  <c r="I42" i="50"/>
  <c r="J49" i="50"/>
  <c r="L49" i="50" s="1"/>
  <c r="J16" i="50"/>
  <c r="J22" i="50"/>
  <c r="J45" i="50"/>
  <c r="G34" i="49"/>
  <c r="F34" i="49"/>
  <c r="E34" i="49"/>
  <c r="D34" i="49"/>
  <c r="J46" i="50" l="1"/>
  <c r="L45" i="50"/>
  <c r="L46" i="50" s="1"/>
  <c r="K41" i="50"/>
  <c r="L41" i="50"/>
  <c r="K39" i="50"/>
  <c r="L39" i="50"/>
  <c r="K38" i="50"/>
  <c r="K12" i="50"/>
  <c r="J13" i="50"/>
  <c r="K3" i="50"/>
  <c r="K40" i="50"/>
  <c r="K32" i="50"/>
  <c r="K17" i="50"/>
  <c r="K18" i="50"/>
  <c r="K11" i="50"/>
  <c r="K24" i="50"/>
  <c r="H29" i="50"/>
  <c r="K37" i="50"/>
  <c r="K5" i="50"/>
  <c r="J33" i="50"/>
  <c r="J42" i="50" s="1"/>
  <c r="I29" i="50"/>
  <c r="K33" i="50"/>
  <c r="L26" i="50"/>
  <c r="J19" i="50"/>
  <c r="L19" i="50"/>
  <c r="K16" i="50"/>
  <c r="K4" i="50"/>
  <c r="L22" i="50"/>
  <c r="K22" i="50"/>
  <c r="J26" i="50"/>
  <c r="J50" i="50"/>
  <c r="L50" i="50"/>
  <c r="K49" i="50"/>
  <c r="K50" i="50" s="1"/>
  <c r="K34" i="50"/>
  <c r="K45" i="50"/>
  <c r="K46" i="50" s="1"/>
  <c r="K9" i="50"/>
  <c r="E33" i="49"/>
  <c r="D33" i="49"/>
  <c r="G9" i="49"/>
  <c r="F9" i="49"/>
  <c r="K19" i="50" l="1"/>
  <c r="K13" i="50"/>
  <c r="L13" i="50"/>
  <c r="K26" i="50"/>
  <c r="L29" i="50"/>
  <c r="K42" i="50"/>
  <c r="J29" i="50"/>
  <c r="L42" i="50"/>
  <c r="I48" i="49"/>
  <c r="I49" i="49" s="1"/>
  <c r="H48" i="49"/>
  <c r="H49" i="49" s="1"/>
  <c r="I44" i="49"/>
  <c r="I45" i="49" s="1"/>
  <c r="H44" i="49"/>
  <c r="H45" i="49" s="1"/>
  <c r="I40" i="49"/>
  <c r="H40" i="49"/>
  <c r="I39" i="49"/>
  <c r="H39" i="49"/>
  <c r="I38" i="49"/>
  <c r="H38" i="49"/>
  <c r="I37" i="49"/>
  <c r="H37" i="49"/>
  <c r="I36" i="49"/>
  <c r="H36" i="49"/>
  <c r="I35" i="49"/>
  <c r="H35" i="49"/>
  <c r="I34" i="49"/>
  <c r="H34" i="49"/>
  <c r="I33" i="49"/>
  <c r="H33" i="49"/>
  <c r="I32" i="49"/>
  <c r="H32" i="49"/>
  <c r="I25" i="49"/>
  <c r="H25" i="49"/>
  <c r="I24" i="49"/>
  <c r="H24" i="49"/>
  <c r="I23" i="49"/>
  <c r="H23" i="49"/>
  <c r="I18" i="49"/>
  <c r="H18" i="49"/>
  <c r="I17" i="49"/>
  <c r="H17" i="49"/>
  <c r="I16" i="49"/>
  <c r="H16" i="49"/>
  <c r="I12" i="49"/>
  <c r="H12" i="49"/>
  <c r="I11" i="49"/>
  <c r="H11" i="49"/>
  <c r="I10" i="49"/>
  <c r="H10" i="49"/>
  <c r="I9" i="49"/>
  <c r="H9" i="49"/>
  <c r="I8" i="49"/>
  <c r="H8" i="49"/>
  <c r="I7" i="49"/>
  <c r="H7" i="49"/>
  <c r="I6" i="49"/>
  <c r="H6" i="49"/>
  <c r="I5" i="49"/>
  <c r="H5" i="49"/>
  <c r="I4" i="49"/>
  <c r="H4" i="49"/>
  <c r="I3" i="49"/>
  <c r="H3" i="49"/>
  <c r="G49" i="49"/>
  <c r="F49" i="49"/>
  <c r="E49" i="49"/>
  <c r="D49" i="49"/>
  <c r="C49" i="49"/>
  <c r="G45" i="49"/>
  <c r="F45" i="49"/>
  <c r="E45" i="49"/>
  <c r="D45" i="49"/>
  <c r="C44" i="49"/>
  <c r="C45" i="49" s="1"/>
  <c r="G41" i="49"/>
  <c r="F41" i="49"/>
  <c r="E41" i="49"/>
  <c r="D41" i="49"/>
  <c r="C38" i="49"/>
  <c r="C41" i="49" s="1"/>
  <c r="G26" i="49"/>
  <c r="F26" i="49"/>
  <c r="E26" i="49"/>
  <c r="D26" i="49"/>
  <c r="C23" i="49"/>
  <c r="C26" i="49" s="1"/>
  <c r="I22" i="49"/>
  <c r="H22" i="49"/>
  <c r="G19" i="49"/>
  <c r="F19" i="49"/>
  <c r="E19" i="49"/>
  <c r="D19" i="49"/>
  <c r="C19" i="49"/>
  <c r="G13" i="49"/>
  <c r="F13" i="49"/>
  <c r="E13" i="49"/>
  <c r="D13" i="49"/>
  <c r="C13" i="49"/>
  <c r="C29" i="49" s="1"/>
  <c r="C3" i="49"/>
  <c r="K29" i="50" l="1"/>
  <c r="J39" i="49"/>
  <c r="L39" i="49" s="1"/>
  <c r="J35" i="49"/>
  <c r="L35" i="49" s="1"/>
  <c r="J25" i="49"/>
  <c r="L25" i="49" s="1"/>
  <c r="J4" i="49"/>
  <c r="L4" i="49" s="1"/>
  <c r="J23" i="49"/>
  <c r="L23" i="49" s="1"/>
  <c r="H26" i="49"/>
  <c r="I19" i="49"/>
  <c r="J17" i="49"/>
  <c r="L17" i="49" s="1"/>
  <c r="J36" i="49"/>
  <c r="L36" i="49" s="1"/>
  <c r="J11" i="49"/>
  <c r="L11" i="49" s="1"/>
  <c r="J10" i="49"/>
  <c r="K10" i="49" s="1"/>
  <c r="J24" i="49"/>
  <c r="L24" i="49" s="1"/>
  <c r="G29" i="49"/>
  <c r="D29" i="49"/>
  <c r="E29" i="49"/>
  <c r="J8" i="49"/>
  <c r="L8" i="49" s="1"/>
  <c r="J7" i="49"/>
  <c r="L7" i="49" s="1"/>
  <c r="J6" i="49"/>
  <c r="L6" i="49" s="1"/>
  <c r="J5" i="49"/>
  <c r="L5" i="49" s="1"/>
  <c r="J40" i="49"/>
  <c r="L40" i="49" s="1"/>
  <c r="J37" i="49"/>
  <c r="L37" i="49" s="1"/>
  <c r="H41" i="49"/>
  <c r="J33" i="49"/>
  <c r="L33" i="49" s="1"/>
  <c r="J3" i="49"/>
  <c r="L3" i="49" s="1"/>
  <c r="J38" i="49"/>
  <c r="I41" i="49"/>
  <c r="J34" i="49"/>
  <c r="L34" i="49" s="1"/>
  <c r="I26" i="49"/>
  <c r="H19" i="49"/>
  <c r="F29" i="49"/>
  <c r="I13" i="49"/>
  <c r="J12" i="49"/>
  <c r="J9" i="49"/>
  <c r="L9" i="49" s="1"/>
  <c r="K36" i="49"/>
  <c r="K4" i="49"/>
  <c r="K24" i="49"/>
  <c r="K11" i="49"/>
  <c r="J16" i="49"/>
  <c r="L16" i="49" s="1"/>
  <c r="J22" i="49"/>
  <c r="J18" i="49"/>
  <c r="L18" i="49" s="1"/>
  <c r="J32" i="49"/>
  <c r="L32" i="49" s="1"/>
  <c r="J48" i="49"/>
  <c r="L48" i="49" s="1"/>
  <c r="J44" i="49"/>
  <c r="H13" i="49"/>
  <c r="H33" i="47"/>
  <c r="I33" i="47"/>
  <c r="L34" i="47"/>
  <c r="K34" i="47"/>
  <c r="I34" i="47"/>
  <c r="J34" i="47" s="1"/>
  <c r="H34" i="47"/>
  <c r="K39" i="49" l="1"/>
  <c r="K38" i="49"/>
  <c r="L38" i="49"/>
  <c r="K35" i="49"/>
  <c r="K25" i="49"/>
  <c r="J45" i="49"/>
  <c r="L44" i="49"/>
  <c r="L45" i="49" s="1"/>
  <c r="K23" i="49"/>
  <c r="K12" i="49"/>
  <c r="L12" i="49"/>
  <c r="L13" i="49" s="1"/>
  <c r="K17" i="49"/>
  <c r="L10" i="49"/>
  <c r="I29" i="49"/>
  <c r="K8" i="49"/>
  <c r="K7" i="49"/>
  <c r="K6" i="49"/>
  <c r="K5" i="49"/>
  <c r="K40" i="49"/>
  <c r="K37" i="49"/>
  <c r="K34" i="49"/>
  <c r="K33" i="49"/>
  <c r="K9" i="49"/>
  <c r="K3" i="49"/>
  <c r="L26" i="49"/>
  <c r="H29" i="49"/>
  <c r="J13" i="49"/>
  <c r="J19" i="49"/>
  <c r="K16" i="49"/>
  <c r="J49" i="49"/>
  <c r="L49" i="49"/>
  <c r="K48" i="49"/>
  <c r="K49" i="49" s="1"/>
  <c r="J41" i="49"/>
  <c r="L41" i="49"/>
  <c r="K32" i="49"/>
  <c r="K18" i="49"/>
  <c r="K44" i="49"/>
  <c r="K45" i="49" s="1"/>
  <c r="J26" i="49"/>
  <c r="L22" i="49"/>
  <c r="K22" i="49"/>
  <c r="K26" i="49" s="1"/>
  <c r="J33" i="47"/>
  <c r="L33" i="47" s="1"/>
  <c r="I48" i="47"/>
  <c r="I49" i="47" s="1"/>
  <c r="H48" i="47"/>
  <c r="H49" i="47" s="1"/>
  <c r="I44" i="47"/>
  <c r="I45" i="47" s="1"/>
  <c r="H44" i="47"/>
  <c r="H45" i="47" s="1"/>
  <c r="I40" i="47"/>
  <c r="H40" i="47"/>
  <c r="I39" i="47"/>
  <c r="H39" i="47"/>
  <c r="I38" i="47"/>
  <c r="H38" i="47"/>
  <c r="I37" i="47"/>
  <c r="H37" i="47"/>
  <c r="I36" i="47"/>
  <c r="H36" i="47"/>
  <c r="I35" i="47"/>
  <c r="H35" i="47"/>
  <c r="I32" i="47"/>
  <c r="H32" i="47"/>
  <c r="I25" i="47"/>
  <c r="H25" i="47"/>
  <c r="I24" i="47"/>
  <c r="H24" i="47"/>
  <c r="I23" i="47"/>
  <c r="H23" i="47"/>
  <c r="I18" i="47"/>
  <c r="H18" i="47"/>
  <c r="I17" i="47"/>
  <c r="H17" i="47"/>
  <c r="J17" i="47" s="1"/>
  <c r="K17" i="47" s="1"/>
  <c r="I16" i="47"/>
  <c r="H16" i="47"/>
  <c r="I12" i="47"/>
  <c r="H12" i="47"/>
  <c r="I11" i="47"/>
  <c r="H11" i="47"/>
  <c r="I10" i="47"/>
  <c r="H10" i="47"/>
  <c r="I9" i="47"/>
  <c r="H9" i="47"/>
  <c r="I8" i="47"/>
  <c r="H8" i="47"/>
  <c r="I7" i="47"/>
  <c r="H7" i="47"/>
  <c r="I6" i="47"/>
  <c r="H6" i="47"/>
  <c r="I5" i="47"/>
  <c r="H5" i="47"/>
  <c r="I4" i="47"/>
  <c r="H4" i="47"/>
  <c r="I3" i="47"/>
  <c r="H3" i="47"/>
  <c r="G49" i="47"/>
  <c r="F49" i="47"/>
  <c r="E49" i="47"/>
  <c r="D49" i="47"/>
  <c r="C49" i="47"/>
  <c r="G45" i="47"/>
  <c r="F45" i="47"/>
  <c r="E45" i="47"/>
  <c r="D45" i="47"/>
  <c r="C44" i="47"/>
  <c r="C45" i="47" s="1"/>
  <c r="G41" i="47"/>
  <c r="F41" i="47"/>
  <c r="E41" i="47"/>
  <c r="D41" i="47"/>
  <c r="C38" i="47"/>
  <c r="C41" i="47" s="1"/>
  <c r="G26" i="47"/>
  <c r="F26" i="47"/>
  <c r="E26" i="47"/>
  <c r="D26" i="47"/>
  <c r="C23" i="47"/>
  <c r="I22" i="47"/>
  <c r="H22" i="47"/>
  <c r="G19" i="47"/>
  <c r="F19" i="47"/>
  <c r="E19" i="47"/>
  <c r="D19" i="47"/>
  <c r="C19" i="47"/>
  <c r="G13" i="47"/>
  <c r="F13" i="47"/>
  <c r="E13" i="47"/>
  <c r="D13" i="47"/>
  <c r="C13" i="47"/>
  <c r="C3" i="47"/>
  <c r="K13" i="49" l="1"/>
  <c r="K41" i="49"/>
  <c r="J29" i="49"/>
  <c r="K19" i="49"/>
  <c r="L19" i="49"/>
  <c r="L29" i="49" s="1"/>
  <c r="J39" i="47"/>
  <c r="L39" i="47" s="1"/>
  <c r="J35" i="47"/>
  <c r="L35" i="47" s="1"/>
  <c r="J18" i="47"/>
  <c r="L18" i="47" s="1"/>
  <c r="I41" i="47"/>
  <c r="K33" i="47"/>
  <c r="J11" i="47"/>
  <c r="L11" i="47" s="1"/>
  <c r="J10" i="47"/>
  <c r="L10" i="47" s="1"/>
  <c r="J24" i="47"/>
  <c r="L24" i="47" s="1"/>
  <c r="D29" i="47"/>
  <c r="J8" i="47"/>
  <c r="J7" i="47"/>
  <c r="L7" i="47" s="1"/>
  <c r="J6" i="47"/>
  <c r="L6" i="47" s="1"/>
  <c r="G29" i="47"/>
  <c r="E29" i="47"/>
  <c r="J25" i="47"/>
  <c r="L25" i="47" s="1"/>
  <c r="J37" i="47"/>
  <c r="L37" i="47" s="1"/>
  <c r="K8" i="47"/>
  <c r="L8" i="47"/>
  <c r="J36" i="47"/>
  <c r="L36" i="47" s="1"/>
  <c r="L17" i="47"/>
  <c r="J5" i="47"/>
  <c r="L5" i="47" s="1"/>
  <c r="J16" i="47"/>
  <c r="L16" i="47" s="1"/>
  <c r="K6" i="47"/>
  <c r="J3" i="47"/>
  <c r="L3" i="47" s="1"/>
  <c r="H41" i="47"/>
  <c r="J40" i="47"/>
  <c r="L40" i="47" s="1"/>
  <c r="J38" i="47"/>
  <c r="L38" i="47" s="1"/>
  <c r="H26" i="47"/>
  <c r="I26" i="47"/>
  <c r="F29" i="47"/>
  <c r="J23" i="47"/>
  <c r="I19" i="47"/>
  <c r="I13" i="47"/>
  <c r="H13" i="47"/>
  <c r="J12" i="47"/>
  <c r="J9" i="47"/>
  <c r="L9" i="47" s="1"/>
  <c r="K25" i="47"/>
  <c r="K10" i="47"/>
  <c r="K18" i="47"/>
  <c r="K35" i="47"/>
  <c r="K7" i="47"/>
  <c r="K11" i="47"/>
  <c r="H19" i="47"/>
  <c r="J32" i="47"/>
  <c r="L32" i="47" s="1"/>
  <c r="C26" i="47"/>
  <c r="C29" i="47" s="1"/>
  <c r="J48" i="47"/>
  <c r="L48" i="47" s="1"/>
  <c r="J44" i="47"/>
  <c r="J4" i="47"/>
  <c r="L4" i="47" s="1"/>
  <c r="J22" i="47"/>
  <c r="C3" i="46"/>
  <c r="I47" i="46"/>
  <c r="I48" i="46" s="1"/>
  <c r="H47" i="46"/>
  <c r="H48" i="46" s="1"/>
  <c r="I43" i="46"/>
  <c r="I44" i="46" s="1"/>
  <c r="H43" i="46"/>
  <c r="H44" i="46" s="1"/>
  <c r="I39" i="46"/>
  <c r="H39" i="46"/>
  <c r="I38" i="46"/>
  <c r="H38" i="46"/>
  <c r="I37" i="46"/>
  <c r="H37" i="46"/>
  <c r="I36" i="46"/>
  <c r="H36" i="46"/>
  <c r="I35" i="46"/>
  <c r="H35" i="46"/>
  <c r="I34" i="46"/>
  <c r="H34" i="46"/>
  <c r="I33" i="46"/>
  <c r="H33" i="46"/>
  <c r="I32" i="46"/>
  <c r="H32" i="46"/>
  <c r="I25" i="46"/>
  <c r="H25" i="46"/>
  <c r="I24" i="46"/>
  <c r="H24" i="46"/>
  <c r="I23" i="46"/>
  <c r="H23" i="46"/>
  <c r="I18" i="46"/>
  <c r="H18" i="46"/>
  <c r="I17" i="46"/>
  <c r="H17" i="46"/>
  <c r="I16" i="46"/>
  <c r="H16" i="46"/>
  <c r="I12" i="46"/>
  <c r="H12" i="46"/>
  <c r="I11" i="46"/>
  <c r="H11" i="46"/>
  <c r="I10" i="46"/>
  <c r="H10" i="46"/>
  <c r="I9" i="46"/>
  <c r="H9" i="46"/>
  <c r="I8" i="46"/>
  <c r="H8" i="46"/>
  <c r="I7" i="46"/>
  <c r="H7" i="46"/>
  <c r="I6" i="46"/>
  <c r="H6" i="46"/>
  <c r="I5" i="46"/>
  <c r="H5" i="46"/>
  <c r="I4" i="46"/>
  <c r="H4" i="46"/>
  <c r="I3" i="46"/>
  <c r="H3" i="46"/>
  <c r="G48" i="46"/>
  <c r="F48" i="46"/>
  <c r="E48" i="46"/>
  <c r="D48" i="46"/>
  <c r="C48" i="46"/>
  <c r="G44" i="46"/>
  <c r="F44" i="46"/>
  <c r="E44" i="46"/>
  <c r="D44" i="46"/>
  <c r="C43" i="46"/>
  <c r="C44" i="46" s="1"/>
  <c r="G40" i="46"/>
  <c r="F40" i="46"/>
  <c r="E40" i="46"/>
  <c r="D40" i="46"/>
  <c r="C37" i="46"/>
  <c r="C40" i="46" s="1"/>
  <c r="G26" i="46"/>
  <c r="F26" i="46"/>
  <c r="E26" i="46"/>
  <c r="D26" i="46"/>
  <c r="C23" i="46"/>
  <c r="I22" i="46"/>
  <c r="H22" i="46"/>
  <c r="G19" i="46"/>
  <c r="F19" i="46"/>
  <c r="E19" i="46"/>
  <c r="D19" i="46"/>
  <c r="C19" i="46"/>
  <c r="G13" i="46"/>
  <c r="F13" i="46"/>
  <c r="E13" i="46"/>
  <c r="D13" i="46"/>
  <c r="C13" i="46"/>
  <c r="K29" i="49" l="1"/>
  <c r="K39" i="47"/>
  <c r="K16" i="47"/>
  <c r="K19" i="47" s="1"/>
  <c r="J19" i="47"/>
  <c r="K36" i="47"/>
  <c r="K24" i="47"/>
  <c r="K37" i="47"/>
  <c r="K23" i="47"/>
  <c r="L23" i="47"/>
  <c r="L26" i="47" s="1"/>
  <c r="K3" i="47"/>
  <c r="L44" i="47"/>
  <c r="L45" i="47" s="1"/>
  <c r="K12" i="47"/>
  <c r="L12" i="47"/>
  <c r="K5" i="47"/>
  <c r="K38" i="47"/>
  <c r="K9" i="47"/>
  <c r="K40" i="47"/>
  <c r="I29" i="47"/>
  <c r="H29" i="47"/>
  <c r="L22" i="47"/>
  <c r="J26" i="47"/>
  <c r="K22" i="47"/>
  <c r="J13" i="47"/>
  <c r="K4" i="47"/>
  <c r="L19" i="47"/>
  <c r="J45" i="47"/>
  <c r="K44" i="47"/>
  <c r="K45" i="47" s="1"/>
  <c r="J49" i="47"/>
  <c r="K48" i="47"/>
  <c r="K49" i="47" s="1"/>
  <c r="L49" i="47"/>
  <c r="J41" i="47"/>
  <c r="L41" i="47"/>
  <c r="K32" i="47"/>
  <c r="J12" i="46"/>
  <c r="L12" i="46" s="1"/>
  <c r="J34" i="46"/>
  <c r="L34" i="46" s="1"/>
  <c r="J38" i="46"/>
  <c r="L38" i="46" s="1"/>
  <c r="J37" i="46"/>
  <c r="K37" i="46" s="1"/>
  <c r="J36" i="46"/>
  <c r="L36" i="46" s="1"/>
  <c r="J23" i="46"/>
  <c r="L23" i="46" s="1"/>
  <c r="J18" i="46"/>
  <c r="L18" i="46" s="1"/>
  <c r="J35" i="46"/>
  <c r="L35" i="46" s="1"/>
  <c r="J11" i="46"/>
  <c r="L11" i="46" s="1"/>
  <c r="I26" i="46"/>
  <c r="J9" i="46"/>
  <c r="L9" i="46" s="1"/>
  <c r="J8" i="46"/>
  <c r="L8" i="46" s="1"/>
  <c r="J5" i="46"/>
  <c r="L5" i="46" s="1"/>
  <c r="J39" i="46"/>
  <c r="L39" i="46" s="1"/>
  <c r="H40" i="46"/>
  <c r="F29" i="46"/>
  <c r="J25" i="46"/>
  <c r="L25" i="46" s="1"/>
  <c r="E29" i="46"/>
  <c r="H13" i="46"/>
  <c r="J3" i="46"/>
  <c r="L3" i="46" s="1"/>
  <c r="I40" i="46"/>
  <c r="J32" i="46"/>
  <c r="L32" i="46" s="1"/>
  <c r="J33" i="46"/>
  <c r="L33" i="46" s="1"/>
  <c r="H26" i="46"/>
  <c r="J24" i="46"/>
  <c r="D29" i="46"/>
  <c r="H19" i="46"/>
  <c r="G29" i="46"/>
  <c r="J16" i="46"/>
  <c r="I19" i="46"/>
  <c r="J17" i="46"/>
  <c r="L17" i="46" s="1"/>
  <c r="I13" i="46"/>
  <c r="J6" i="46"/>
  <c r="L6" i="46" s="1"/>
  <c r="J7" i="46"/>
  <c r="L7" i="46" s="1"/>
  <c r="J10" i="46"/>
  <c r="L10" i="46" s="1"/>
  <c r="C29" i="46"/>
  <c r="K36" i="46"/>
  <c r="K12" i="46"/>
  <c r="C26" i="46"/>
  <c r="K32" i="46"/>
  <c r="J47" i="46"/>
  <c r="L47" i="46" s="1"/>
  <c r="K34" i="46"/>
  <c r="J43" i="46"/>
  <c r="J4" i="46"/>
  <c r="L4" i="46" s="1"/>
  <c r="J22" i="46"/>
  <c r="I47" i="44"/>
  <c r="I48" i="44" s="1"/>
  <c r="H47" i="44"/>
  <c r="H48" i="44" s="1"/>
  <c r="I43" i="44"/>
  <c r="I44" i="44" s="1"/>
  <c r="H43" i="44"/>
  <c r="I39" i="44"/>
  <c r="H39" i="44"/>
  <c r="I38" i="44"/>
  <c r="H38" i="44"/>
  <c r="I37" i="44"/>
  <c r="H37" i="44"/>
  <c r="I36" i="44"/>
  <c r="H36" i="44"/>
  <c r="I35" i="44"/>
  <c r="H35" i="44"/>
  <c r="I34" i="44"/>
  <c r="H34" i="44"/>
  <c r="I33" i="44"/>
  <c r="H33" i="44"/>
  <c r="I32" i="44"/>
  <c r="H32" i="44"/>
  <c r="I25" i="44"/>
  <c r="H25" i="44"/>
  <c r="I24" i="44"/>
  <c r="H24" i="44"/>
  <c r="I23" i="44"/>
  <c r="H23" i="44"/>
  <c r="I18" i="44"/>
  <c r="H18" i="44"/>
  <c r="I17" i="44"/>
  <c r="H17" i="44"/>
  <c r="I16" i="44"/>
  <c r="H16" i="44"/>
  <c r="I12" i="44"/>
  <c r="H12" i="44"/>
  <c r="I11" i="44"/>
  <c r="H11" i="44"/>
  <c r="I10" i="44"/>
  <c r="H10" i="44"/>
  <c r="I9" i="44"/>
  <c r="H9" i="44"/>
  <c r="I8" i="44"/>
  <c r="H8" i="44"/>
  <c r="I7" i="44"/>
  <c r="H7" i="44"/>
  <c r="I6" i="44"/>
  <c r="H6" i="44"/>
  <c r="I5" i="44"/>
  <c r="H5" i="44"/>
  <c r="I4" i="44"/>
  <c r="H4" i="44"/>
  <c r="I3" i="44"/>
  <c r="H3" i="44"/>
  <c r="G48" i="44"/>
  <c r="F48" i="44"/>
  <c r="E48" i="44"/>
  <c r="D48" i="44"/>
  <c r="C48" i="44"/>
  <c r="G44" i="44"/>
  <c r="F44" i="44"/>
  <c r="E44" i="44"/>
  <c r="C43" i="44"/>
  <c r="C44" i="44" s="1"/>
  <c r="G40" i="44"/>
  <c r="F40" i="44"/>
  <c r="E40" i="44"/>
  <c r="D40" i="44"/>
  <c r="C37" i="44"/>
  <c r="C40" i="44" s="1"/>
  <c r="G26" i="44"/>
  <c r="F26" i="44"/>
  <c r="E26" i="44"/>
  <c r="D26" i="44"/>
  <c r="C26" i="44"/>
  <c r="C23" i="44"/>
  <c r="I22" i="44"/>
  <c r="H22" i="44"/>
  <c r="G19" i="44"/>
  <c r="F19" i="44"/>
  <c r="E19" i="44"/>
  <c r="D19" i="44"/>
  <c r="C19" i="44"/>
  <c r="G13" i="44"/>
  <c r="F13" i="44"/>
  <c r="D13" i="44"/>
  <c r="C13" i="44"/>
  <c r="C29" i="44" s="1"/>
  <c r="C3" i="44"/>
  <c r="K41" i="47" l="1"/>
  <c r="K13" i="47"/>
  <c r="K26" i="47"/>
  <c r="L13" i="47"/>
  <c r="L29" i="47" s="1"/>
  <c r="J29" i="47"/>
  <c r="K16" i="46"/>
  <c r="L16" i="46"/>
  <c r="K38" i="46"/>
  <c r="L37" i="46"/>
  <c r="J44" i="46"/>
  <c r="L43" i="46"/>
  <c r="L44" i="46" s="1"/>
  <c r="K23" i="46"/>
  <c r="K18" i="46"/>
  <c r="K35" i="46"/>
  <c r="K33" i="46"/>
  <c r="K11" i="46"/>
  <c r="K24" i="46"/>
  <c r="L24" i="46"/>
  <c r="L26" i="46" s="1"/>
  <c r="K9" i="46"/>
  <c r="K8" i="46"/>
  <c r="K7" i="46"/>
  <c r="K5" i="46"/>
  <c r="K39" i="46"/>
  <c r="K25" i="46"/>
  <c r="L40" i="46"/>
  <c r="H29" i="46"/>
  <c r="K6" i="46"/>
  <c r="K3" i="46"/>
  <c r="J40" i="46"/>
  <c r="J19" i="46"/>
  <c r="K17" i="46"/>
  <c r="I29" i="46"/>
  <c r="K10" i="46"/>
  <c r="J26" i="46"/>
  <c r="L22" i="46"/>
  <c r="K22" i="46"/>
  <c r="J13" i="46"/>
  <c r="L13" i="46"/>
  <c r="K4" i="46"/>
  <c r="J48" i="46"/>
  <c r="L48" i="46"/>
  <c r="K47" i="46"/>
  <c r="K48" i="46" s="1"/>
  <c r="K43" i="46"/>
  <c r="K44" i="46" s="1"/>
  <c r="L19" i="46"/>
  <c r="J36" i="44"/>
  <c r="L36" i="44" s="1"/>
  <c r="J34" i="44"/>
  <c r="L34" i="44" s="1"/>
  <c r="J35" i="44"/>
  <c r="L35" i="44" s="1"/>
  <c r="J37" i="44"/>
  <c r="L37" i="44" s="1"/>
  <c r="J23" i="44"/>
  <c r="L23" i="44" s="1"/>
  <c r="J12" i="44"/>
  <c r="L12" i="44" s="1"/>
  <c r="J11" i="44"/>
  <c r="L11" i="44" s="1"/>
  <c r="J4" i="44"/>
  <c r="L4" i="44" s="1"/>
  <c r="J17" i="44"/>
  <c r="L17" i="44" s="1"/>
  <c r="J10" i="44"/>
  <c r="L10" i="44" s="1"/>
  <c r="G29" i="44"/>
  <c r="F29" i="44"/>
  <c r="J24" i="44"/>
  <c r="L24" i="44" s="1"/>
  <c r="J9" i="44"/>
  <c r="L9" i="44" s="1"/>
  <c r="J8" i="44"/>
  <c r="L8" i="44" s="1"/>
  <c r="J7" i="44"/>
  <c r="L7" i="44" s="1"/>
  <c r="J5" i="44"/>
  <c r="L5" i="44" s="1"/>
  <c r="D29" i="44"/>
  <c r="J39" i="44"/>
  <c r="L39" i="44" s="1"/>
  <c r="J38" i="44"/>
  <c r="L38" i="44" s="1"/>
  <c r="H26" i="44"/>
  <c r="J47" i="44"/>
  <c r="I40" i="44"/>
  <c r="J32" i="44"/>
  <c r="L32" i="44" s="1"/>
  <c r="H40" i="44"/>
  <c r="J33" i="44"/>
  <c r="L33" i="44" s="1"/>
  <c r="J25" i="44"/>
  <c r="L25" i="44" s="1"/>
  <c r="I26" i="44"/>
  <c r="H19" i="44"/>
  <c r="I19" i="44"/>
  <c r="J18" i="44"/>
  <c r="L18" i="44" s="1"/>
  <c r="J3" i="44"/>
  <c r="L3" i="44" s="1"/>
  <c r="J6" i="44"/>
  <c r="K12" i="44"/>
  <c r="K32" i="44"/>
  <c r="I13" i="44"/>
  <c r="H44" i="44"/>
  <c r="J43" i="44"/>
  <c r="H13" i="44"/>
  <c r="K24" i="44"/>
  <c r="D44" i="44"/>
  <c r="E13" i="44"/>
  <c r="E29" i="44" s="1"/>
  <c r="K4" i="44"/>
  <c r="K10" i="44"/>
  <c r="J16" i="44"/>
  <c r="L16" i="44" s="1"/>
  <c r="J22" i="44"/>
  <c r="E43" i="43"/>
  <c r="D43" i="43"/>
  <c r="E9" i="43"/>
  <c r="D9" i="43"/>
  <c r="K29" i="47" l="1"/>
  <c r="K19" i="46"/>
  <c r="K40" i="46"/>
  <c r="K26" i="46"/>
  <c r="K13" i="46"/>
  <c r="J29" i="46"/>
  <c r="L29" i="46"/>
  <c r="K36" i="44"/>
  <c r="K34" i="44"/>
  <c r="K35" i="44"/>
  <c r="K37" i="44"/>
  <c r="K23" i="44"/>
  <c r="K11" i="44"/>
  <c r="J44" i="44"/>
  <c r="L43" i="44"/>
  <c r="J48" i="44"/>
  <c r="L47" i="44"/>
  <c r="L48" i="44" s="1"/>
  <c r="K17" i="44"/>
  <c r="K18" i="44"/>
  <c r="K9" i="44"/>
  <c r="K8" i="44"/>
  <c r="K7" i="44"/>
  <c r="J13" i="44"/>
  <c r="L6" i="44"/>
  <c r="L13" i="44" s="1"/>
  <c r="K5" i="44"/>
  <c r="K39" i="44"/>
  <c r="K38" i="44"/>
  <c r="J40" i="44"/>
  <c r="K47" i="44"/>
  <c r="K48" i="44" s="1"/>
  <c r="K33" i="44"/>
  <c r="K25" i="44"/>
  <c r="H29" i="44"/>
  <c r="I29" i="44"/>
  <c r="K6" i="44"/>
  <c r="K3" i="44"/>
  <c r="L44" i="44"/>
  <c r="K43" i="44"/>
  <c r="K44" i="44" s="1"/>
  <c r="L40" i="44"/>
  <c r="L26" i="44"/>
  <c r="L19" i="44"/>
  <c r="K16" i="44"/>
  <c r="J19" i="44"/>
  <c r="J26" i="44"/>
  <c r="L22" i="44"/>
  <c r="K22" i="44"/>
  <c r="I47" i="43"/>
  <c r="I48" i="43" s="1"/>
  <c r="H47" i="43"/>
  <c r="H48" i="43" s="1"/>
  <c r="I43" i="43"/>
  <c r="I44" i="43" s="1"/>
  <c r="H43" i="43"/>
  <c r="H44" i="43" s="1"/>
  <c r="I39" i="43"/>
  <c r="H39" i="43"/>
  <c r="I38" i="43"/>
  <c r="H38" i="43"/>
  <c r="I37" i="43"/>
  <c r="H37" i="43"/>
  <c r="I36" i="43"/>
  <c r="H36" i="43"/>
  <c r="I35" i="43"/>
  <c r="J35" i="43" s="1"/>
  <c r="L35" i="43" s="1"/>
  <c r="H35" i="43"/>
  <c r="I34" i="43"/>
  <c r="H34" i="43"/>
  <c r="I33" i="43"/>
  <c r="H33" i="43"/>
  <c r="I32" i="43"/>
  <c r="H32" i="43"/>
  <c r="I25" i="43"/>
  <c r="H25" i="43"/>
  <c r="I24" i="43"/>
  <c r="H24" i="43"/>
  <c r="I23" i="43"/>
  <c r="H23" i="43"/>
  <c r="I18" i="43"/>
  <c r="H18" i="43"/>
  <c r="I17" i="43"/>
  <c r="H17" i="43"/>
  <c r="I16" i="43"/>
  <c r="H16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I3" i="43"/>
  <c r="H3" i="43"/>
  <c r="G48" i="43"/>
  <c r="F48" i="43"/>
  <c r="E48" i="43"/>
  <c r="D48" i="43"/>
  <c r="C48" i="43"/>
  <c r="G44" i="43"/>
  <c r="F44" i="43"/>
  <c r="E44" i="43"/>
  <c r="D44" i="43"/>
  <c r="C43" i="43"/>
  <c r="C44" i="43" s="1"/>
  <c r="G40" i="43"/>
  <c r="F40" i="43"/>
  <c r="E40" i="43"/>
  <c r="D40" i="43"/>
  <c r="C37" i="43"/>
  <c r="C40" i="43" s="1"/>
  <c r="G26" i="43"/>
  <c r="F26" i="43"/>
  <c r="E26" i="43"/>
  <c r="D26" i="43"/>
  <c r="C23" i="43"/>
  <c r="I22" i="43"/>
  <c r="H22" i="43"/>
  <c r="G19" i="43"/>
  <c r="F19" i="43"/>
  <c r="E19" i="43"/>
  <c r="D19" i="43"/>
  <c r="C19" i="43"/>
  <c r="G13" i="43"/>
  <c r="F13" i="43"/>
  <c r="E13" i="43"/>
  <c r="C13" i="43"/>
  <c r="D13" i="43"/>
  <c r="C3" i="43"/>
  <c r="K29" i="46" l="1"/>
  <c r="K26" i="44"/>
  <c r="K19" i="44"/>
  <c r="J29" i="44"/>
  <c r="K13" i="44"/>
  <c r="K40" i="44"/>
  <c r="L29" i="44"/>
  <c r="J39" i="43"/>
  <c r="L39" i="43" s="1"/>
  <c r="J34" i="43"/>
  <c r="L34" i="43" s="1"/>
  <c r="J32" i="43"/>
  <c r="L32" i="43" s="1"/>
  <c r="J18" i="43"/>
  <c r="K18" i="43" s="1"/>
  <c r="J16" i="43"/>
  <c r="L16" i="43" s="1"/>
  <c r="J12" i="43"/>
  <c r="L12" i="43" s="1"/>
  <c r="J17" i="43"/>
  <c r="L17" i="43" s="1"/>
  <c r="J10" i="43"/>
  <c r="L10" i="43" s="1"/>
  <c r="J5" i="43"/>
  <c r="K5" i="43" s="1"/>
  <c r="J37" i="43"/>
  <c r="L37" i="43" s="1"/>
  <c r="J36" i="43"/>
  <c r="L36" i="43" s="1"/>
  <c r="H26" i="43"/>
  <c r="H40" i="43"/>
  <c r="J3" i="43"/>
  <c r="L3" i="43" s="1"/>
  <c r="J43" i="43"/>
  <c r="K43" i="43" s="1"/>
  <c r="K44" i="43" s="1"/>
  <c r="I40" i="43"/>
  <c r="J38" i="43"/>
  <c r="L38" i="43" s="1"/>
  <c r="E29" i="43"/>
  <c r="D29" i="43"/>
  <c r="J23" i="43"/>
  <c r="L23" i="43" s="1"/>
  <c r="J24" i="43"/>
  <c r="J25" i="43"/>
  <c r="L25" i="43" s="1"/>
  <c r="F29" i="43"/>
  <c r="G29" i="43"/>
  <c r="I19" i="43"/>
  <c r="J11" i="43"/>
  <c r="L11" i="43" s="1"/>
  <c r="J6" i="43"/>
  <c r="L6" i="43" s="1"/>
  <c r="J8" i="43"/>
  <c r="K34" i="43"/>
  <c r="K17" i="43"/>
  <c r="K10" i="43"/>
  <c r="K35" i="43"/>
  <c r="K12" i="43"/>
  <c r="J9" i="43"/>
  <c r="L9" i="43" s="1"/>
  <c r="I13" i="43"/>
  <c r="I26" i="43"/>
  <c r="J7" i="43"/>
  <c r="L7" i="43" s="1"/>
  <c r="C26" i="43"/>
  <c r="C29" i="43" s="1"/>
  <c r="H19" i="43"/>
  <c r="J4" i="43"/>
  <c r="L4" i="43" s="1"/>
  <c r="J47" i="43"/>
  <c r="L47" i="43" s="1"/>
  <c r="J33" i="43"/>
  <c r="L33" i="43" s="1"/>
  <c r="J22" i="43"/>
  <c r="E9" i="42"/>
  <c r="D9" i="42"/>
  <c r="E7" i="42"/>
  <c r="D7" i="42"/>
  <c r="K29" i="44" l="1"/>
  <c r="K39" i="43"/>
  <c r="K32" i="43"/>
  <c r="L18" i="43"/>
  <c r="L19" i="43" s="1"/>
  <c r="K16" i="43"/>
  <c r="K3" i="43"/>
  <c r="J19" i="43"/>
  <c r="K24" i="43"/>
  <c r="L24" i="43"/>
  <c r="K8" i="43"/>
  <c r="L8" i="43"/>
  <c r="L5" i="43"/>
  <c r="K37" i="43"/>
  <c r="K36" i="43"/>
  <c r="J40" i="43"/>
  <c r="J44" i="43"/>
  <c r="L43" i="43"/>
  <c r="L44" i="43" s="1"/>
  <c r="K38" i="43"/>
  <c r="K25" i="43"/>
  <c r="K19" i="43"/>
  <c r="K11" i="43"/>
  <c r="L26" i="43"/>
  <c r="I29" i="43"/>
  <c r="K23" i="43"/>
  <c r="K6" i="43"/>
  <c r="K7" i="43"/>
  <c r="K9" i="43"/>
  <c r="L40" i="43"/>
  <c r="K33" i="43"/>
  <c r="L48" i="43"/>
  <c r="K47" i="43"/>
  <c r="K48" i="43" s="1"/>
  <c r="J48" i="43"/>
  <c r="J26" i="43"/>
  <c r="K22" i="43"/>
  <c r="L22" i="43"/>
  <c r="K4" i="43"/>
  <c r="J13" i="43"/>
  <c r="H13" i="43"/>
  <c r="H29" i="43" s="1"/>
  <c r="C3" i="42"/>
  <c r="C3" i="41"/>
  <c r="K40" i="43" l="1"/>
  <c r="K26" i="43"/>
  <c r="K13" i="43"/>
  <c r="J29" i="43"/>
  <c r="L13" i="43"/>
  <c r="L29" i="43" s="1"/>
  <c r="D35" i="41"/>
  <c r="C35" i="41"/>
  <c r="D35" i="40"/>
  <c r="D35" i="39"/>
  <c r="K29" i="43" l="1"/>
  <c r="C23" i="42"/>
  <c r="I47" i="42"/>
  <c r="I48" i="42" s="1"/>
  <c r="H47" i="42"/>
  <c r="H48" i="42" s="1"/>
  <c r="I43" i="42"/>
  <c r="I44" i="42" s="1"/>
  <c r="H43" i="42"/>
  <c r="H44" i="42" s="1"/>
  <c r="I39" i="42"/>
  <c r="H39" i="42"/>
  <c r="I38" i="42"/>
  <c r="H38" i="42"/>
  <c r="I37" i="42"/>
  <c r="H37" i="42"/>
  <c r="I36" i="42"/>
  <c r="H36" i="42"/>
  <c r="I34" i="42"/>
  <c r="H34" i="42"/>
  <c r="I32" i="42"/>
  <c r="H32" i="42"/>
  <c r="I25" i="42"/>
  <c r="H25" i="42"/>
  <c r="I24" i="42"/>
  <c r="H24" i="42"/>
  <c r="I23" i="42"/>
  <c r="H23" i="42"/>
  <c r="I18" i="42"/>
  <c r="H18" i="42"/>
  <c r="I17" i="42"/>
  <c r="H17" i="42"/>
  <c r="I16" i="42"/>
  <c r="H16" i="42"/>
  <c r="I12" i="42"/>
  <c r="H12" i="42"/>
  <c r="I11" i="42"/>
  <c r="H11" i="42"/>
  <c r="I10" i="42"/>
  <c r="H10" i="42"/>
  <c r="I9" i="42"/>
  <c r="H9" i="42"/>
  <c r="I8" i="42"/>
  <c r="H8" i="42"/>
  <c r="I7" i="42"/>
  <c r="H7" i="42"/>
  <c r="I6" i="42"/>
  <c r="H6" i="42"/>
  <c r="I5" i="42"/>
  <c r="H5" i="42"/>
  <c r="I4" i="42"/>
  <c r="H4" i="42"/>
  <c r="I3" i="42"/>
  <c r="H3" i="42"/>
  <c r="D44" i="42"/>
  <c r="E44" i="42"/>
  <c r="F44" i="42"/>
  <c r="G44" i="42"/>
  <c r="G48" i="42"/>
  <c r="F48" i="42"/>
  <c r="E48" i="42"/>
  <c r="D48" i="42"/>
  <c r="C48" i="42"/>
  <c r="C43" i="42"/>
  <c r="C44" i="42" s="1"/>
  <c r="G40" i="42"/>
  <c r="F40" i="42"/>
  <c r="E40" i="42"/>
  <c r="D40" i="42"/>
  <c r="C37" i="42"/>
  <c r="C40" i="42" s="1"/>
  <c r="G26" i="42"/>
  <c r="F26" i="42"/>
  <c r="E26" i="42"/>
  <c r="D26" i="42"/>
  <c r="C26" i="42"/>
  <c r="I22" i="42"/>
  <c r="H22" i="42"/>
  <c r="G19" i="42"/>
  <c r="F19" i="42"/>
  <c r="E19" i="42"/>
  <c r="D19" i="42"/>
  <c r="C19" i="42"/>
  <c r="G13" i="42"/>
  <c r="F13" i="42"/>
  <c r="E13" i="42"/>
  <c r="D13" i="42"/>
  <c r="C13" i="42"/>
  <c r="J39" i="42" l="1"/>
  <c r="L39" i="42" s="1"/>
  <c r="J34" i="42"/>
  <c r="L34" i="42" s="1"/>
  <c r="J12" i="42"/>
  <c r="L12" i="42" s="1"/>
  <c r="I19" i="42"/>
  <c r="H19" i="42"/>
  <c r="J10" i="42"/>
  <c r="L10" i="42" s="1"/>
  <c r="J24" i="42"/>
  <c r="L24" i="42" s="1"/>
  <c r="J8" i="42"/>
  <c r="L8" i="42" s="1"/>
  <c r="J5" i="42"/>
  <c r="L5" i="42" s="1"/>
  <c r="G29" i="42"/>
  <c r="J25" i="42"/>
  <c r="L25" i="42" s="1"/>
  <c r="J36" i="42"/>
  <c r="L36" i="42" s="1"/>
  <c r="J9" i="42"/>
  <c r="L9" i="42" s="1"/>
  <c r="J7" i="42"/>
  <c r="L7" i="42" s="1"/>
  <c r="K10" i="42"/>
  <c r="J6" i="42"/>
  <c r="J37" i="42"/>
  <c r="C29" i="42"/>
  <c r="H13" i="42"/>
  <c r="J38" i="42"/>
  <c r="L38" i="42" s="1"/>
  <c r="I26" i="42"/>
  <c r="H26" i="42"/>
  <c r="E29" i="42"/>
  <c r="J23" i="42"/>
  <c r="L23" i="42" s="1"/>
  <c r="J16" i="42"/>
  <c r="L16" i="42" s="1"/>
  <c r="J17" i="42"/>
  <c r="D29" i="42"/>
  <c r="J18" i="42"/>
  <c r="L18" i="42" s="1"/>
  <c r="F29" i="42"/>
  <c r="J11" i="42"/>
  <c r="L11" i="42" s="1"/>
  <c r="I13" i="42"/>
  <c r="J3" i="42"/>
  <c r="L3" i="42" s="1"/>
  <c r="K39" i="42"/>
  <c r="J4" i="42"/>
  <c r="L4" i="42" s="1"/>
  <c r="J22" i="42"/>
  <c r="J32" i="42"/>
  <c r="L32" i="42" s="1"/>
  <c r="K24" i="42"/>
  <c r="J47" i="42"/>
  <c r="L47" i="42" s="1"/>
  <c r="J43" i="42"/>
  <c r="K34" i="42" l="1"/>
  <c r="K12" i="42"/>
  <c r="I29" i="42"/>
  <c r="K9" i="42"/>
  <c r="K8" i="42"/>
  <c r="K7" i="42"/>
  <c r="K5" i="42"/>
  <c r="K3" i="42"/>
  <c r="K25" i="42"/>
  <c r="K36" i="42"/>
  <c r="J44" i="42"/>
  <c r="L43" i="42"/>
  <c r="K18" i="42"/>
  <c r="K37" i="42"/>
  <c r="L37" i="42"/>
  <c r="K6" i="42"/>
  <c r="L6" i="42"/>
  <c r="K17" i="42"/>
  <c r="L17" i="42"/>
  <c r="L19" i="42" s="1"/>
  <c r="H29" i="42"/>
  <c r="K43" i="42"/>
  <c r="K44" i="42" s="1"/>
  <c r="L44" i="42"/>
  <c r="K16" i="42"/>
  <c r="K11" i="42"/>
  <c r="K38" i="42"/>
  <c r="K23" i="42"/>
  <c r="J19" i="42"/>
  <c r="L26" i="42"/>
  <c r="L22" i="42"/>
  <c r="J26" i="42"/>
  <c r="K22" i="42"/>
  <c r="J13" i="42"/>
  <c r="L13" i="42"/>
  <c r="K4" i="42"/>
  <c r="J48" i="42"/>
  <c r="L48" i="42"/>
  <c r="K47" i="42"/>
  <c r="K48" i="42" s="1"/>
  <c r="K32" i="42"/>
  <c r="I47" i="41"/>
  <c r="I48" i="41" s="1"/>
  <c r="H47" i="41"/>
  <c r="H48" i="41" s="1"/>
  <c r="I43" i="41"/>
  <c r="I44" i="41" s="1"/>
  <c r="H43" i="41"/>
  <c r="H44" i="41" s="1"/>
  <c r="I39" i="41"/>
  <c r="H39" i="41"/>
  <c r="I38" i="41"/>
  <c r="H38" i="41"/>
  <c r="I37" i="41"/>
  <c r="H37" i="41"/>
  <c r="I36" i="41"/>
  <c r="H36" i="41"/>
  <c r="I34" i="41"/>
  <c r="H34" i="41"/>
  <c r="I32" i="41"/>
  <c r="H32" i="41"/>
  <c r="I25" i="41"/>
  <c r="H25" i="41"/>
  <c r="I24" i="41"/>
  <c r="H24" i="41"/>
  <c r="I23" i="41"/>
  <c r="H23" i="41"/>
  <c r="I18" i="41"/>
  <c r="H18" i="41"/>
  <c r="I17" i="41"/>
  <c r="H17" i="41"/>
  <c r="I16" i="41"/>
  <c r="H16" i="41"/>
  <c r="I12" i="41"/>
  <c r="H12" i="41"/>
  <c r="I11" i="41"/>
  <c r="H11" i="41"/>
  <c r="I10" i="41"/>
  <c r="H10" i="41"/>
  <c r="I9" i="41"/>
  <c r="H9" i="41"/>
  <c r="I8" i="41"/>
  <c r="H8" i="41"/>
  <c r="I7" i="41"/>
  <c r="H7" i="41"/>
  <c r="I6" i="41"/>
  <c r="H6" i="41"/>
  <c r="I5" i="41"/>
  <c r="H5" i="41"/>
  <c r="I4" i="41"/>
  <c r="H4" i="41"/>
  <c r="I3" i="41"/>
  <c r="H3" i="41"/>
  <c r="G48" i="41"/>
  <c r="F48" i="41"/>
  <c r="E48" i="41"/>
  <c r="D48" i="41"/>
  <c r="C48" i="41"/>
  <c r="G44" i="41"/>
  <c r="F44" i="41"/>
  <c r="E44" i="41"/>
  <c r="D44" i="41"/>
  <c r="C43" i="41"/>
  <c r="C44" i="41" s="1"/>
  <c r="G40" i="41"/>
  <c r="F40" i="41"/>
  <c r="E40" i="41"/>
  <c r="D40" i="41"/>
  <c r="C37" i="41"/>
  <c r="C40" i="41" s="1"/>
  <c r="G26" i="41"/>
  <c r="F26" i="41"/>
  <c r="E26" i="41"/>
  <c r="D26" i="41"/>
  <c r="C26" i="41"/>
  <c r="I22" i="41"/>
  <c r="H22" i="41"/>
  <c r="J22" i="41" s="1"/>
  <c r="G19" i="41"/>
  <c r="F19" i="41"/>
  <c r="E19" i="41"/>
  <c r="D19" i="41"/>
  <c r="C19" i="41"/>
  <c r="G13" i="41"/>
  <c r="F13" i="41"/>
  <c r="C13" i="41"/>
  <c r="E13" i="41"/>
  <c r="D13" i="41"/>
  <c r="K19" i="42" l="1"/>
  <c r="K13" i="42"/>
  <c r="K26" i="42"/>
  <c r="L29" i="42"/>
  <c r="J29" i="42"/>
  <c r="J39" i="41"/>
  <c r="L39" i="41" s="1"/>
  <c r="J32" i="41"/>
  <c r="L32" i="41" s="1"/>
  <c r="J18" i="41"/>
  <c r="L18" i="41" s="1"/>
  <c r="I19" i="41"/>
  <c r="J16" i="41"/>
  <c r="L16" i="41" s="1"/>
  <c r="J4" i="41"/>
  <c r="L4" i="41" s="1"/>
  <c r="J12" i="41"/>
  <c r="K12" i="41" s="1"/>
  <c r="J17" i="41"/>
  <c r="L17" i="41" s="1"/>
  <c r="J11" i="41"/>
  <c r="L11" i="41" s="1"/>
  <c r="J24" i="41"/>
  <c r="L24" i="41" s="1"/>
  <c r="J7" i="41"/>
  <c r="L7" i="41" s="1"/>
  <c r="J5" i="41"/>
  <c r="L5" i="41" s="1"/>
  <c r="J37" i="41"/>
  <c r="K37" i="41" s="1"/>
  <c r="J38" i="41"/>
  <c r="L38" i="41" s="1"/>
  <c r="J25" i="41"/>
  <c r="L25" i="41" s="1"/>
  <c r="I26" i="41"/>
  <c r="J6" i="41"/>
  <c r="J10" i="41"/>
  <c r="L10" i="41" s="1"/>
  <c r="C29" i="41"/>
  <c r="J34" i="41"/>
  <c r="J36" i="41"/>
  <c r="L36" i="41" s="1"/>
  <c r="J23" i="41"/>
  <c r="H26" i="41"/>
  <c r="H19" i="41"/>
  <c r="E29" i="41"/>
  <c r="D29" i="41"/>
  <c r="F29" i="41"/>
  <c r="J3" i="41"/>
  <c r="L3" i="41" s="1"/>
  <c r="G29" i="41"/>
  <c r="J9" i="41"/>
  <c r="L9" i="41" s="1"/>
  <c r="K23" i="41"/>
  <c r="K11" i="41"/>
  <c r="K18" i="41"/>
  <c r="L22" i="41"/>
  <c r="J47" i="41"/>
  <c r="L47" i="41" s="1"/>
  <c r="J43" i="41"/>
  <c r="J44" i="41" s="1"/>
  <c r="K22" i="41"/>
  <c r="I13" i="41"/>
  <c r="E8" i="40"/>
  <c r="D8" i="40"/>
  <c r="K29" i="42" l="1"/>
  <c r="K39" i="41"/>
  <c r="K32" i="41"/>
  <c r="K16" i="41"/>
  <c r="K4" i="41"/>
  <c r="L43" i="41"/>
  <c r="L44" i="41" s="1"/>
  <c r="L12" i="41"/>
  <c r="K17" i="41"/>
  <c r="J19" i="41"/>
  <c r="K10" i="41"/>
  <c r="I29" i="41"/>
  <c r="K24" i="41"/>
  <c r="K9" i="41"/>
  <c r="K7" i="41"/>
  <c r="K5" i="41"/>
  <c r="L37" i="41"/>
  <c r="K38" i="41"/>
  <c r="J26" i="41"/>
  <c r="K25" i="41"/>
  <c r="K36" i="41"/>
  <c r="L34" i="41"/>
  <c r="L23" i="41"/>
  <c r="L26" i="41" s="1"/>
  <c r="K34" i="41"/>
  <c r="K6" i="41"/>
  <c r="L6" i="41"/>
  <c r="K3" i="41"/>
  <c r="K43" i="41"/>
  <c r="K44" i="41" s="1"/>
  <c r="J48" i="41"/>
  <c r="L48" i="41"/>
  <c r="K47" i="41"/>
  <c r="K48" i="41" s="1"/>
  <c r="J8" i="41"/>
  <c r="L8" i="41" s="1"/>
  <c r="H13" i="41"/>
  <c r="H29" i="41" s="1"/>
  <c r="K19" i="41"/>
  <c r="K26" i="41"/>
  <c r="L19" i="41"/>
  <c r="I47" i="40"/>
  <c r="I48" i="40" s="1"/>
  <c r="H47" i="40"/>
  <c r="H48" i="40" s="1"/>
  <c r="I43" i="40"/>
  <c r="I44" i="40" s="1"/>
  <c r="H43" i="40"/>
  <c r="I39" i="40"/>
  <c r="H39" i="40"/>
  <c r="I38" i="40"/>
  <c r="H38" i="40"/>
  <c r="I37" i="40"/>
  <c r="H37" i="40"/>
  <c r="I36" i="40"/>
  <c r="H36" i="40"/>
  <c r="I34" i="40"/>
  <c r="H34" i="40"/>
  <c r="I32" i="40"/>
  <c r="H32" i="40"/>
  <c r="I25" i="40"/>
  <c r="H25" i="40"/>
  <c r="I24" i="40"/>
  <c r="H24" i="40"/>
  <c r="I23" i="40"/>
  <c r="H23" i="40"/>
  <c r="I18" i="40"/>
  <c r="H18" i="40"/>
  <c r="I17" i="40"/>
  <c r="H17" i="40"/>
  <c r="I16" i="40"/>
  <c r="H16" i="40"/>
  <c r="I12" i="40"/>
  <c r="H12" i="40"/>
  <c r="I11" i="40"/>
  <c r="H11" i="40"/>
  <c r="I10" i="40"/>
  <c r="H10" i="40"/>
  <c r="I9" i="40"/>
  <c r="H9" i="40"/>
  <c r="I8" i="40"/>
  <c r="H8" i="40"/>
  <c r="I7" i="40"/>
  <c r="H7" i="40"/>
  <c r="I6" i="40"/>
  <c r="H6" i="40"/>
  <c r="I5" i="40"/>
  <c r="H5" i="40"/>
  <c r="I4" i="40"/>
  <c r="H4" i="40"/>
  <c r="I3" i="40"/>
  <c r="H3" i="40"/>
  <c r="G48" i="40"/>
  <c r="F48" i="40"/>
  <c r="E48" i="40"/>
  <c r="D48" i="40"/>
  <c r="C48" i="40"/>
  <c r="G44" i="40"/>
  <c r="F44" i="40"/>
  <c r="E44" i="40"/>
  <c r="D44" i="40"/>
  <c r="H44" i="40"/>
  <c r="C43" i="40"/>
  <c r="C44" i="40" s="1"/>
  <c r="G40" i="40"/>
  <c r="F40" i="40"/>
  <c r="E40" i="40"/>
  <c r="D40" i="40"/>
  <c r="C37" i="40"/>
  <c r="C40" i="40" s="1"/>
  <c r="G26" i="40"/>
  <c r="F26" i="40"/>
  <c r="E26" i="40"/>
  <c r="D26" i="40"/>
  <c r="C26" i="40"/>
  <c r="I22" i="40"/>
  <c r="H22" i="40"/>
  <c r="G19" i="40"/>
  <c r="F19" i="40"/>
  <c r="E19" i="40"/>
  <c r="D19" i="40"/>
  <c r="C19" i="40"/>
  <c r="G13" i="40"/>
  <c r="F13" i="40"/>
  <c r="E13" i="40"/>
  <c r="D13" i="40"/>
  <c r="C13" i="40"/>
  <c r="C29" i="40" s="1"/>
  <c r="C3" i="40"/>
  <c r="L13" i="41" l="1"/>
  <c r="L29" i="41" s="1"/>
  <c r="K8" i="41"/>
  <c r="K13" i="41" s="1"/>
  <c r="K29" i="41" s="1"/>
  <c r="J13" i="41"/>
  <c r="J29" i="41" s="1"/>
  <c r="J39" i="40"/>
  <c r="L39" i="40" s="1"/>
  <c r="J34" i="40"/>
  <c r="L34" i="40" s="1"/>
  <c r="J23" i="40"/>
  <c r="L23" i="40" s="1"/>
  <c r="I19" i="40"/>
  <c r="J10" i="40"/>
  <c r="L10" i="40" s="1"/>
  <c r="J24" i="40"/>
  <c r="L24" i="40" s="1"/>
  <c r="J7" i="40"/>
  <c r="L7" i="40" s="1"/>
  <c r="J6" i="40"/>
  <c r="L6" i="40" s="1"/>
  <c r="J37" i="40"/>
  <c r="L37" i="40" s="1"/>
  <c r="J38" i="40"/>
  <c r="L38" i="40" s="1"/>
  <c r="G29" i="40"/>
  <c r="F29" i="40"/>
  <c r="E29" i="40"/>
  <c r="J25" i="40"/>
  <c r="L25" i="40" s="1"/>
  <c r="J36" i="40"/>
  <c r="L36" i="40" s="1"/>
  <c r="J8" i="40"/>
  <c r="L8" i="40" s="1"/>
  <c r="I26" i="40"/>
  <c r="J3" i="40"/>
  <c r="H26" i="40"/>
  <c r="J16" i="40"/>
  <c r="L16" i="40" s="1"/>
  <c r="J17" i="40"/>
  <c r="L17" i="40" s="1"/>
  <c r="D29" i="40"/>
  <c r="J18" i="40"/>
  <c r="L18" i="40" s="1"/>
  <c r="I13" i="40"/>
  <c r="J12" i="40"/>
  <c r="L12" i="40" s="1"/>
  <c r="H13" i="40"/>
  <c r="J5" i="40"/>
  <c r="J9" i="40"/>
  <c r="J11" i="40"/>
  <c r="L11" i="40" s="1"/>
  <c r="K10" i="40"/>
  <c r="K16" i="40"/>
  <c r="J4" i="40"/>
  <c r="L4" i="40" s="1"/>
  <c r="J22" i="40"/>
  <c r="J32" i="40"/>
  <c r="L32" i="40" s="1"/>
  <c r="H19" i="40"/>
  <c r="K6" i="40"/>
  <c r="K37" i="40"/>
  <c r="J47" i="40"/>
  <c r="L47" i="40" s="1"/>
  <c r="J43" i="40"/>
  <c r="C3" i="39"/>
  <c r="K39" i="40" l="1"/>
  <c r="K34" i="40"/>
  <c r="J44" i="40"/>
  <c r="L43" i="40"/>
  <c r="L44" i="40" s="1"/>
  <c r="K23" i="40"/>
  <c r="K12" i="40"/>
  <c r="K17" i="40"/>
  <c r="K24" i="40"/>
  <c r="K9" i="40"/>
  <c r="L9" i="40"/>
  <c r="K7" i="40"/>
  <c r="K5" i="40"/>
  <c r="L5" i="40"/>
  <c r="K3" i="40"/>
  <c r="L3" i="40"/>
  <c r="K38" i="40"/>
  <c r="H29" i="40"/>
  <c r="I29" i="40"/>
  <c r="K25" i="40"/>
  <c r="K36" i="40"/>
  <c r="K8" i="40"/>
  <c r="K18" i="40"/>
  <c r="K19" i="40" s="1"/>
  <c r="L26" i="40"/>
  <c r="L19" i="40"/>
  <c r="J19" i="40"/>
  <c r="K11" i="40"/>
  <c r="J48" i="40"/>
  <c r="L48" i="40"/>
  <c r="K47" i="40"/>
  <c r="K48" i="40" s="1"/>
  <c r="J13" i="40"/>
  <c r="K4" i="40"/>
  <c r="L22" i="40"/>
  <c r="J26" i="40"/>
  <c r="K22" i="40"/>
  <c r="K43" i="40"/>
  <c r="K44" i="40" s="1"/>
  <c r="K32" i="40"/>
  <c r="C37" i="39"/>
  <c r="L29" i="38"/>
  <c r="L26" i="38"/>
  <c r="I47" i="39"/>
  <c r="I48" i="39" s="1"/>
  <c r="H47" i="39"/>
  <c r="H48" i="39" s="1"/>
  <c r="I43" i="39"/>
  <c r="I44" i="39" s="1"/>
  <c r="H43" i="39"/>
  <c r="H44" i="39" s="1"/>
  <c r="I39" i="39"/>
  <c r="H39" i="39"/>
  <c r="I38" i="39"/>
  <c r="H38" i="39"/>
  <c r="I37" i="39"/>
  <c r="H37" i="39"/>
  <c r="I36" i="39"/>
  <c r="H36" i="39"/>
  <c r="I34" i="39"/>
  <c r="H34" i="39"/>
  <c r="I32" i="39"/>
  <c r="H32" i="39"/>
  <c r="I25" i="39"/>
  <c r="H25" i="39"/>
  <c r="I24" i="39"/>
  <c r="H24" i="39"/>
  <c r="I23" i="39"/>
  <c r="H23" i="39"/>
  <c r="I18" i="39"/>
  <c r="H18" i="39"/>
  <c r="I17" i="39"/>
  <c r="H17" i="39"/>
  <c r="I16" i="39"/>
  <c r="H16" i="39"/>
  <c r="I12" i="39"/>
  <c r="H12" i="39"/>
  <c r="I11" i="39"/>
  <c r="H11" i="39"/>
  <c r="I10" i="39"/>
  <c r="H10" i="39"/>
  <c r="I9" i="39"/>
  <c r="H9" i="39"/>
  <c r="I8" i="39"/>
  <c r="H8" i="39"/>
  <c r="I7" i="39"/>
  <c r="H7" i="39"/>
  <c r="I6" i="39"/>
  <c r="H6" i="39"/>
  <c r="I5" i="39"/>
  <c r="H5" i="39"/>
  <c r="I4" i="39"/>
  <c r="H4" i="39"/>
  <c r="I3" i="39"/>
  <c r="H3" i="39"/>
  <c r="G48" i="39"/>
  <c r="F48" i="39"/>
  <c r="E48" i="39"/>
  <c r="D48" i="39"/>
  <c r="C48" i="39"/>
  <c r="G44" i="39"/>
  <c r="F44" i="39"/>
  <c r="E44" i="39"/>
  <c r="D44" i="39"/>
  <c r="C43" i="39"/>
  <c r="C44" i="39" s="1"/>
  <c r="F40" i="39"/>
  <c r="E40" i="39"/>
  <c r="D40" i="39"/>
  <c r="G40" i="39"/>
  <c r="G26" i="39"/>
  <c r="F26" i="39"/>
  <c r="E26" i="39"/>
  <c r="D26" i="39"/>
  <c r="C26" i="39"/>
  <c r="J22" i="39"/>
  <c r="L22" i="39" s="1"/>
  <c r="I22" i="39"/>
  <c r="H22" i="39"/>
  <c r="G19" i="39"/>
  <c r="F19" i="39"/>
  <c r="E19" i="39"/>
  <c r="D19" i="39"/>
  <c r="C19" i="39"/>
  <c r="C29" i="39" s="1"/>
  <c r="G13" i="39"/>
  <c r="F13" i="39"/>
  <c r="E13" i="39"/>
  <c r="C13" i="39"/>
  <c r="J11" i="39"/>
  <c r="L11" i="39" s="1"/>
  <c r="D13" i="39"/>
  <c r="L13" i="40" l="1"/>
  <c r="L29" i="40" s="1"/>
  <c r="K26" i="40"/>
  <c r="K13" i="40"/>
  <c r="J29" i="40"/>
  <c r="J39" i="39"/>
  <c r="L39" i="39" s="1"/>
  <c r="J32" i="39"/>
  <c r="L32" i="39" s="1"/>
  <c r="H19" i="39"/>
  <c r="J4" i="39"/>
  <c r="L4" i="39" s="1"/>
  <c r="J23" i="39"/>
  <c r="L23" i="39" s="1"/>
  <c r="J24" i="39"/>
  <c r="L24" i="39" s="1"/>
  <c r="J9" i="39"/>
  <c r="L9" i="39" s="1"/>
  <c r="J8" i="39"/>
  <c r="L8" i="39" s="1"/>
  <c r="J5" i="39"/>
  <c r="L5" i="39" s="1"/>
  <c r="G29" i="39"/>
  <c r="J25" i="39"/>
  <c r="L25" i="39" s="1"/>
  <c r="I26" i="39"/>
  <c r="J12" i="39"/>
  <c r="C40" i="39"/>
  <c r="J38" i="39"/>
  <c r="L38" i="39" s="1"/>
  <c r="J36" i="39"/>
  <c r="L36" i="39" s="1"/>
  <c r="I19" i="39"/>
  <c r="J17" i="39"/>
  <c r="L17" i="39" s="1"/>
  <c r="J18" i="39"/>
  <c r="L18" i="39" s="1"/>
  <c r="E29" i="39"/>
  <c r="D29" i="39"/>
  <c r="F29" i="39"/>
  <c r="J7" i="39"/>
  <c r="L7" i="39" s="1"/>
  <c r="K11" i="39"/>
  <c r="K25" i="39"/>
  <c r="K24" i="39"/>
  <c r="I13" i="39"/>
  <c r="J3" i="39"/>
  <c r="L3" i="39" s="1"/>
  <c r="J10" i="39"/>
  <c r="L10" i="39" s="1"/>
  <c r="J34" i="39"/>
  <c r="L34" i="39" s="1"/>
  <c r="J37" i="39"/>
  <c r="L37" i="39" s="1"/>
  <c r="J6" i="39"/>
  <c r="L6" i="39" s="1"/>
  <c r="J47" i="39"/>
  <c r="L47" i="39" s="1"/>
  <c r="J16" i="39"/>
  <c r="L16" i="39" s="1"/>
  <c r="H26" i="39"/>
  <c r="J43" i="39"/>
  <c r="K22" i="39"/>
  <c r="L25" i="31"/>
  <c r="L26" i="32"/>
  <c r="L26" i="34"/>
  <c r="L26" i="35"/>
  <c r="L26" i="36"/>
  <c r="K29" i="40" l="1"/>
  <c r="K39" i="39"/>
  <c r="K32" i="39"/>
  <c r="K4" i="39"/>
  <c r="J44" i="39"/>
  <c r="L43" i="39"/>
  <c r="L44" i="39" s="1"/>
  <c r="K36" i="39"/>
  <c r="L26" i="39"/>
  <c r="K23" i="39"/>
  <c r="K26" i="39" s="1"/>
  <c r="J26" i="39"/>
  <c r="K9" i="39"/>
  <c r="K8" i="39"/>
  <c r="K7" i="39"/>
  <c r="K5" i="39"/>
  <c r="K38" i="39"/>
  <c r="K12" i="39"/>
  <c r="L12" i="39"/>
  <c r="L13" i="39" s="1"/>
  <c r="K18" i="39"/>
  <c r="K43" i="39"/>
  <c r="K44" i="39" s="1"/>
  <c r="K17" i="39"/>
  <c r="I29" i="39"/>
  <c r="J48" i="39"/>
  <c r="L48" i="39"/>
  <c r="K47" i="39"/>
  <c r="K48" i="39" s="1"/>
  <c r="K34" i="39"/>
  <c r="H13" i="39"/>
  <c r="H29" i="39" s="1"/>
  <c r="K37" i="39"/>
  <c r="K10" i="39"/>
  <c r="K6" i="39"/>
  <c r="K3" i="39"/>
  <c r="L19" i="39"/>
  <c r="K16" i="39"/>
  <c r="J19" i="39"/>
  <c r="J13" i="39"/>
  <c r="L25" i="38"/>
  <c r="L29" i="39" l="1"/>
  <c r="K13" i="39"/>
  <c r="K19" i="39"/>
  <c r="J29" i="39"/>
  <c r="E11" i="38"/>
  <c r="D11" i="38"/>
  <c r="E10" i="38"/>
  <c r="D10" i="38"/>
  <c r="E37" i="38"/>
  <c r="D37" i="38"/>
  <c r="K29" i="39" l="1"/>
  <c r="G3" i="38"/>
  <c r="G34" i="38"/>
  <c r="F34" i="38"/>
  <c r="F3" i="38"/>
  <c r="I47" i="38" l="1"/>
  <c r="I48" i="38" s="1"/>
  <c r="H47" i="38"/>
  <c r="H48" i="38" s="1"/>
  <c r="I43" i="38"/>
  <c r="I44" i="38" s="1"/>
  <c r="H43" i="38"/>
  <c r="H44" i="38" s="1"/>
  <c r="I39" i="38"/>
  <c r="H39" i="38"/>
  <c r="I38" i="38"/>
  <c r="H38" i="38"/>
  <c r="I37" i="38"/>
  <c r="H37" i="38"/>
  <c r="I36" i="38"/>
  <c r="H36" i="38"/>
  <c r="I34" i="38"/>
  <c r="H34" i="38"/>
  <c r="I32" i="38"/>
  <c r="H32" i="38"/>
  <c r="I25" i="38"/>
  <c r="H25" i="38"/>
  <c r="I24" i="38"/>
  <c r="H24" i="38"/>
  <c r="I23" i="38"/>
  <c r="H23" i="38"/>
  <c r="I18" i="38"/>
  <c r="H18" i="38"/>
  <c r="I17" i="38"/>
  <c r="H17" i="38"/>
  <c r="I16" i="38"/>
  <c r="H16" i="38"/>
  <c r="I12" i="38"/>
  <c r="J12" i="38" s="1"/>
  <c r="L12" i="38" s="1"/>
  <c r="H12" i="38"/>
  <c r="I11" i="38"/>
  <c r="H11" i="38"/>
  <c r="I10" i="38"/>
  <c r="H10" i="38"/>
  <c r="I9" i="38"/>
  <c r="H9" i="38"/>
  <c r="I8" i="38"/>
  <c r="H8" i="38"/>
  <c r="I7" i="38"/>
  <c r="H7" i="38"/>
  <c r="I6" i="38"/>
  <c r="H6" i="38"/>
  <c r="I5" i="38"/>
  <c r="H5" i="38"/>
  <c r="I4" i="38"/>
  <c r="H4" i="38"/>
  <c r="I3" i="38"/>
  <c r="H3" i="38"/>
  <c r="G48" i="38"/>
  <c r="F48" i="38"/>
  <c r="E48" i="38"/>
  <c r="D48" i="38"/>
  <c r="C48" i="38"/>
  <c r="G44" i="38"/>
  <c r="F44" i="38"/>
  <c r="D44" i="38"/>
  <c r="C43" i="38"/>
  <c r="C44" i="38" s="1"/>
  <c r="E40" i="38"/>
  <c r="D40" i="38"/>
  <c r="C40" i="38"/>
  <c r="G40" i="38"/>
  <c r="G26" i="38"/>
  <c r="F26" i="38"/>
  <c r="E26" i="38"/>
  <c r="D26" i="38"/>
  <c r="C26" i="38"/>
  <c r="I22" i="38"/>
  <c r="H22" i="38"/>
  <c r="G19" i="38"/>
  <c r="F19" i="38"/>
  <c r="E19" i="38"/>
  <c r="D19" i="38"/>
  <c r="C19" i="38"/>
  <c r="G13" i="38"/>
  <c r="F13" i="38"/>
  <c r="C13" i="38"/>
  <c r="C29" i="38" s="1"/>
  <c r="C3" i="38"/>
  <c r="J32" i="38" l="1"/>
  <c r="L32" i="38" s="1"/>
  <c r="J16" i="38"/>
  <c r="L16" i="38" s="1"/>
  <c r="J17" i="38"/>
  <c r="L17" i="38" s="1"/>
  <c r="J24" i="38"/>
  <c r="L24" i="38" s="1"/>
  <c r="J9" i="38"/>
  <c r="L9" i="38" s="1"/>
  <c r="J8" i="38"/>
  <c r="L8" i="38" s="1"/>
  <c r="J7" i="38"/>
  <c r="L7" i="38" s="1"/>
  <c r="J6" i="38"/>
  <c r="L6" i="38" s="1"/>
  <c r="J37" i="38"/>
  <c r="L37" i="38" s="1"/>
  <c r="J38" i="38"/>
  <c r="L38" i="38" s="1"/>
  <c r="G29" i="38"/>
  <c r="J25" i="38"/>
  <c r="J34" i="38"/>
  <c r="L34" i="38" s="1"/>
  <c r="J11" i="38"/>
  <c r="L11" i="38" s="1"/>
  <c r="J10" i="38"/>
  <c r="L10" i="38" s="1"/>
  <c r="J3" i="38"/>
  <c r="L3" i="38" s="1"/>
  <c r="J39" i="38"/>
  <c r="L39" i="38" s="1"/>
  <c r="J36" i="38"/>
  <c r="L36" i="38" s="1"/>
  <c r="I26" i="38"/>
  <c r="H26" i="38"/>
  <c r="J18" i="38"/>
  <c r="F29" i="38"/>
  <c r="H19" i="38"/>
  <c r="I19" i="38"/>
  <c r="J5" i="38"/>
  <c r="L5" i="38" s="1"/>
  <c r="K6" i="38"/>
  <c r="K7" i="38"/>
  <c r="H13" i="38"/>
  <c r="K8" i="38"/>
  <c r="I13" i="38"/>
  <c r="K12" i="38"/>
  <c r="K18" i="38"/>
  <c r="F40" i="38"/>
  <c r="J4" i="38"/>
  <c r="L4" i="38" s="1"/>
  <c r="D13" i="38"/>
  <c r="D29" i="38" s="1"/>
  <c r="E44" i="38"/>
  <c r="E13" i="38"/>
  <c r="E29" i="38" s="1"/>
  <c r="J23" i="38"/>
  <c r="L23" i="38" s="1"/>
  <c r="J47" i="38"/>
  <c r="L47" i="38" s="1"/>
  <c r="J43" i="38"/>
  <c r="J22" i="38"/>
  <c r="K25" i="38"/>
  <c r="E43" i="36"/>
  <c r="D43" i="36"/>
  <c r="H11" i="36"/>
  <c r="I11" i="36"/>
  <c r="I12" i="36"/>
  <c r="H10" i="36"/>
  <c r="H12" i="36"/>
  <c r="H11" i="35"/>
  <c r="E10" i="36"/>
  <c r="I10" i="36" s="1"/>
  <c r="D10" i="36"/>
  <c r="E5" i="36"/>
  <c r="D5" i="36"/>
  <c r="K39" i="38" l="1"/>
  <c r="K34" i="38"/>
  <c r="K32" i="38"/>
  <c r="K16" i="38"/>
  <c r="K19" i="38" s="1"/>
  <c r="J44" i="38"/>
  <c r="L43" i="38"/>
  <c r="L44" i="38" s="1"/>
  <c r="K17" i="38"/>
  <c r="J19" i="38"/>
  <c r="L18" i="38"/>
  <c r="K24" i="38"/>
  <c r="K9" i="38"/>
  <c r="K37" i="38"/>
  <c r="K38" i="38"/>
  <c r="K36" i="38"/>
  <c r="K11" i="38"/>
  <c r="K10" i="38"/>
  <c r="I29" i="38"/>
  <c r="K3" i="38"/>
  <c r="K43" i="38"/>
  <c r="K44" i="38" s="1"/>
  <c r="H29" i="38"/>
  <c r="L19" i="38"/>
  <c r="K5" i="38"/>
  <c r="J48" i="38"/>
  <c r="L48" i="38"/>
  <c r="K47" i="38"/>
  <c r="K48" i="38" s="1"/>
  <c r="J13" i="38"/>
  <c r="L13" i="38"/>
  <c r="K4" i="38"/>
  <c r="L22" i="38"/>
  <c r="J26" i="38"/>
  <c r="K22" i="38"/>
  <c r="K23" i="38"/>
  <c r="J12" i="36"/>
  <c r="L12" i="36" s="1"/>
  <c r="J11" i="36"/>
  <c r="K11" i="36" s="1"/>
  <c r="G34" i="36"/>
  <c r="F34" i="36"/>
  <c r="F3" i="36"/>
  <c r="G3" i="36"/>
  <c r="J29" i="38" l="1"/>
  <c r="K13" i="38"/>
  <c r="K26" i="38"/>
  <c r="K12" i="36"/>
  <c r="L11" i="36"/>
  <c r="I47" i="36"/>
  <c r="I48" i="36" s="1"/>
  <c r="H47" i="36"/>
  <c r="H48" i="36" s="1"/>
  <c r="I43" i="36"/>
  <c r="I44" i="36" s="1"/>
  <c r="H43" i="36"/>
  <c r="H44" i="36" s="1"/>
  <c r="I39" i="36"/>
  <c r="H39" i="36"/>
  <c r="I38" i="36"/>
  <c r="H38" i="36"/>
  <c r="I37" i="36"/>
  <c r="H37" i="36"/>
  <c r="I36" i="36"/>
  <c r="H36" i="36"/>
  <c r="I34" i="36"/>
  <c r="H34" i="36"/>
  <c r="J34" i="36" s="1"/>
  <c r="L34" i="36" s="1"/>
  <c r="I32" i="36"/>
  <c r="H32" i="36"/>
  <c r="I25" i="36"/>
  <c r="H25" i="36"/>
  <c r="I24" i="36"/>
  <c r="H24" i="36"/>
  <c r="I23" i="36"/>
  <c r="H23" i="36"/>
  <c r="I18" i="36"/>
  <c r="H18" i="36"/>
  <c r="I17" i="36"/>
  <c r="H17" i="36"/>
  <c r="I16" i="36"/>
  <c r="H16" i="36"/>
  <c r="I9" i="36"/>
  <c r="H9" i="36"/>
  <c r="I8" i="36"/>
  <c r="H8" i="36"/>
  <c r="I7" i="36"/>
  <c r="H7" i="36"/>
  <c r="I6" i="36"/>
  <c r="H6" i="36"/>
  <c r="I5" i="36"/>
  <c r="H5" i="36"/>
  <c r="I4" i="36"/>
  <c r="H4" i="36"/>
  <c r="I3" i="36"/>
  <c r="H3" i="36"/>
  <c r="G48" i="36"/>
  <c r="F48" i="36"/>
  <c r="E48" i="36"/>
  <c r="D48" i="36"/>
  <c r="C48" i="36"/>
  <c r="G44" i="36"/>
  <c r="F44" i="36"/>
  <c r="E44" i="36"/>
  <c r="D44" i="36"/>
  <c r="C43" i="36"/>
  <c r="C44" i="36" s="1"/>
  <c r="G40" i="36"/>
  <c r="F40" i="36"/>
  <c r="E40" i="36"/>
  <c r="D40" i="36"/>
  <c r="C40" i="36"/>
  <c r="G26" i="36"/>
  <c r="F26" i="36"/>
  <c r="E26" i="36"/>
  <c r="D26" i="36"/>
  <c r="C26" i="36"/>
  <c r="J22" i="36"/>
  <c r="L22" i="36" s="1"/>
  <c r="I22" i="36"/>
  <c r="H22" i="36"/>
  <c r="G19" i="36"/>
  <c r="F19" i="36"/>
  <c r="E19" i="36"/>
  <c r="D19" i="36"/>
  <c r="C19" i="36"/>
  <c r="G13" i="36"/>
  <c r="F13" i="36"/>
  <c r="C13" i="36"/>
  <c r="E13" i="36"/>
  <c r="D13" i="36"/>
  <c r="C3" i="36"/>
  <c r="K29" i="38" l="1"/>
  <c r="J32" i="36"/>
  <c r="L32" i="36" s="1"/>
  <c r="H19" i="36"/>
  <c r="J18" i="36"/>
  <c r="L18" i="36" s="1"/>
  <c r="C29" i="36"/>
  <c r="J24" i="36"/>
  <c r="L24" i="36" s="1"/>
  <c r="J9" i="36"/>
  <c r="L9" i="36" s="1"/>
  <c r="J8" i="36"/>
  <c r="L8" i="36" s="1"/>
  <c r="J7" i="36"/>
  <c r="L7" i="36" s="1"/>
  <c r="J6" i="36"/>
  <c r="L6" i="36" s="1"/>
  <c r="J39" i="36"/>
  <c r="L39" i="36" s="1"/>
  <c r="J38" i="36"/>
  <c r="L38" i="36" s="1"/>
  <c r="E29" i="36"/>
  <c r="D29" i="36"/>
  <c r="J25" i="36"/>
  <c r="L25" i="36" s="1"/>
  <c r="J5" i="36"/>
  <c r="L5" i="36" s="1"/>
  <c r="J43" i="36"/>
  <c r="J36" i="36"/>
  <c r="L36" i="36" s="1"/>
  <c r="J37" i="36"/>
  <c r="G29" i="36"/>
  <c r="H26" i="36"/>
  <c r="J23" i="36"/>
  <c r="I26" i="36"/>
  <c r="I19" i="36"/>
  <c r="F29" i="36"/>
  <c r="J3" i="36"/>
  <c r="K18" i="36"/>
  <c r="K34" i="36"/>
  <c r="J17" i="36"/>
  <c r="L17" i="36" s="1"/>
  <c r="J4" i="36"/>
  <c r="L4" i="36" s="1"/>
  <c r="J16" i="36"/>
  <c r="L16" i="36" s="1"/>
  <c r="K22" i="36"/>
  <c r="J47" i="36"/>
  <c r="L47" i="36" s="1"/>
  <c r="I13" i="36"/>
  <c r="E10" i="35"/>
  <c r="D10" i="35"/>
  <c r="K32" i="36" l="1"/>
  <c r="K25" i="36"/>
  <c r="K39" i="36"/>
  <c r="K23" i="36"/>
  <c r="L23" i="36"/>
  <c r="K24" i="36"/>
  <c r="K26" i="36" s="1"/>
  <c r="J26" i="36"/>
  <c r="K9" i="36"/>
  <c r="K8" i="36"/>
  <c r="K7" i="36"/>
  <c r="K6" i="36"/>
  <c r="K37" i="36"/>
  <c r="L37" i="36"/>
  <c r="K38" i="36"/>
  <c r="J44" i="36"/>
  <c r="L43" i="36"/>
  <c r="L44" i="36" s="1"/>
  <c r="K5" i="36"/>
  <c r="K3" i="36"/>
  <c r="L3" i="36"/>
  <c r="K43" i="36"/>
  <c r="K44" i="36" s="1"/>
  <c r="I29" i="36"/>
  <c r="K36" i="36"/>
  <c r="J10" i="36"/>
  <c r="J48" i="36"/>
  <c r="L48" i="36"/>
  <c r="K47" i="36"/>
  <c r="K48" i="36" s="1"/>
  <c r="K16" i="36"/>
  <c r="J19" i="36"/>
  <c r="H13" i="36"/>
  <c r="H29" i="36" s="1"/>
  <c r="K4" i="36"/>
  <c r="K17" i="36"/>
  <c r="I35" i="35"/>
  <c r="I35" i="36" s="1"/>
  <c r="H35" i="35"/>
  <c r="H35" i="36" s="1"/>
  <c r="H34" i="35"/>
  <c r="I47" i="35"/>
  <c r="I48" i="35" s="1"/>
  <c r="H47" i="35"/>
  <c r="H48" i="35" s="1"/>
  <c r="I43" i="35"/>
  <c r="I44" i="35" s="1"/>
  <c r="H43" i="35"/>
  <c r="H44" i="35" s="1"/>
  <c r="I39" i="35"/>
  <c r="H39" i="35"/>
  <c r="I38" i="35"/>
  <c r="H38" i="35"/>
  <c r="I37" i="35"/>
  <c r="H37" i="35"/>
  <c r="I36" i="35"/>
  <c r="H36" i="35"/>
  <c r="I34" i="35"/>
  <c r="I33" i="35"/>
  <c r="I33" i="36" s="1"/>
  <c r="I33" i="38" s="1"/>
  <c r="I33" i="39" s="1"/>
  <c r="I33" i="40" s="1"/>
  <c r="I33" i="41" s="1"/>
  <c r="I33" i="42" s="1"/>
  <c r="H33" i="35"/>
  <c r="H33" i="36" s="1"/>
  <c r="I32" i="35"/>
  <c r="H32" i="35"/>
  <c r="I25" i="35"/>
  <c r="H25" i="35"/>
  <c r="I24" i="35"/>
  <c r="H24" i="35"/>
  <c r="I23" i="35"/>
  <c r="H23" i="35"/>
  <c r="I18" i="35"/>
  <c r="H18" i="35"/>
  <c r="I17" i="35"/>
  <c r="H17" i="35"/>
  <c r="I16" i="35"/>
  <c r="H16" i="35"/>
  <c r="I12" i="35"/>
  <c r="H12" i="35"/>
  <c r="I11" i="35"/>
  <c r="I10" i="35"/>
  <c r="H10" i="35"/>
  <c r="I9" i="35"/>
  <c r="H9" i="35"/>
  <c r="I8" i="35"/>
  <c r="H8" i="35"/>
  <c r="I7" i="35"/>
  <c r="H7" i="35"/>
  <c r="I6" i="35"/>
  <c r="H6" i="35"/>
  <c r="I5" i="35"/>
  <c r="H5" i="35"/>
  <c r="I4" i="35"/>
  <c r="H4" i="35"/>
  <c r="I3" i="35"/>
  <c r="H3" i="35"/>
  <c r="G48" i="35"/>
  <c r="F48" i="35"/>
  <c r="E48" i="35"/>
  <c r="D48" i="35"/>
  <c r="C48" i="35"/>
  <c r="G44" i="35"/>
  <c r="F44" i="35"/>
  <c r="E44" i="35"/>
  <c r="D44" i="35"/>
  <c r="C43" i="35"/>
  <c r="C44" i="35" s="1"/>
  <c r="G40" i="35"/>
  <c r="F40" i="35"/>
  <c r="E40" i="35"/>
  <c r="D40" i="35"/>
  <c r="C40" i="35"/>
  <c r="G26" i="35"/>
  <c r="F26" i="35"/>
  <c r="E26" i="35"/>
  <c r="D26" i="35"/>
  <c r="C26" i="35"/>
  <c r="I22" i="35"/>
  <c r="H22" i="35"/>
  <c r="J22" i="35" s="1"/>
  <c r="G19" i="35"/>
  <c r="F19" i="35"/>
  <c r="E19" i="35"/>
  <c r="D19" i="35"/>
  <c r="C19" i="35"/>
  <c r="F13" i="35"/>
  <c r="C13" i="35"/>
  <c r="C29" i="35" s="1"/>
  <c r="G13" i="35"/>
  <c r="E13" i="35"/>
  <c r="C3" i="35"/>
  <c r="I35" i="38" l="1"/>
  <c r="I40" i="36"/>
  <c r="H33" i="38"/>
  <c r="J33" i="36"/>
  <c r="H35" i="38"/>
  <c r="H40" i="36"/>
  <c r="J35" i="36"/>
  <c r="K19" i="36"/>
  <c r="J13" i="36"/>
  <c r="J29" i="36" s="1"/>
  <c r="L10" i="36"/>
  <c r="L13" i="36" s="1"/>
  <c r="K10" i="36"/>
  <c r="K13" i="36" s="1"/>
  <c r="L19" i="36"/>
  <c r="J36" i="35"/>
  <c r="L36" i="35" s="1"/>
  <c r="J32" i="35"/>
  <c r="L32" i="35" s="1"/>
  <c r="J25" i="35"/>
  <c r="L25" i="35" s="1"/>
  <c r="J23" i="35"/>
  <c r="L23" i="35" s="1"/>
  <c r="J12" i="35"/>
  <c r="L12" i="35" s="1"/>
  <c r="J17" i="35"/>
  <c r="L17" i="35" s="1"/>
  <c r="J18" i="35"/>
  <c r="L18" i="35" s="1"/>
  <c r="E29" i="35"/>
  <c r="J8" i="35"/>
  <c r="L8" i="35" s="1"/>
  <c r="J6" i="35"/>
  <c r="L6" i="35" s="1"/>
  <c r="J5" i="35"/>
  <c r="L5" i="35" s="1"/>
  <c r="J39" i="35"/>
  <c r="L39" i="35" s="1"/>
  <c r="J37" i="35"/>
  <c r="L37" i="35" s="1"/>
  <c r="J10" i="35"/>
  <c r="L10" i="35" s="1"/>
  <c r="J35" i="35"/>
  <c r="L35" i="35" s="1"/>
  <c r="J38" i="35"/>
  <c r="L38" i="35" s="1"/>
  <c r="J34" i="35"/>
  <c r="L34" i="35" s="1"/>
  <c r="I40" i="35"/>
  <c r="J33" i="35"/>
  <c r="L33" i="35" s="1"/>
  <c r="I26" i="35"/>
  <c r="J24" i="35"/>
  <c r="K24" i="35" s="1"/>
  <c r="G29" i="35"/>
  <c r="F29" i="35"/>
  <c r="H19" i="35"/>
  <c r="I19" i="35"/>
  <c r="J3" i="35"/>
  <c r="J11" i="35"/>
  <c r="L11" i="35" s="1"/>
  <c r="K22" i="35"/>
  <c r="L22" i="35"/>
  <c r="K18" i="35"/>
  <c r="H13" i="35"/>
  <c r="K39" i="35"/>
  <c r="I13" i="35"/>
  <c r="K5" i="35"/>
  <c r="J4" i="35"/>
  <c r="L4" i="35" s="1"/>
  <c r="J7" i="35"/>
  <c r="L7" i="35" s="1"/>
  <c r="D13" i="35"/>
  <c r="D29" i="35" s="1"/>
  <c r="J47" i="35"/>
  <c r="L47" i="35" s="1"/>
  <c r="J9" i="35"/>
  <c r="L9" i="35" s="1"/>
  <c r="K23" i="35"/>
  <c r="H40" i="35"/>
  <c r="J43" i="35"/>
  <c r="J16" i="35"/>
  <c r="L16" i="35" s="1"/>
  <c r="H26" i="35"/>
  <c r="E10" i="34"/>
  <c r="D10" i="34"/>
  <c r="E7" i="34"/>
  <c r="D7" i="34"/>
  <c r="G3" i="34"/>
  <c r="F3" i="34"/>
  <c r="I35" i="39" l="1"/>
  <c r="I40" i="38"/>
  <c r="L33" i="36"/>
  <c r="K33" i="36"/>
  <c r="H33" i="39"/>
  <c r="J33" i="38"/>
  <c r="L35" i="36"/>
  <c r="L40" i="36" s="1"/>
  <c r="K35" i="36"/>
  <c r="K40" i="36" s="1"/>
  <c r="J40" i="36"/>
  <c r="H35" i="39"/>
  <c r="H40" i="38"/>
  <c r="J35" i="38"/>
  <c r="K29" i="36"/>
  <c r="L29" i="36"/>
  <c r="K36" i="35"/>
  <c r="K35" i="35"/>
  <c r="K34" i="35"/>
  <c r="K32" i="35"/>
  <c r="K25" i="35"/>
  <c r="K26" i="35" s="1"/>
  <c r="K12" i="35"/>
  <c r="K17" i="35"/>
  <c r="K11" i="35"/>
  <c r="K8" i="35"/>
  <c r="K6" i="35"/>
  <c r="K37" i="35"/>
  <c r="K38" i="35"/>
  <c r="K10" i="35"/>
  <c r="J44" i="35"/>
  <c r="L43" i="35"/>
  <c r="L44" i="35" s="1"/>
  <c r="J26" i="35"/>
  <c r="L24" i="35"/>
  <c r="K3" i="35"/>
  <c r="L3" i="35"/>
  <c r="J40" i="35"/>
  <c r="K33" i="35"/>
  <c r="I29" i="35"/>
  <c r="K7" i="35"/>
  <c r="K9" i="35"/>
  <c r="K4" i="35"/>
  <c r="J13" i="35"/>
  <c r="L19" i="35"/>
  <c r="K16" i="35"/>
  <c r="K19" i="35" s="1"/>
  <c r="J19" i="35"/>
  <c r="H29" i="35"/>
  <c r="J48" i="35"/>
  <c r="L48" i="35"/>
  <c r="K47" i="35"/>
  <c r="K48" i="35" s="1"/>
  <c r="K43" i="35"/>
  <c r="K44" i="35" s="1"/>
  <c r="L40" i="35"/>
  <c r="G9" i="34"/>
  <c r="F9" i="34"/>
  <c r="I35" i="40" l="1"/>
  <c r="I40" i="39"/>
  <c r="H33" i="40"/>
  <c r="J33" i="39"/>
  <c r="L33" i="38"/>
  <c r="K33" i="38"/>
  <c r="L35" i="38"/>
  <c r="K35" i="38"/>
  <c r="K40" i="38" s="1"/>
  <c r="J40" i="38"/>
  <c r="H35" i="40"/>
  <c r="J35" i="39"/>
  <c r="H40" i="39"/>
  <c r="K40" i="35"/>
  <c r="L13" i="35"/>
  <c r="L29" i="35" s="1"/>
  <c r="J29" i="35"/>
  <c r="K13" i="35"/>
  <c r="K29" i="35" s="1"/>
  <c r="I34" i="34"/>
  <c r="H34" i="34"/>
  <c r="I35" i="41" l="1"/>
  <c r="I40" i="40"/>
  <c r="L40" i="38"/>
  <c r="L33" i="39"/>
  <c r="K33" i="39"/>
  <c r="H33" i="41"/>
  <c r="J33" i="40"/>
  <c r="L35" i="39"/>
  <c r="L40" i="39" s="1"/>
  <c r="K35" i="39"/>
  <c r="J40" i="39"/>
  <c r="J35" i="40"/>
  <c r="H35" i="41"/>
  <c r="H40" i="40"/>
  <c r="J34" i="34"/>
  <c r="L34" i="34" s="1"/>
  <c r="G47" i="34"/>
  <c r="F47" i="34"/>
  <c r="E47" i="34"/>
  <c r="D47" i="34"/>
  <c r="C47" i="34"/>
  <c r="G43" i="34"/>
  <c r="F43" i="34"/>
  <c r="E43" i="34"/>
  <c r="D43" i="34"/>
  <c r="C42" i="34"/>
  <c r="C43" i="34" s="1"/>
  <c r="G39" i="34"/>
  <c r="F39" i="34"/>
  <c r="E39" i="34"/>
  <c r="D39" i="34"/>
  <c r="C39" i="34"/>
  <c r="G26" i="34"/>
  <c r="F26" i="34"/>
  <c r="E26" i="34"/>
  <c r="D26" i="34"/>
  <c r="C26" i="34"/>
  <c r="I22" i="34"/>
  <c r="H22" i="34"/>
  <c r="J22" i="34" s="1"/>
  <c r="G19" i="34"/>
  <c r="F19" i="34"/>
  <c r="E19" i="34"/>
  <c r="D19" i="34"/>
  <c r="C19" i="34"/>
  <c r="G13" i="34"/>
  <c r="F13" i="34"/>
  <c r="C13" i="34"/>
  <c r="C29" i="34" s="1"/>
  <c r="D13" i="34"/>
  <c r="C3" i="34"/>
  <c r="K40" i="39" l="1"/>
  <c r="I35" i="42"/>
  <c r="I40" i="42" s="1"/>
  <c r="I40" i="41"/>
  <c r="K33" i="40"/>
  <c r="L33" i="40"/>
  <c r="H33" i="42"/>
  <c r="J33" i="42" s="1"/>
  <c r="J33" i="41"/>
  <c r="J35" i="41"/>
  <c r="H35" i="42"/>
  <c r="H40" i="41"/>
  <c r="K35" i="40"/>
  <c r="K40" i="40" s="1"/>
  <c r="J40" i="40"/>
  <c r="L35" i="40"/>
  <c r="L40" i="40" s="1"/>
  <c r="K34" i="34"/>
  <c r="G29" i="34"/>
  <c r="D29" i="34"/>
  <c r="F29" i="34"/>
  <c r="K22" i="34"/>
  <c r="L22" i="34"/>
  <c r="E13" i="34"/>
  <c r="E29" i="34" s="1"/>
  <c r="E10" i="32"/>
  <c r="D10" i="32"/>
  <c r="E6" i="32"/>
  <c r="D6" i="32"/>
  <c r="L33" i="41" l="1"/>
  <c r="K33" i="41"/>
  <c r="L33" i="42"/>
  <c r="K33" i="42"/>
  <c r="J35" i="42"/>
  <c r="H40" i="42"/>
  <c r="L35" i="41"/>
  <c r="L40" i="41" s="1"/>
  <c r="J40" i="41"/>
  <c r="K35" i="41"/>
  <c r="C3" i="32"/>
  <c r="I3" i="32"/>
  <c r="I3" i="34" s="1"/>
  <c r="H3" i="32"/>
  <c r="H3" i="34" s="1"/>
  <c r="G46" i="32"/>
  <c r="F46" i="32"/>
  <c r="E46" i="32"/>
  <c r="D46" i="32"/>
  <c r="C46" i="32"/>
  <c r="G42" i="32"/>
  <c r="F42" i="32"/>
  <c r="E42" i="32"/>
  <c r="D42" i="32"/>
  <c r="C41" i="32"/>
  <c r="C42" i="32" s="1"/>
  <c r="G38" i="32"/>
  <c r="F38" i="32"/>
  <c r="E38" i="32"/>
  <c r="D38" i="32"/>
  <c r="C38" i="32"/>
  <c r="G26" i="32"/>
  <c r="F26" i="32"/>
  <c r="E26" i="32"/>
  <c r="D26" i="32"/>
  <c r="C26" i="32"/>
  <c r="I22" i="32"/>
  <c r="H22" i="32"/>
  <c r="G19" i="32"/>
  <c r="F19" i="32"/>
  <c r="E19" i="32"/>
  <c r="D19" i="32"/>
  <c r="C19" i="32"/>
  <c r="G13" i="32"/>
  <c r="F13" i="32"/>
  <c r="D13" i="32"/>
  <c r="C13" i="32"/>
  <c r="E13" i="32"/>
  <c r="K40" i="41" l="1"/>
  <c r="L35" i="42"/>
  <c r="L40" i="42" s="1"/>
  <c r="K35" i="42"/>
  <c r="K40" i="42" s="1"/>
  <c r="J40" i="42"/>
  <c r="J3" i="34"/>
  <c r="K3" i="34" s="1"/>
  <c r="C29" i="32"/>
  <c r="G29" i="32"/>
  <c r="F29" i="32"/>
  <c r="E29" i="32"/>
  <c r="J3" i="32"/>
  <c r="K3" i="32" s="1"/>
  <c r="D29" i="32"/>
  <c r="J22" i="32"/>
  <c r="E9" i="31"/>
  <c r="D9" i="31"/>
  <c r="L3" i="34" l="1"/>
  <c r="L3" i="32"/>
  <c r="K22" i="32"/>
  <c r="L22" i="32"/>
  <c r="G45" i="31" l="1"/>
  <c r="F45" i="31"/>
  <c r="E45" i="31"/>
  <c r="D45" i="31"/>
  <c r="C45" i="31"/>
  <c r="G41" i="31"/>
  <c r="F41" i="31"/>
  <c r="E41" i="31"/>
  <c r="D41" i="31"/>
  <c r="C41" i="31"/>
  <c r="C40" i="31"/>
  <c r="G37" i="31"/>
  <c r="F37" i="31"/>
  <c r="E37" i="31"/>
  <c r="D37" i="31"/>
  <c r="C37" i="31"/>
  <c r="G25" i="31"/>
  <c r="F25" i="31"/>
  <c r="E25" i="31"/>
  <c r="D25" i="31"/>
  <c r="C25" i="31"/>
  <c r="I21" i="31"/>
  <c r="H21" i="31"/>
  <c r="J21" i="31" s="1"/>
  <c r="G18" i="31"/>
  <c r="F18" i="31"/>
  <c r="E18" i="31"/>
  <c r="D18" i="31"/>
  <c r="C18" i="31"/>
  <c r="G12" i="31"/>
  <c r="F12" i="31"/>
  <c r="E12" i="31"/>
  <c r="D12" i="31"/>
  <c r="C12" i="31"/>
  <c r="C28" i="31" l="1"/>
  <c r="F28" i="31"/>
  <c r="G28" i="31"/>
  <c r="E28" i="31"/>
  <c r="D28" i="31"/>
  <c r="K21" i="31"/>
  <c r="L21" i="31"/>
  <c r="E7" i="30"/>
  <c r="D7" i="30"/>
  <c r="C40" i="30" l="1"/>
  <c r="I11" i="30"/>
  <c r="I11" i="31" s="1"/>
  <c r="I12" i="32" s="1"/>
  <c r="I12" i="34" s="1"/>
  <c r="H11" i="30"/>
  <c r="H11" i="31" s="1"/>
  <c r="I10" i="30"/>
  <c r="I10" i="31" s="1"/>
  <c r="I11" i="32" s="1"/>
  <c r="I11" i="34" s="1"/>
  <c r="H10" i="30"/>
  <c r="H10" i="31" s="1"/>
  <c r="I9" i="30"/>
  <c r="I9" i="31" s="1"/>
  <c r="I10" i="32" s="1"/>
  <c r="I10" i="34" s="1"/>
  <c r="H9" i="30"/>
  <c r="H9" i="31" s="1"/>
  <c r="I8" i="30"/>
  <c r="I8" i="31" s="1"/>
  <c r="I9" i="32" s="1"/>
  <c r="I9" i="34" s="1"/>
  <c r="H8" i="30"/>
  <c r="H8" i="31" s="1"/>
  <c r="I7" i="30"/>
  <c r="I7" i="31" s="1"/>
  <c r="I8" i="32" s="1"/>
  <c r="I8" i="34" s="1"/>
  <c r="H7" i="30"/>
  <c r="H7" i="31" s="1"/>
  <c r="I6" i="30"/>
  <c r="I6" i="31" s="1"/>
  <c r="I7" i="32" s="1"/>
  <c r="I7" i="34" s="1"/>
  <c r="H6" i="30"/>
  <c r="H6" i="31" s="1"/>
  <c r="I5" i="30"/>
  <c r="I5" i="31" s="1"/>
  <c r="I6" i="32" s="1"/>
  <c r="I6" i="34" s="1"/>
  <c r="H5" i="30"/>
  <c r="H5" i="31" s="1"/>
  <c r="I4" i="30"/>
  <c r="I4" i="31" s="1"/>
  <c r="I5" i="32" s="1"/>
  <c r="I5" i="34" s="1"/>
  <c r="H4" i="30"/>
  <c r="H4" i="31" s="1"/>
  <c r="I3" i="30"/>
  <c r="I3" i="31" s="1"/>
  <c r="H3" i="30"/>
  <c r="H3" i="31" s="1"/>
  <c r="I17" i="30"/>
  <c r="I17" i="31" s="1"/>
  <c r="I18" i="32" s="1"/>
  <c r="I18" i="34" s="1"/>
  <c r="H17" i="30"/>
  <c r="H17" i="31" s="1"/>
  <c r="I16" i="30"/>
  <c r="I16" i="31" s="1"/>
  <c r="I17" i="32" s="1"/>
  <c r="I17" i="34" s="1"/>
  <c r="H16" i="30"/>
  <c r="H16" i="31" s="1"/>
  <c r="I15" i="30"/>
  <c r="I15" i="31" s="1"/>
  <c r="H15" i="30"/>
  <c r="H15" i="31" s="1"/>
  <c r="I24" i="30"/>
  <c r="I24" i="31" s="1"/>
  <c r="I25" i="32" s="1"/>
  <c r="I25" i="34" s="1"/>
  <c r="H24" i="30"/>
  <c r="H24" i="31" s="1"/>
  <c r="I23" i="30"/>
  <c r="I23" i="31" s="1"/>
  <c r="I24" i="32" s="1"/>
  <c r="I24" i="34" s="1"/>
  <c r="H23" i="30"/>
  <c r="H23" i="31" s="1"/>
  <c r="I22" i="30"/>
  <c r="I22" i="31" s="1"/>
  <c r="H22" i="30"/>
  <c r="H22" i="31" s="1"/>
  <c r="I21" i="30"/>
  <c r="H21" i="30"/>
  <c r="I34" i="30"/>
  <c r="I34" i="31" s="1"/>
  <c r="I35" i="32" s="1"/>
  <c r="I36" i="34" s="1"/>
  <c r="H34" i="30"/>
  <c r="H34" i="31" s="1"/>
  <c r="I33" i="30"/>
  <c r="I33" i="31" s="1"/>
  <c r="I34" i="32" s="1"/>
  <c r="I35" i="34" s="1"/>
  <c r="H33" i="30"/>
  <c r="H33" i="31" s="1"/>
  <c r="I32" i="30"/>
  <c r="I32" i="31" s="1"/>
  <c r="I33" i="32" s="1"/>
  <c r="I33" i="34" s="1"/>
  <c r="H32" i="30"/>
  <c r="H32" i="31" s="1"/>
  <c r="I31" i="30"/>
  <c r="I31" i="31" s="1"/>
  <c r="H31" i="30"/>
  <c r="H31" i="31" s="1"/>
  <c r="I44" i="30"/>
  <c r="I44" i="31" s="1"/>
  <c r="H44" i="30"/>
  <c r="H44" i="31" s="1"/>
  <c r="I40" i="30"/>
  <c r="I40" i="31" s="1"/>
  <c r="H40" i="30"/>
  <c r="H40" i="31" s="1"/>
  <c r="I36" i="30"/>
  <c r="I36" i="31" s="1"/>
  <c r="I37" i="32" s="1"/>
  <c r="I38" i="34" s="1"/>
  <c r="H36" i="30"/>
  <c r="H36" i="31" s="1"/>
  <c r="H9" i="32" l="1"/>
  <c r="J8" i="31"/>
  <c r="I16" i="32"/>
  <c r="I18" i="31"/>
  <c r="I4" i="32"/>
  <c r="I12" i="31"/>
  <c r="I28" i="31" s="1"/>
  <c r="H5" i="32"/>
  <c r="J4" i="31"/>
  <c r="H37" i="32"/>
  <c r="J36" i="31"/>
  <c r="H33" i="32"/>
  <c r="J32" i="31"/>
  <c r="H23" i="32"/>
  <c r="H25" i="31"/>
  <c r="J22" i="31"/>
  <c r="H17" i="32"/>
  <c r="J16" i="31"/>
  <c r="H6" i="32"/>
  <c r="J5" i="31"/>
  <c r="H10" i="32"/>
  <c r="J9" i="31"/>
  <c r="I45" i="32"/>
  <c r="I45" i="31"/>
  <c r="I23" i="32"/>
  <c r="I25" i="31"/>
  <c r="H34" i="32"/>
  <c r="J33" i="31"/>
  <c r="H24" i="32"/>
  <c r="J23" i="31"/>
  <c r="H18" i="32"/>
  <c r="J17" i="31"/>
  <c r="H7" i="32"/>
  <c r="J6" i="31"/>
  <c r="H11" i="32"/>
  <c r="J10" i="31"/>
  <c r="H16" i="32"/>
  <c r="J15" i="31"/>
  <c r="H18" i="31"/>
  <c r="I32" i="32"/>
  <c r="I37" i="31"/>
  <c r="I41" i="32"/>
  <c r="I41" i="31"/>
  <c r="H32" i="32"/>
  <c r="J31" i="31"/>
  <c r="H41" i="32"/>
  <c r="H41" i="31"/>
  <c r="J40" i="31"/>
  <c r="H45" i="32"/>
  <c r="H45" i="31"/>
  <c r="J44" i="31"/>
  <c r="H35" i="32"/>
  <c r="J34" i="31"/>
  <c r="H25" i="32"/>
  <c r="J24" i="31"/>
  <c r="H4" i="32"/>
  <c r="J3" i="31"/>
  <c r="H12" i="31"/>
  <c r="H8" i="32"/>
  <c r="J7" i="31"/>
  <c r="H12" i="32"/>
  <c r="J11" i="31"/>
  <c r="I35" i="30"/>
  <c r="I35" i="31" s="1"/>
  <c r="I36" i="32" s="1"/>
  <c r="I37" i="34" s="1"/>
  <c r="H35" i="30"/>
  <c r="H35" i="31" s="1"/>
  <c r="H37" i="31" s="1"/>
  <c r="L40" i="31" l="1"/>
  <c r="L41" i="31" s="1"/>
  <c r="J41" i="31"/>
  <c r="K40" i="31"/>
  <c r="K41" i="31" s="1"/>
  <c r="H17" i="34"/>
  <c r="J17" i="34" s="1"/>
  <c r="J17" i="32"/>
  <c r="I38" i="32"/>
  <c r="I32" i="34"/>
  <c r="I39" i="34" s="1"/>
  <c r="L11" i="31"/>
  <c r="K11" i="31"/>
  <c r="I26" i="32"/>
  <c r="I23" i="34"/>
  <c r="I26" i="34" s="1"/>
  <c r="I4" i="34"/>
  <c r="I13" i="34" s="1"/>
  <c r="I13" i="32"/>
  <c r="H13" i="32"/>
  <c r="J4" i="32"/>
  <c r="H4" i="34"/>
  <c r="H7" i="34"/>
  <c r="J7" i="34" s="1"/>
  <c r="J7" i="32"/>
  <c r="L17" i="31"/>
  <c r="K17" i="31"/>
  <c r="L22" i="31"/>
  <c r="K22" i="31"/>
  <c r="K25" i="31" s="1"/>
  <c r="J25" i="31"/>
  <c r="H25" i="34"/>
  <c r="J25" i="34" s="1"/>
  <c r="J25" i="32"/>
  <c r="I46" i="32"/>
  <c r="I46" i="34"/>
  <c r="I47" i="34" s="1"/>
  <c r="L34" i="31"/>
  <c r="K34" i="31"/>
  <c r="H23" i="34"/>
  <c r="H26" i="32"/>
  <c r="J23" i="32"/>
  <c r="H36" i="34"/>
  <c r="J36" i="34" s="1"/>
  <c r="J35" i="32"/>
  <c r="L31" i="31"/>
  <c r="K31" i="31"/>
  <c r="H16" i="34"/>
  <c r="J16" i="32"/>
  <c r="H19" i="32"/>
  <c r="J24" i="32"/>
  <c r="H24" i="34"/>
  <c r="J24" i="34" s="1"/>
  <c r="J10" i="32"/>
  <c r="H10" i="34"/>
  <c r="J10" i="34" s="1"/>
  <c r="L32" i="31"/>
  <c r="K32" i="31"/>
  <c r="H18" i="34"/>
  <c r="J18" i="34" s="1"/>
  <c r="J18" i="32"/>
  <c r="L23" i="31"/>
  <c r="K23" i="31"/>
  <c r="H8" i="34"/>
  <c r="J8" i="34" s="1"/>
  <c r="J8" i="32"/>
  <c r="L10" i="31"/>
  <c r="K10" i="31"/>
  <c r="K33" i="31"/>
  <c r="L33" i="31"/>
  <c r="L5" i="31"/>
  <c r="K5" i="31"/>
  <c r="H33" i="34"/>
  <c r="J33" i="34" s="1"/>
  <c r="J33" i="32"/>
  <c r="I16" i="34"/>
  <c r="I19" i="34" s="1"/>
  <c r="I19" i="32"/>
  <c r="L4" i="31"/>
  <c r="K4" i="31"/>
  <c r="L24" i="31"/>
  <c r="K24" i="31"/>
  <c r="J32" i="32"/>
  <c r="H32" i="34"/>
  <c r="H35" i="34"/>
  <c r="J35" i="34" s="1"/>
  <c r="J34" i="32"/>
  <c r="J6" i="32"/>
  <c r="H6" i="34"/>
  <c r="J6" i="34" s="1"/>
  <c r="L36" i="31"/>
  <c r="K36" i="31"/>
  <c r="L8" i="31"/>
  <c r="K8" i="31"/>
  <c r="H36" i="32"/>
  <c r="J35" i="31"/>
  <c r="H5" i="34"/>
  <c r="J5" i="34" s="1"/>
  <c r="J5" i="32"/>
  <c r="H42" i="34"/>
  <c r="J41" i="32"/>
  <c r="H42" i="32"/>
  <c r="H12" i="34"/>
  <c r="J12" i="34" s="1"/>
  <c r="J12" i="32"/>
  <c r="L15" i="31"/>
  <c r="L18" i="31" s="1"/>
  <c r="K15" i="31"/>
  <c r="K18" i="31" s="1"/>
  <c r="J18" i="31"/>
  <c r="L9" i="31"/>
  <c r="K9" i="31"/>
  <c r="L7" i="31"/>
  <c r="K7" i="31"/>
  <c r="L44" i="31"/>
  <c r="L45" i="31" s="1"/>
  <c r="K44" i="31"/>
  <c r="K45" i="31" s="1"/>
  <c r="J45" i="31"/>
  <c r="H28" i="31"/>
  <c r="H11" i="34"/>
  <c r="J11" i="34" s="1"/>
  <c r="J11" i="32"/>
  <c r="L3" i="31"/>
  <c r="K3" i="31"/>
  <c r="J12" i="31"/>
  <c r="H46" i="32"/>
  <c r="J45" i="32"/>
  <c r="H46" i="34"/>
  <c r="I42" i="32"/>
  <c r="I42" i="34"/>
  <c r="I43" i="34" s="1"/>
  <c r="L6" i="31"/>
  <c r="K6" i="31"/>
  <c r="L16" i="31"/>
  <c r="K16" i="31"/>
  <c r="H38" i="34"/>
  <c r="J38" i="34" s="1"/>
  <c r="J37" i="32"/>
  <c r="H9" i="34"/>
  <c r="J9" i="34" s="1"/>
  <c r="J9" i="32"/>
  <c r="J35" i="30"/>
  <c r="L38" i="34" l="1"/>
  <c r="K38" i="34"/>
  <c r="L6" i="32"/>
  <c r="K6" i="32"/>
  <c r="L25" i="34"/>
  <c r="K25" i="34"/>
  <c r="K35" i="31"/>
  <c r="L35" i="31"/>
  <c r="L37" i="31" s="1"/>
  <c r="L18" i="34"/>
  <c r="K18" i="34"/>
  <c r="J28" i="31"/>
  <c r="H37" i="34"/>
  <c r="J37" i="34" s="1"/>
  <c r="J36" i="32"/>
  <c r="J16" i="34"/>
  <c r="H19" i="34"/>
  <c r="J23" i="34"/>
  <c r="H26" i="34"/>
  <c r="H29" i="32"/>
  <c r="L18" i="32"/>
  <c r="K18" i="32"/>
  <c r="K34" i="32"/>
  <c r="L34" i="32"/>
  <c r="L35" i="34"/>
  <c r="K35" i="34"/>
  <c r="K12" i="31"/>
  <c r="K28" i="31" s="1"/>
  <c r="K12" i="34"/>
  <c r="L12" i="34"/>
  <c r="J32" i="34"/>
  <c r="J37" i="31"/>
  <c r="I29" i="32"/>
  <c r="K17" i="32"/>
  <c r="L17" i="32"/>
  <c r="J26" i="32"/>
  <c r="L23" i="32"/>
  <c r="K23" i="32"/>
  <c r="L12" i="31"/>
  <c r="L28" i="31" s="1"/>
  <c r="L32" i="32"/>
  <c r="K32" i="32"/>
  <c r="J38" i="32"/>
  <c r="L33" i="32"/>
  <c r="K33" i="32"/>
  <c r="K8" i="32"/>
  <c r="L8" i="32"/>
  <c r="K10" i="34"/>
  <c r="L10" i="34"/>
  <c r="K37" i="31"/>
  <c r="I29" i="34"/>
  <c r="L17" i="34"/>
  <c r="K17" i="34"/>
  <c r="K4" i="32"/>
  <c r="L4" i="32"/>
  <c r="J13" i="32"/>
  <c r="J42" i="32"/>
  <c r="L41" i="32"/>
  <c r="L42" i="32" s="1"/>
  <c r="K41" i="32"/>
  <c r="K42" i="32" s="1"/>
  <c r="H38" i="32"/>
  <c r="L10" i="32"/>
  <c r="K10" i="32"/>
  <c r="L5" i="34"/>
  <c r="K5" i="34"/>
  <c r="L16" i="32"/>
  <c r="J19" i="32"/>
  <c r="K16" i="32"/>
  <c r="L11" i="32"/>
  <c r="K11" i="32"/>
  <c r="L33" i="34"/>
  <c r="K33" i="34"/>
  <c r="K11" i="34"/>
  <c r="L11" i="34"/>
  <c r="J42" i="34"/>
  <c r="H43" i="34"/>
  <c r="L24" i="34"/>
  <c r="K24" i="34"/>
  <c r="K35" i="32"/>
  <c r="L35" i="32"/>
  <c r="L7" i="32"/>
  <c r="K7" i="32"/>
  <c r="L45" i="32"/>
  <c r="L46" i="32" s="1"/>
  <c r="J46" i="32"/>
  <c r="K45" i="32"/>
  <c r="K46" i="32" s="1"/>
  <c r="J4" i="34"/>
  <c r="H13" i="34"/>
  <c r="L12" i="32"/>
  <c r="K12" i="32"/>
  <c r="K9" i="32"/>
  <c r="L9" i="32"/>
  <c r="L8" i="34"/>
  <c r="K8" i="34"/>
  <c r="K9" i="34"/>
  <c r="L9" i="34"/>
  <c r="L37" i="32"/>
  <c r="K37" i="32"/>
  <c r="H47" i="34"/>
  <c r="J46" i="34"/>
  <c r="L5" i="32"/>
  <c r="K5" i="32"/>
  <c r="L6" i="34"/>
  <c r="K6" i="34"/>
  <c r="K24" i="32"/>
  <c r="L24" i="32"/>
  <c r="L36" i="34"/>
  <c r="K36" i="34"/>
  <c r="L25" i="32"/>
  <c r="K25" i="32"/>
  <c r="K7" i="34"/>
  <c r="L7" i="34"/>
  <c r="K35" i="30"/>
  <c r="L35" i="30"/>
  <c r="G45" i="30"/>
  <c r="F45" i="30"/>
  <c r="E45" i="30"/>
  <c r="D45" i="30"/>
  <c r="C45" i="30"/>
  <c r="G41" i="30"/>
  <c r="F41" i="30"/>
  <c r="E41" i="30"/>
  <c r="D41" i="30"/>
  <c r="C41" i="30"/>
  <c r="G37" i="30"/>
  <c r="F37" i="30"/>
  <c r="E37" i="30"/>
  <c r="D37" i="30"/>
  <c r="C37" i="30"/>
  <c r="G25" i="30"/>
  <c r="F25" i="30"/>
  <c r="E25" i="30"/>
  <c r="D25" i="30"/>
  <c r="G18" i="30"/>
  <c r="F18" i="30"/>
  <c r="E18" i="30"/>
  <c r="D18" i="30"/>
  <c r="G12" i="30"/>
  <c r="F12" i="30"/>
  <c r="E12" i="30"/>
  <c r="H39" i="34" l="1"/>
  <c r="K42" i="34"/>
  <c r="K43" i="34" s="1"/>
  <c r="J43" i="34"/>
  <c r="L42" i="34"/>
  <c r="L43" i="34" s="1"/>
  <c r="J19" i="34"/>
  <c r="K16" i="34"/>
  <c r="K19" i="34" s="1"/>
  <c r="L16" i="34"/>
  <c r="L19" i="34" s="1"/>
  <c r="J47" i="34"/>
  <c r="K46" i="34"/>
  <c r="K47" i="34" s="1"/>
  <c r="L46" i="34"/>
  <c r="L47" i="34" s="1"/>
  <c r="J29" i="32"/>
  <c r="K36" i="32"/>
  <c r="K38" i="32" s="1"/>
  <c r="L36" i="32"/>
  <c r="L38" i="32" s="1"/>
  <c r="L23" i="34"/>
  <c r="J26" i="34"/>
  <c r="K23" i="34"/>
  <c r="K26" i="34" s="1"/>
  <c r="H29" i="34"/>
  <c r="L13" i="32"/>
  <c r="K26" i="32"/>
  <c r="K32" i="34"/>
  <c r="L32" i="34"/>
  <c r="J39" i="34"/>
  <c r="L37" i="34"/>
  <c r="K37" i="34"/>
  <c r="K4" i="34"/>
  <c r="K13" i="34" s="1"/>
  <c r="L4" i="34"/>
  <c r="L13" i="34" s="1"/>
  <c r="J13" i="34"/>
  <c r="K13" i="32"/>
  <c r="K19" i="32"/>
  <c r="L19" i="32"/>
  <c r="F28" i="30"/>
  <c r="E28" i="30"/>
  <c r="G28" i="30"/>
  <c r="C18" i="30"/>
  <c r="D12" i="30"/>
  <c r="D28" i="30" s="1"/>
  <c r="C25" i="30"/>
  <c r="C12" i="30"/>
  <c r="L39" i="34" l="1"/>
  <c r="J29" i="34"/>
  <c r="K39" i="34"/>
  <c r="K29" i="32"/>
  <c r="L29" i="34"/>
  <c r="K29" i="34"/>
  <c r="L29" i="32"/>
  <c r="C28" i="30"/>
  <c r="J34" i="30"/>
  <c r="L34" i="30" s="1"/>
  <c r="K34" i="30" l="1"/>
  <c r="J24" i="30" l="1"/>
  <c r="L24" i="30" s="1"/>
  <c r="K24" i="30" l="1"/>
  <c r="J23" i="30" l="1"/>
  <c r="L23" i="30" s="1"/>
  <c r="K23" i="30" l="1"/>
  <c r="I37" i="30" l="1"/>
  <c r="I25" i="30" l="1"/>
  <c r="H12" i="30" l="1"/>
  <c r="J21" i="30"/>
  <c r="L21" i="30" s="1"/>
  <c r="H18" i="30"/>
  <c r="J4" i="30" l="1"/>
  <c r="L4" i="30" s="1"/>
  <c r="K21" i="30"/>
  <c r="J16" i="30"/>
  <c r="L16" i="30" s="1"/>
  <c r="I18" i="30" l="1"/>
  <c r="J15" i="30"/>
  <c r="L15" i="30" s="1"/>
  <c r="K4" i="30"/>
  <c r="H41" i="30"/>
  <c r="J32" i="30"/>
  <c r="L32" i="30" s="1"/>
  <c r="K16" i="30"/>
  <c r="H45" i="30"/>
  <c r="I12" i="30"/>
  <c r="J3" i="30"/>
  <c r="L3" i="30" s="1"/>
  <c r="I28" i="30" l="1"/>
  <c r="H25" i="30"/>
  <c r="H28" i="30" s="1"/>
  <c r="J22" i="30"/>
  <c r="L22" i="30" s="1"/>
  <c r="J5" i="30"/>
  <c r="L5" i="30" s="1"/>
  <c r="K3" i="30"/>
  <c r="K32" i="30"/>
  <c r="K15" i="30"/>
  <c r="J17" i="30"/>
  <c r="L17" i="30" s="1"/>
  <c r="L18" i="30" s="1"/>
  <c r="J33" i="30"/>
  <c r="L33" i="30" s="1"/>
  <c r="J18" i="30" l="1"/>
  <c r="H37" i="30"/>
  <c r="J31" i="30"/>
  <c r="L31" i="30" s="1"/>
  <c r="K22" i="30"/>
  <c r="I45" i="30"/>
  <c r="J44" i="30"/>
  <c r="L44" i="30" s="1"/>
  <c r="K33" i="30"/>
  <c r="I41" i="30"/>
  <c r="J40" i="30"/>
  <c r="L40" i="30" s="1"/>
  <c r="K17" i="30"/>
  <c r="K18" i="30" s="1"/>
  <c r="K5" i="30"/>
  <c r="J25" i="30" l="1"/>
  <c r="J36" i="30"/>
  <c r="L36" i="30" s="1"/>
  <c r="L37" i="30" s="1"/>
  <c r="J10" i="30"/>
  <c r="L10" i="30" s="1"/>
  <c r="K25" i="30"/>
  <c r="J41" i="30"/>
  <c r="L41" i="30"/>
  <c r="K40" i="30"/>
  <c r="K41" i="30" s="1"/>
  <c r="J8" i="30"/>
  <c r="L8" i="30" s="1"/>
  <c r="J9" i="30"/>
  <c r="L9" i="30" s="1"/>
  <c r="J11" i="30"/>
  <c r="L11" i="30" s="1"/>
  <c r="J7" i="30"/>
  <c r="L7" i="30" s="1"/>
  <c r="J6" i="30"/>
  <c r="L45" i="30"/>
  <c r="J45" i="30"/>
  <c r="K44" i="30"/>
  <c r="K45" i="30" s="1"/>
  <c r="K31" i="30"/>
  <c r="J37" i="30" l="1"/>
  <c r="L6" i="30"/>
  <c r="L12" i="30" s="1"/>
  <c r="J12" i="30"/>
  <c r="J28" i="30" s="1"/>
  <c r="L25" i="30"/>
  <c r="K6" i="30"/>
  <c r="K11" i="30"/>
  <c r="K10" i="30"/>
  <c r="K36" i="30"/>
  <c r="K37" i="30" s="1"/>
  <c r="K7" i="30"/>
  <c r="K9" i="30"/>
  <c r="K8" i="30"/>
  <c r="L28" i="30" l="1"/>
  <c r="K12" i="30"/>
  <c r="K28" i="30" s="1"/>
  <c r="J5" i="57"/>
  <c r="J7" i="57"/>
  <c r="J11" i="57"/>
  <c r="L11" i="57" s="1"/>
  <c r="J4" i="57"/>
  <c r="L4" i="57" s="1"/>
  <c r="J6" i="57"/>
  <c r="J10" i="57"/>
  <c r="L10" i="57" s="1"/>
  <c r="J8" i="57"/>
  <c r="J9" i="57"/>
  <c r="J12" i="57"/>
  <c r="L12" i="57" s="1"/>
  <c r="K6" i="57" l="1"/>
  <c r="L6" i="57"/>
  <c r="K7" i="57"/>
  <c r="L7" i="57"/>
  <c r="K5" i="57"/>
  <c r="L5" i="57"/>
  <c r="K9" i="57"/>
  <c r="L9" i="57"/>
  <c r="K8" i="57"/>
  <c r="L8" i="57"/>
  <c r="K11" i="57"/>
  <c r="K10" i="57"/>
  <c r="K4" i="57"/>
  <c r="K12" i="57"/>
  <c r="H13" i="57"/>
  <c r="H29" i="57" s="1"/>
  <c r="J13" i="57"/>
  <c r="J29" i="57" s="1"/>
  <c r="I13" i="57"/>
  <c r="I29" i="57" s="1"/>
  <c r="J3" i="57"/>
  <c r="L3" i="57" s="1"/>
  <c r="K3" i="57" l="1"/>
  <c r="K13" i="57" s="1"/>
  <c r="K29" i="57" s="1"/>
  <c r="L13" i="57"/>
  <c r="L29" i="57" s="1"/>
</calcChain>
</file>

<file path=xl/sharedStrings.xml><?xml version="1.0" encoding="utf-8"?>
<sst xmlns="http://schemas.openxmlformats.org/spreadsheetml/2006/main" count="2022" uniqueCount="132">
  <si>
    <t>DEPARTMENT</t>
  </si>
  <si>
    <t>Department ID</t>
  </si>
  <si>
    <t>Fringe</t>
  </si>
  <si>
    <t>Current Other OPS</t>
  </si>
  <si>
    <t>YTD OPS</t>
  </si>
  <si>
    <t>YTD Fringe</t>
  </si>
  <si>
    <t>YTD TOTAL</t>
  </si>
  <si>
    <t>Remaining</t>
  </si>
  <si>
    <t>Left at YTD Rate</t>
  </si>
  <si>
    <t>SRRS DISCRETIONARY</t>
  </si>
  <si>
    <t>AFA</t>
  </si>
  <si>
    <t>EDUCATION</t>
  </si>
  <si>
    <t>SPECIAL COLLECTIONS</t>
  </si>
  <si>
    <t>ACQUISITIONS</t>
  </si>
  <si>
    <t>SUBTOTAL Scholarly Resources &amp; 
Services</t>
  </si>
  <si>
    <t>DIGITAL LIBRARY</t>
  </si>
  <si>
    <t>CATALOGING</t>
  </si>
  <si>
    <t>PRESERVATION</t>
  </si>
  <si>
    <t>SUBTOTAL Discovery, Digital Services &amp; Shared Collections</t>
  </si>
  <si>
    <t>LACC STACKS PROJECTS</t>
  </si>
  <si>
    <t>55070600/CRRNT</t>
  </si>
  <si>
    <t>OPS INTERNS</t>
  </si>
  <si>
    <t>SUBTOTAL Special Projects</t>
  </si>
  <si>
    <t>TOTAL University Libraries</t>
  </si>
  <si>
    <t>55010000 / AUX</t>
  </si>
  <si>
    <t>55080500 / CRRNT</t>
  </si>
  <si>
    <t>MYERS-BRIGGS</t>
  </si>
  <si>
    <t>TOTAL Other</t>
  </si>
  <si>
    <t>HSCL</t>
  </si>
  <si>
    <t>55170100 / 102</t>
  </si>
  <si>
    <t>TOTAL  Health 
Science Center Libraries</t>
  </si>
  <si>
    <t>SUS</t>
  </si>
  <si>
    <t>TOTAL SUS</t>
  </si>
  <si>
    <t>MARSTON 3D PRINT</t>
  </si>
  <si>
    <t>MARSTON-CIRC/STACKS</t>
  </si>
  <si>
    <t xml:space="preserve">ALLOCATION </t>
  </si>
  <si>
    <t>3D PRINT OPS</t>
  </si>
  <si>
    <t>ST. AUGUSTINE INTERACTIVE MAP PROJECT</t>
  </si>
  <si>
    <t>55190000 / AUX</t>
  </si>
  <si>
    <t>SASC DISSERTATION &amp; THESIS</t>
  </si>
  <si>
    <t>STAUG FUNDING</t>
  </si>
  <si>
    <t>55080500 / 171</t>
  </si>
  <si>
    <t>SPRING WOMEN IN DEVELOPMENT</t>
  </si>
  <si>
    <t>F019154 / 171</t>
  </si>
  <si>
    <t>Current Student</t>
  </si>
  <si>
    <t>LIBRARY WEST - BRANCH / CIRC.</t>
  </si>
  <si>
    <t>LIBRARY WEST - STACKS</t>
  </si>
  <si>
    <t>55120500 / F022003</t>
  </si>
  <si>
    <t>YEOMANS</t>
  </si>
  <si>
    <t xml:space="preserve">F011742 / 171 </t>
  </si>
  <si>
    <t>55060700 / 5500SASP01</t>
  </si>
  <si>
    <t>7/9/19 Funding from Salaries (55170100/600000) to HSCL (650000)</t>
  </si>
  <si>
    <t>IFAS ENDNOTE</t>
  </si>
  <si>
    <t>PPED 07-11-2019</t>
  </si>
  <si>
    <t>PPED 07-25-2019</t>
  </si>
  <si>
    <t>8/1/19 Funding from (55080500/700000) to IFAS Endnote (650000)</t>
  </si>
  <si>
    <t>PPED 08-08-2019</t>
  </si>
  <si>
    <t>8/12/19 Funding from (55010300/700000) to Discretionary (55010300/650000)</t>
  </si>
  <si>
    <t>8/12/19 Funding from Discretionary (55010300/650000) to (55010300/700000)</t>
  </si>
  <si>
    <t>DEANS DISCRETIONARY</t>
  </si>
  <si>
    <t>8/16/19 Funding to STAUG (55080500/171)  - correction per 8/20/19 Email NS</t>
  </si>
  <si>
    <t>FLMH DICKINSON</t>
  </si>
  <si>
    <t>8/27/2019 Funding to FLMH DICKINSON (55080500 / 103) per Email NS</t>
  </si>
  <si>
    <t>55080500 / 101 / CYFWD</t>
  </si>
  <si>
    <t>PPED 08-22-2019</t>
  </si>
  <si>
    <t>PPED 09-05-2019</t>
  </si>
  <si>
    <t>55080500 / 101 / CRRNT</t>
  </si>
  <si>
    <t>09/04/2019 Funding to LW EXTENDED HOURS FALL 19 (55080500 / 101) per AMH</t>
  </si>
  <si>
    <t>LW EXTENDED HOURS FALL 19</t>
  </si>
  <si>
    <t>09/05/2019 Funding to MYERS-BRIGGS (55120500 / F022003) per AMH</t>
  </si>
  <si>
    <t>PPED 09-19-2019</t>
  </si>
  <si>
    <t>PPED 10-17-2019</t>
  </si>
  <si>
    <t>PPED 10-03-2019</t>
  </si>
  <si>
    <t xml:space="preserve">10/18/2019 Allocation to F019154 approved by HH </t>
  </si>
  <si>
    <t>10/22/2019 Funding from Discretionary (55010300/650000) to (55010300/700000)</t>
  </si>
  <si>
    <t>55190000 / 149 / AUX</t>
  </si>
  <si>
    <t>PPED 10-31-2019</t>
  </si>
  <si>
    <t>10/22/2019 Funding to Discretionary (55010300/650000) from (55010300/700000)</t>
  </si>
  <si>
    <t>11/18/2019 Funding to Discretionary (55010300/650000) from (55010300/700000)</t>
  </si>
  <si>
    <t>PPED 11-14-2019</t>
  </si>
  <si>
    <t>PPED 11-28-2019</t>
  </si>
  <si>
    <t>11/22/2019 Funding from Operating (55010000/650000) to OPS Interns (55200000/650000)</t>
  </si>
  <si>
    <t>11/22/2019 Funding to Discretionary (55010300/650000) per Email NS</t>
  </si>
  <si>
    <t>PPED 12-12-2019</t>
  </si>
  <si>
    <t>OPS INTERNS/U-GRAD FELLOWSHIP</t>
  </si>
  <si>
    <t>PPED 12-26-2019</t>
  </si>
  <si>
    <t>1/14/2020 Funding to Discretionary (55010300/650000) per Email AMH</t>
  </si>
  <si>
    <t>PPED 01-09-20</t>
  </si>
  <si>
    <t>PPED 01-23-20</t>
  </si>
  <si>
    <t>55080500 / 103 / CRRNT</t>
  </si>
  <si>
    <t>IFAS ENDNOTE / 103</t>
  </si>
  <si>
    <t>IFAS ENDNOTE (incorrect to be removed)</t>
  </si>
  <si>
    <t>PPED 02-06-20</t>
  </si>
  <si>
    <t>OPS INTERNS / U-GRAD FELLOWSHIP</t>
  </si>
  <si>
    <t>MARSTON-CIRC / STACKS</t>
  </si>
  <si>
    <t>PPED 02-20-20</t>
  </si>
  <si>
    <t xml:space="preserve">IT PROGRAMMING SUPPORT </t>
  </si>
  <si>
    <t>02/24/2020 Funding from Operating (55010000/650000) to OPS Interns (55200000/650000)</t>
  </si>
  <si>
    <t>02/27/20 Funding from (55180000/700000) to  SUS (55180000/650000)</t>
  </si>
  <si>
    <t>PPED 03-05-20</t>
  </si>
  <si>
    <t>PPED 03-19-20</t>
  </si>
  <si>
    <t>55010000 / F019154</t>
  </si>
  <si>
    <t>55010000 / F011742</t>
  </si>
  <si>
    <t>55190000 / 149</t>
  </si>
  <si>
    <t xml:space="preserve">55080500 / 103 </t>
  </si>
  <si>
    <t>55010000 / 149</t>
  </si>
  <si>
    <t>PPED 04-02-20</t>
  </si>
  <si>
    <t>4/1/2020 Funding to 3D Print OPS (55190000 /149) per Email AMH/SG</t>
  </si>
  <si>
    <t>PPED 04-16-20</t>
  </si>
  <si>
    <t>PPED 04-30-20</t>
  </si>
  <si>
    <t>PPED 05-14-20</t>
  </si>
  <si>
    <t>PPED 05-28-20</t>
  </si>
  <si>
    <t>5/27/2020 Funding to 3D Print OPS (55190000 /149) per Email AMH/SG</t>
  </si>
  <si>
    <t>2/24/2020 Funding from Operating (55010000/650000) to OPS Interns (55200000/650000)</t>
  </si>
  <si>
    <t>2/27/2020 Funding from (55180000/700000) to  SUS (55180000/650000)</t>
  </si>
  <si>
    <t>05/27/2020 Funding from Acquisitions (55080500/650000) to Special Collections (55070100/650000)</t>
  </si>
  <si>
    <t>05/27/2020 Funding from Marston Circulation/Stacks (55050200/650000) to Special Collections (55070100/650000)</t>
  </si>
  <si>
    <t>8/16/2019 Funding to STAUG (55080500/171)  - correction per 8/20/19 Email NS</t>
  </si>
  <si>
    <t>8/12/2019 Funding from Discretionary (55010300/650000) to (55010300/700000)</t>
  </si>
  <si>
    <t>8/12/2019 Funding from (55010300/700000) to Discretionary (55010300/650000)</t>
  </si>
  <si>
    <t>8/1/2019 Funding from (55080500/700000) to IFAS Endnote (650000)</t>
  </si>
  <si>
    <t>7/9/2019 Funding from Salaries (55170100/600000) to HSCL (650000)</t>
  </si>
  <si>
    <t>5/272020 Funding from Discretionary (55010100/700000) to Special Collections (55070100/650000)</t>
  </si>
  <si>
    <t>05/26/2020 Funding from (55080500 CYFWD700000) to FLMH Dickinson (55080500 CYFWD/650000)</t>
  </si>
  <si>
    <t>05/22/2020 Funding from (55080500 CRRNT/700000) to LW Extended Hours Fall 19 (55080500 CRRNT/650000)</t>
  </si>
  <si>
    <t>PPED 06-11-20</t>
  </si>
  <si>
    <t>6/5/2020 Funding from AFA (55020300/650000) to Education (55020400/650000)</t>
  </si>
  <si>
    <t>05/26/2020 Funding from (55080500 CYFWD/700000) to FLMH Dickinson (55080500 CYFWD/650000)</t>
  </si>
  <si>
    <t>6/16/2020 Funding from (55080500 CRRNT/700000) to LW Extended Hours Fall 19 (55080500 CRRNT/650000)</t>
  </si>
  <si>
    <t>PPED 06-25-20</t>
  </si>
  <si>
    <t>7/6/2020 Funding to Myers-Briggs (55120500/103 CRRNT/650000) per AMH email</t>
  </si>
  <si>
    <t>7/15/2020 Funding to Myers-Briggs (55120500/103 CRRNT/650000) per CD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</si>
</sst>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213">
    <xf numFmtId="0" fontId="0" fillId="0" borderId="0" xfId="0"/>
    <xf numFmtId="40" fontId="2" fillId="0" borderId="0" xfId="0" applyNumberFormat="1" applyFont="1" applyFill="1" applyAlignment="1"/>
    <xf numFmtId="0" fontId="4" fillId="0" borderId="0" xfId="1" applyFont="1" applyFill="1"/>
    <xf numFmtId="39" fontId="4" fillId="0" borderId="0" xfId="1" applyNumberFormat="1" applyFont="1" applyFill="1"/>
    <xf numFmtId="40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6" fillId="2" borderId="1" xfId="1" applyFont="1" applyFill="1" applyBorder="1" applyAlignment="1">
      <alignment horizontal="center"/>
    </xf>
    <xf numFmtId="39" fontId="6" fillId="2" borderId="1" xfId="1" applyNumberFormat="1" applyFont="1" applyFill="1" applyBorder="1" applyAlignment="1">
      <alignment horizontal="center"/>
    </xf>
    <xf numFmtId="39" fontId="6" fillId="2" borderId="1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39" fontId="4" fillId="3" borderId="1" xfId="1" applyNumberFormat="1" applyFont="1" applyFill="1" applyBorder="1" applyAlignment="1">
      <alignment horizontal="center" vertical="center"/>
    </xf>
    <xf numFmtId="39" fontId="4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1" fillId="0" borderId="0" xfId="0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39" fontId="4" fillId="3" borderId="2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horizontal="left"/>
    </xf>
    <xf numFmtId="39" fontId="7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39" fontId="1" fillId="0" borderId="0" xfId="0" applyNumberFormat="1" applyFont="1" applyFill="1"/>
    <xf numFmtId="39" fontId="8" fillId="0" borderId="0" xfId="0" applyNumberFormat="1" applyFont="1" applyFill="1"/>
    <xf numFmtId="0" fontId="10" fillId="4" borderId="3" xfId="1" applyFont="1" applyFill="1" applyBorder="1"/>
    <xf numFmtId="0" fontId="4" fillId="4" borderId="4" xfId="1" applyFont="1" applyFill="1" applyBorder="1" applyAlignment="1">
      <alignment horizontal="center"/>
    </xf>
    <xf numFmtId="39" fontId="4" fillId="4" borderId="4" xfId="1" applyNumberFormat="1" applyFont="1" applyFill="1" applyBorder="1" applyAlignment="1">
      <alignment horizontal="center"/>
    </xf>
    <xf numFmtId="39" fontId="4" fillId="4" borderId="4" xfId="1" applyNumberFormat="1" applyFont="1" applyFill="1" applyBorder="1" applyAlignment="1">
      <alignment horizontal="center" vertical="center"/>
    </xf>
    <xf numFmtId="39" fontId="4" fillId="4" borderId="5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4" borderId="6" xfId="1" applyFont="1" applyFill="1" applyBorder="1"/>
    <xf numFmtId="0" fontId="4" fillId="4" borderId="7" xfId="1" applyFont="1" applyFill="1" applyBorder="1" applyAlignment="1">
      <alignment horizontal="center"/>
    </xf>
    <xf numFmtId="39" fontId="4" fillId="4" borderId="7" xfId="1" applyNumberFormat="1" applyFont="1" applyFill="1" applyBorder="1" applyAlignment="1">
      <alignment horizontal="center"/>
    </xf>
    <xf numFmtId="39" fontId="4" fillId="4" borderId="7" xfId="1" applyNumberFormat="1" applyFont="1" applyFill="1" applyBorder="1" applyAlignment="1">
      <alignment horizontal="center" vertical="center"/>
    </xf>
    <xf numFmtId="39" fontId="4" fillId="4" borderId="8" xfId="1" applyNumberFormat="1" applyFont="1" applyFill="1" applyBorder="1" applyAlignment="1">
      <alignment horizontal="center" vertical="center"/>
    </xf>
    <xf numFmtId="0" fontId="4" fillId="4" borderId="3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7" fillId="3" borderId="0" xfId="0" applyFont="1" applyFill="1"/>
    <xf numFmtId="0" fontId="1" fillId="3" borderId="0" xfId="0" applyFont="1" applyFill="1"/>
    <xf numFmtId="0" fontId="9" fillId="3" borderId="0" xfId="0" applyFont="1" applyFill="1"/>
    <xf numFmtId="40" fontId="11" fillId="0" borderId="0" xfId="0" applyNumberFormat="1" applyFont="1" applyFill="1" applyAlignment="1">
      <alignment horizontal="left"/>
    </xf>
    <xf numFmtId="40" fontId="12" fillId="0" borderId="0" xfId="0" applyNumberFormat="1" applyFont="1" applyFill="1" applyAlignment="1">
      <alignment horizontal="left"/>
    </xf>
    <xf numFmtId="0" fontId="13" fillId="0" borderId="0" xfId="0" applyFont="1" applyFill="1"/>
    <xf numFmtId="39" fontId="4" fillId="3" borderId="9" xfId="1" applyNumberFormat="1" applyFont="1" applyFill="1" applyBorder="1" applyAlignment="1">
      <alignment horizontal="center" vertical="center"/>
    </xf>
    <xf numFmtId="39" fontId="4" fillId="0" borderId="9" xfId="1" applyNumberFormat="1" applyFont="1" applyFill="1" applyBorder="1" applyAlignment="1">
      <alignment horizontal="center" vertical="center"/>
    </xf>
    <xf numFmtId="39" fontId="4" fillId="0" borderId="2" xfId="1" applyNumberFormat="1" applyFont="1" applyFill="1" applyBorder="1" applyAlignment="1">
      <alignment horizontal="center" vertical="center"/>
    </xf>
    <xf numFmtId="0" fontId="4" fillId="5" borderId="1" xfId="1" applyFont="1" applyFill="1" applyBorder="1"/>
    <xf numFmtId="0" fontId="4" fillId="5" borderId="1" xfId="1" applyFont="1" applyFill="1" applyBorder="1" applyAlignment="1">
      <alignment horizontal="center"/>
    </xf>
    <xf numFmtId="39" fontId="4" fillId="5" borderId="1" xfId="1" applyNumberFormat="1" applyFont="1" applyFill="1" applyBorder="1" applyAlignment="1">
      <alignment horizontal="center"/>
    </xf>
    <xf numFmtId="39" fontId="4" fillId="5" borderId="1" xfId="1" applyNumberFormat="1" applyFont="1" applyFill="1" applyBorder="1" applyAlignment="1">
      <alignment horizontal="center" vertical="center"/>
    </xf>
    <xf numFmtId="39" fontId="14" fillId="0" borderId="0" xfId="0" applyNumberFormat="1" applyFont="1" applyFill="1"/>
    <xf numFmtId="0" fontId="12" fillId="0" borderId="0" xfId="0" applyFont="1" applyFill="1"/>
    <xf numFmtId="14" fontId="4" fillId="0" borderId="1" xfId="1" applyNumberFormat="1" applyFont="1" applyFill="1" applyBorder="1" applyAlignment="1">
      <alignment horizontal="left" vertical="center" wrapText="1"/>
    </xf>
    <xf numFmtId="44" fontId="4" fillId="0" borderId="1" xfId="1" applyNumberFormat="1" applyFont="1" applyFill="1" applyBorder="1" applyAlignment="1">
      <alignment horizontal="left" vertical="center"/>
    </xf>
    <xf numFmtId="39" fontId="12" fillId="0" borderId="1" xfId="0" applyNumberFormat="1" applyFont="1" applyFill="1" applyBorder="1" applyAlignment="1">
      <alignment horizontal="center" vertical="center"/>
    </xf>
    <xf numFmtId="39" fontId="13" fillId="0" borderId="0" xfId="0" applyNumberFormat="1" applyFont="1" applyFill="1"/>
    <xf numFmtId="14" fontId="4" fillId="0" borderId="0" xfId="1" applyNumberFormat="1" applyFont="1" applyFill="1" applyBorder="1" applyAlignment="1">
      <alignment horizontal="left" vertical="center" wrapText="1"/>
    </xf>
    <xf numFmtId="44" fontId="4" fillId="0" borderId="0" xfId="1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/>
    </xf>
    <xf numFmtId="40" fontId="4" fillId="3" borderId="0" xfId="0" applyNumberFormat="1" applyFont="1" applyFill="1" applyAlignment="1">
      <alignment horizontal="left"/>
    </xf>
    <xf numFmtId="39" fontId="4" fillId="3" borderId="1" xfId="1" applyNumberFormat="1" applyFont="1" applyFill="1" applyBorder="1" applyAlignment="1">
      <alignment horizontal="center"/>
    </xf>
    <xf numFmtId="39" fontId="4" fillId="3" borderId="2" xfId="1" applyNumberFormat="1" applyFont="1" applyFill="1" applyBorder="1" applyAlignment="1">
      <alignment horizontal="center"/>
    </xf>
    <xf numFmtId="0" fontId="4" fillId="3" borderId="9" xfId="1" applyFont="1" applyFill="1" applyBorder="1" applyAlignment="1">
      <alignment horizontal="left" vertical="center" wrapText="1"/>
    </xf>
    <xf numFmtId="40" fontId="15" fillId="0" borderId="0" xfId="0" applyNumberFormat="1" applyFont="1" applyFill="1" applyAlignment="1">
      <alignment horizontal="left"/>
    </xf>
    <xf numFmtId="39" fontId="4" fillId="6" borderId="1" xfId="1" applyNumberFormat="1" applyFont="1" applyFill="1" applyBorder="1" applyAlignment="1">
      <alignment horizontal="center" vertical="center"/>
    </xf>
    <xf numFmtId="40" fontId="15" fillId="3" borderId="0" xfId="0" applyNumberFormat="1" applyFont="1" applyFill="1" applyAlignment="1">
      <alignment horizontal="left"/>
    </xf>
    <xf numFmtId="39" fontId="14" fillId="3" borderId="0" xfId="0" applyNumberFormat="1" applyFont="1" applyFill="1"/>
    <xf numFmtId="39" fontId="9" fillId="3" borderId="0" xfId="0" applyNumberFormat="1" applyFont="1" applyFill="1" applyAlignment="1">
      <alignment horizontal="left"/>
    </xf>
    <xf numFmtId="40" fontId="15" fillId="0" borderId="0" xfId="0" applyNumberFormat="1" applyFont="1" applyFill="1" applyAlignment="1">
      <alignment horizontal="left" wrapText="1"/>
    </xf>
    <xf numFmtId="40" fontId="16" fillId="0" borderId="0" xfId="0" applyNumberFormat="1" applyFont="1" applyFill="1" applyAlignment="1">
      <alignment horizontal="left"/>
    </xf>
    <xf numFmtId="0" fontId="4" fillId="3" borderId="9" xfId="1" applyFont="1" applyFill="1" applyBorder="1" applyAlignment="1">
      <alignment horizontal="center"/>
    </xf>
    <xf numFmtId="39" fontId="4" fillId="3" borderId="9" xfId="1" applyNumberFormat="1" applyFont="1" applyFill="1" applyBorder="1" applyAlignment="1">
      <alignment horizontal="center"/>
    </xf>
    <xf numFmtId="0" fontId="13" fillId="3" borderId="0" xfId="0" applyFont="1" applyFill="1"/>
    <xf numFmtId="40" fontId="17" fillId="0" borderId="0" xfId="0" applyNumberFormat="1" applyFont="1" applyFill="1" applyAlignment="1">
      <alignment horizontal="left"/>
    </xf>
    <xf numFmtId="0" fontId="4" fillId="0" borderId="1" xfId="2" applyFont="1" applyFill="1" applyBorder="1"/>
    <xf numFmtId="0" fontId="4" fillId="0" borderId="1" xfId="1" applyFont="1" applyFill="1" applyBorder="1" applyAlignment="1">
      <alignment horizontal="left" vertical="center" wrapText="1"/>
    </xf>
    <xf numFmtId="39" fontId="6" fillId="7" borderId="1" xfId="1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right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9" xfId="1" applyFont="1" applyFill="1" applyBorder="1" applyAlignment="1">
      <alignment horizontal="center" vertical="center"/>
    </xf>
    <xf numFmtId="39" fontId="4" fillId="7" borderId="9" xfId="1" applyNumberFormat="1" applyFont="1" applyFill="1" applyBorder="1" applyAlignment="1">
      <alignment horizontal="center" vertical="center"/>
    </xf>
    <xf numFmtId="39" fontId="4" fillId="7" borderId="1" xfId="1" applyNumberFormat="1" applyFont="1" applyFill="1" applyBorder="1" applyAlignment="1">
      <alignment horizontal="center" vertical="center"/>
    </xf>
    <xf numFmtId="0" fontId="4" fillId="7" borderId="1" xfId="1" applyFont="1" applyFill="1" applyBorder="1"/>
    <xf numFmtId="0" fontId="4" fillId="7" borderId="1" xfId="1" applyFont="1" applyFill="1" applyBorder="1" applyAlignment="1">
      <alignment horizontal="center"/>
    </xf>
    <xf numFmtId="39" fontId="4" fillId="7" borderId="1" xfId="1" applyNumberFormat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39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39" fontId="4" fillId="8" borderId="0" xfId="1" applyNumberFormat="1" applyFont="1" applyFill="1"/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39" fontId="4" fillId="0" borderId="9" xfId="1" applyNumberFormat="1" applyFont="1" applyFill="1" applyBorder="1" applyAlignment="1">
      <alignment horizontal="center"/>
    </xf>
    <xf numFmtId="39" fontId="4" fillId="0" borderId="2" xfId="1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39" fontId="11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0" fontId="19" fillId="0" borderId="0" xfId="0" applyNumberFormat="1" applyFont="1" applyFill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right" vertical="center"/>
    </xf>
    <xf numFmtId="39" fontId="11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7" borderId="0" xfId="0" applyFont="1" applyFill="1"/>
    <xf numFmtId="0" fontId="7" fillId="7" borderId="0" xfId="0" applyFont="1" applyFill="1"/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39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/>
    </xf>
    <xf numFmtId="39" fontId="10" fillId="0" borderId="1" xfId="1" applyNumberFormat="1" applyFont="1" applyFill="1" applyBorder="1" applyAlignment="1">
      <alignment horizontal="center"/>
    </xf>
    <xf numFmtId="39" fontId="10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39" fontId="10" fillId="3" borderId="1" xfId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2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"/>
    </xf>
    <xf numFmtId="39" fontId="10" fillId="0" borderId="2" xfId="1" applyNumberFormat="1" applyFont="1" applyFill="1" applyBorder="1" applyAlignment="1">
      <alignment horizontal="center"/>
    </xf>
    <xf numFmtId="39" fontId="10" fillId="3" borderId="2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0" fillId="0" borderId="1" xfId="2" applyFont="1" applyFill="1" applyBorder="1" applyAlignment="1">
      <alignment vertical="center"/>
    </xf>
    <xf numFmtId="0" fontId="20" fillId="0" borderId="0" xfId="0" applyFont="1" applyFill="1"/>
    <xf numFmtId="0" fontId="10" fillId="3" borderId="9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/>
    </xf>
    <xf numFmtId="0" fontId="0" fillId="3" borderId="0" xfId="0" applyFont="1" applyFill="1"/>
    <xf numFmtId="0" fontId="10" fillId="3" borderId="1" xfId="1" applyFont="1" applyFill="1" applyBorder="1" applyAlignment="1">
      <alignment vertical="center"/>
    </xf>
    <xf numFmtId="0" fontId="20" fillId="3" borderId="0" xfId="0" applyFont="1" applyFill="1"/>
    <xf numFmtId="0" fontId="10" fillId="3" borderId="9" xfId="1" applyFont="1" applyFill="1" applyBorder="1" applyAlignment="1">
      <alignment horizontal="center"/>
    </xf>
    <xf numFmtId="39" fontId="10" fillId="0" borderId="9" xfId="1" applyNumberFormat="1" applyFont="1" applyFill="1" applyBorder="1" applyAlignment="1">
      <alignment horizontal="center"/>
    </xf>
    <xf numFmtId="39" fontId="10" fillId="3" borderId="9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9" borderId="9" xfId="1" applyFont="1" applyFill="1" applyBorder="1" applyAlignment="1">
      <alignment horizontal="center" vertical="center"/>
    </xf>
    <xf numFmtId="39" fontId="10" fillId="0" borderId="9" xfId="1" applyNumberFormat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center" vertical="center"/>
    </xf>
    <xf numFmtId="0" fontId="21" fillId="3" borderId="0" xfId="0" applyFont="1" applyFill="1"/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0" fontId="21" fillId="0" borderId="0" xfId="0" applyFont="1" applyFill="1"/>
    <xf numFmtId="0" fontId="10" fillId="0" borderId="1" xfId="1" applyFont="1" applyFill="1" applyBorder="1" applyAlignment="1">
      <alignment horizontal="center" vertical="center"/>
    </xf>
    <xf numFmtId="39" fontId="22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9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 vertical="center"/>
    </xf>
    <xf numFmtId="39" fontId="10" fillId="3" borderId="1" xfId="1" applyNumberFormat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</cellXfs>
  <cellStyles count="3">
    <cellStyle name="Explanatory Text" xfId="2" builtinId="5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145" zoomScaleNormal="145" workbookViewId="0">
      <pane ySplit="2" topLeftCell="A22" activePane="bottomLeft" state="frozen"/>
      <selection pane="bottomLeft" activeCell="L25" sqref="L25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83.28515625" style="4" bestFit="1" customWidth="1"/>
    <col min="14" max="14" width="14.2851562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53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82" t="s">
        <v>4</v>
      </c>
      <c r="I2" s="82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8" customFormat="1" ht="10.9" customHeight="1" x14ac:dyDescent="0.25">
      <c r="A3" s="12" t="s">
        <v>9</v>
      </c>
      <c r="B3" s="13">
        <v>55010500</v>
      </c>
      <c r="C3" s="66">
        <v>3229</v>
      </c>
      <c r="D3" s="14">
        <v>0</v>
      </c>
      <c r="E3" s="14">
        <v>0</v>
      </c>
      <c r="F3" s="14">
        <v>0</v>
      </c>
      <c r="G3" s="14">
        <v>0</v>
      </c>
      <c r="H3" s="15">
        <f t="shared" ref="H3:H11" si="0">D3+F3</f>
        <v>0</v>
      </c>
      <c r="I3" s="15">
        <f t="shared" ref="I3:I11" si="1">E3+G3</f>
        <v>0</v>
      </c>
      <c r="J3" s="14">
        <f>H3+I3</f>
        <v>0</v>
      </c>
      <c r="K3" s="15">
        <f>C3-J3</f>
        <v>3229</v>
      </c>
      <c r="L3" s="15">
        <f t="shared" ref="L3:L11" si="2">C3-((J3/1)*26.0714)</f>
        <v>3229</v>
      </c>
      <c r="M3" s="16"/>
      <c r="N3" s="17"/>
    </row>
    <row r="4" spans="1:15" ht="11.25" customHeight="1" x14ac:dyDescent="0.25">
      <c r="A4" s="19" t="s">
        <v>45</v>
      </c>
      <c r="B4" s="20">
        <v>55020200</v>
      </c>
      <c r="C4" s="67">
        <v>24649</v>
      </c>
      <c r="D4" s="21">
        <v>961.24</v>
      </c>
      <c r="E4" s="21">
        <v>15.37</v>
      </c>
      <c r="F4" s="21">
        <v>463.76</v>
      </c>
      <c r="G4" s="21">
        <v>26.43</v>
      </c>
      <c r="H4" s="15">
        <f t="shared" si="0"/>
        <v>1425</v>
      </c>
      <c r="I4" s="15">
        <f t="shared" si="1"/>
        <v>41.8</v>
      </c>
      <c r="J4" s="14">
        <f t="shared" ref="J4:J11" si="3">H4+I4</f>
        <v>1466.8</v>
      </c>
      <c r="K4" s="14">
        <f t="shared" ref="K4:K11" si="4">C4-J4</f>
        <v>23182.2</v>
      </c>
      <c r="L4" s="15">
        <f t="shared" si="2"/>
        <v>-13592.529519999996</v>
      </c>
      <c r="M4" s="22"/>
      <c r="N4" s="23"/>
    </row>
    <row r="5" spans="1:15" ht="11.25" customHeight="1" x14ac:dyDescent="0.25">
      <c r="A5" s="12" t="s">
        <v>10</v>
      </c>
      <c r="B5" s="13">
        <v>55020300</v>
      </c>
      <c r="C5" s="66">
        <v>17974</v>
      </c>
      <c r="D5" s="14">
        <v>430.69</v>
      </c>
      <c r="E5" s="14">
        <v>6.89</v>
      </c>
      <c r="F5" s="14">
        <v>0</v>
      </c>
      <c r="G5" s="14">
        <v>0</v>
      </c>
      <c r="H5" s="15">
        <f t="shared" si="0"/>
        <v>430.69</v>
      </c>
      <c r="I5" s="15">
        <f t="shared" si="1"/>
        <v>6.89</v>
      </c>
      <c r="J5" s="14">
        <f t="shared" si="3"/>
        <v>437.58</v>
      </c>
      <c r="K5" s="14">
        <f t="shared" si="4"/>
        <v>17536.419999999998</v>
      </c>
      <c r="L5" s="15">
        <f t="shared" si="2"/>
        <v>6565.6767880000007</v>
      </c>
      <c r="M5" s="22"/>
      <c r="N5" s="22"/>
    </row>
    <row r="6" spans="1:15" ht="11.25" customHeight="1" x14ac:dyDescent="0.25">
      <c r="A6" s="12" t="s">
        <v>11</v>
      </c>
      <c r="B6" s="13">
        <v>55020400</v>
      </c>
      <c r="C6" s="66">
        <v>17974</v>
      </c>
      <c r="D6" s="14">
        <v>366.19</v>
      </c>
      <c r="E6" s="14">
        <v>5.85</v>
      </c>
      <c r="F6" s="14">
        <v>0</v>
      </c>
      <c r="G6" s="14">
        <v>0</v>
      </c>
      <c r="H6" s="15">
        <f t="shared" si="0"/>
        <v>366.19</v>
      </c>
      <c r="I6" s="15">
        <f t="shared" si="1"/>
        <v>5.85</v>
      </c>
      <c r="J6" s="14">
        <f t="shared" si="3"/>
        <v>372.04</v>
      </c>
      <c r="K6" s="14">
        <f t="shared" si="4"/>
        <v>17601.96</v>
      </c>
      <c r="L6" s="15">
        <f t="shared" si="2"/>
        <v>8274.3963439999989</v>
      </c>
      <c r="M6" s="22"/>
      <c r="N6" s="22"/>
    </row>
    <row r="7" spans="1:15" ht="11.25" customHeight="1" x14ac:dyDescent="0.25">
      <c r="A7" s="80" t="s">
        <v>46</v>
      </c>
      <c r="B7" s="13">
        <v>55030200</v>
      </c>
      <c r="C7" s="66">
        <v>24330</v>
      </c>
      <c r="D7" s="14">
        <f>750.84+1314.17</f>
        <v>2065.0100000000002</v>
      </c>
      <c r="E7" s="14">
        <f>12.01+21.02</f>
        <v>33.03</v>
      </c>
      <c r="F7" s="14">
        <v>0</v>
      </c>
      <c r="G7" s="14">
        <v>0</v>
      </c>
      <c r="H7" s="15">
        <f t="shared" si="0"/>
        <v>2065.0100000000002</v>
      </c>
      <c r="I7" s="15">
        <f t="shared" si="1"/>
        <v>33.03</v>
      </c>
      <c r="J7" s="14">
        <f t="shared" si="3"/>
        <v>2098.0400000000004</v>
      </c>
      <c r="K7" s="14">
        <f t="shared" si="4"/>
        <v>22231.96</v>
      </c>
      <c r="L7" s="15">
        <f t="shared" si="2"/>
        <v>-30368.840056000015</v>
      </c>
      <c r="M7" s="22"/>
      <c r="N7" s="24"/>
    </row>
    <row r="8" spans="1:15" ht="11.25" customHeight="1" x14ac:dyDescent="0.25">
      <c r="A8" s="12" t="s">
        <v>34</v>
      </c>
      <c r="B8" s="13">
        <v>55050200</v>
      </c>
      <c r="C8" s="66">
        <v>34000</v>
      </c>
      <c r="D8" s="14">
        <v>931.29</v>
      </c>
      <c r="E8" s="14">
        <v>14.9</v>
      </c>
      <c r="F8" s="14">
        <v>1662.82</v>
      </c>
      <c r="G8" s="14">
        <v>94.78</v>
      </c>
      <c r="H8" s="15">
        <f t="shared" si="0"/>
        <v>2594.1099999999997</v>
      </c>
      <c r="I8" s="15">
        <f t="shared" si="1"/>
        <v>109.68</v>
      </c>
      <c r="J8" s="14">
        <f t="shared" si="3"/>
        <v>2703.7899999999995</v>
      </c>
      <c r="K8" s="14">
        <f t="shared" si="4"/>
        <v>31296.21</v>
      </c>
      <c r="L8" s="15">
        <f t="shared" si="2"/>
        <v>-36491.590605999983</v>
      </c>
      <c r="M8" s="22"/>
      <c r="N8" s="24"/>
    </row>
    <row r="9" spans="1:15" s="25" customFormat="1" ht="11.25" customHeight="1" x14ac:dyDescent="0.25">
      <c r="A9" s="12" t="s">
        <v>12</v>
      </c>
      <c r="B9" s="13">
        <v>55070100</v>
      </c>
      <c r="C9" s="66">
        <v>42741</v>
      </c>
      <c r="D9" s="14">
        <v>1877.31</v>
      </c>
      <c r="E9" s="14">
        <v>30.03</v>
      </c>
      <c r="F9" s="14">
        <v>216</v>
      </c>
      <c r="G9" s="14">
        <v>12.31</v>
      </c>
      <c r="H9" s="15">
        <f t="shared" si="0"/>
        <v>2093.31</v>
      </c>
      <c r="I9" s="15">
        <f t="shared" si="1"/>
        <v>42.34</v>
      </c>
      <c r="J9" s="14">
        <f t="shared" si="3"/>
        <v>2135.65</v>
      </c>
      <c r="K9" s="14">
        <f t="shared" si="4"/>
        <v>40605.35</v>
      </c>
      <c r="L9" s="15">
        <f t="shared" si="2"/>
        <v>-12938.385410000003</v>
      </c>
      <c r="M9" s="22"/>
      <c r="N9" s="22"/>
    </row>
    <row r="10" spans="1:15" ht="11.25" customHeight="1" x14ac:dyDescent="0.25">
      <c r="A10" s="12" t="s">
        <v>13</v>
      </c>
      <c r="B10" s="13">
        <v>55080100</v>
      </c>
      <c r="C10" s="66">
        <v>23173</v>
      </c>
      <c r="D10" s="14">
        <v>68.2</v>
      </c>
      <c r="E10" s="14">
        <v>1.0900000000000001</v>
      </c>
      <c r="F10" s="14">
        <v>413.95</v>
      </c>
      <c r="G10" s="14">
        <v>23.59</v>
      </c>
      <c r="H10" s="15">
        <f t="shared" si="0"/>
        <v>482.15</v>
      </c>
      <c r="I10" s="15">
        <f t="shared" si="1"/>
        <v>24.68</v>
      </c>
      <c r="J10" s="14">
        <f t="shared" si="3"/>
        <v>506.83</v>
      </c>
      <c r="K10" s="14">
        <f t="shared" si="4"/>
        <v>22666.17</v>
      </c>
      <c r="L10" s="15">
        <f t="shared" si="2"/>
        <v>9959.2323379999998</v>
      </c>
      <c r="M10" s="22"/>
      <c r="N10" s="24"/>
    </row>
    <row r="11" spans="1:15" s="43" customFormat="1" ht="11.25" customHeight="1" x14ac:dyDescent="0.25">
      <c r="A11" s="68" t="s">
        <v>33</v>
      </c>
      <c r="B11" s="41">
        <v>55190000</v>
      </c>
      <c r="C11" s="66">
        <v>6000</v>
      </c>
      <c r="D11" s="14">
        <v>0</v>
      </c>
      <c r="E11" s="14">
        <v>0</v>
      </c>
      <c r="F11" s="14">
        <v>0</v>
      </c>
      <c r="G11" s="14">
        <v>0</v>
      </c>
      <c r="H11" s="15">
        <f t="shared" si="0"/>
        <v>0</v>
      </c>
      <c r="I11" s="15">
        <f t="shared" si="1"/>
        <v>0</v>
      </c>
      <c r="J11" s="14">
        <f t="shared" si="3"/>
        <v>0</v>
      </c>
      <c r="K11" s="14">
        <f t="shared" si="4"/>
        <v>6000</v>
      </c>
      <c r="L11" s="15">
        <f t="shared" si="2"/>
        <v>6000</v>
      </c>
      <c r="M11" s="65"/>
      <c r="N11" s="42"/>
    </row>
    <row r="12" spans="1:15" ht="21.6" customHeight="1" thickBot="1" x14ac:dyDescent="0.3">
      <c r="A12" s="208" t="s">
        <v>14</v>
      </c>
      <c r="B12" s="209"/>
      <c r="C12" s="14">
        <f t="shared" ref="C12:L12" si="5">SUM(C3:C11)</f>
        <v>194070</v>
      </c>
      <c r="D12" s="15">
        <f t="shared" si="5"/>
        <v>6699.9299999999994</v>
      </c>
      <c r="E12" s="15">
        <f t="shared" si="5"/>
        <v>107.16000000000001</v>
      </c>
      <c r="F12" s="15">
        <f t="shared" si="5"/>
        <v>2756.5299999999997</v>
      </c>
      <c r="G12" s="15">
        <f t="shared" si="5"/>
        <v>157.11000000000001</v>
      </c>
      <c r="H12" s="15">
        <f t="shared" si="5"/>
        <v>9456.4599999999991</v>
      </c>
      <c r="I12" s="15">
        <f t="shared" si="5"/>
        <v>264.27</v>
      </c>
      <c r="J12" s="14">
        <f t="shared" si="5"/>
        <v>9720.73</v>
      </c>
      <c r="K12" s="14">
        <f t="shared" si="5"/>
        <v>184349.27000000002</v>
      </c>
      <c r="L12" s="15">
        <f t="shared" si="5"/>
        <v>-59363.040122000006</v>
      </c>
      <c r="M12" s="22"/>
      <c r="N12" s="27"/>
      <c r="O12" s="26"/>
    </row>
    <row r="13" spans="1:15" ht="11.25" customHeight="1" x14ac:dyDescent="0.25">
      <c r="A13" s="28"/>
      <c r="B13" s="29"/>
      <c r="C13" s="30"/>
      <c r="D13" s="30"/>
      <c r="E13" s="30"/>
      <c r="F13" s="30"/>
      <c r="G13" s="30"/>
      <c r="H13" s="31"/>
      <c r="I13" s="31"/>
      <c r="J13" s="31"/>
      <c r="K13" s="31"/>
      <c r="L13" s="32"/>
      <c r="M13"/>
      <c r="N13" s="33"/>
    </row>
    <row r="14" spans="1:15" ht="11.25" customHeight="1" thickBot="1" x14ac:dyDescent="0.3">
      <c r="A14" s="34"/>
      <c r="B14" s="35"/>
      <c r="C14" s="36"/>
      <c r="D14" s="36"/>
      <c r="E14" s="36"/>
      <c r="F14" s="36"/>
      <c r="G14" s="36"/>
      <c r="H14" s="37"/>
      <c r="I14" s="37"/>
      <c r="J14" s="37"/>
      <c r="K14" s="37"/>
      <c r="L14" s="38"/>
      <c r="M14" s="22"/>
      <c r="N14" s="33"/>
    </row>
    <row r="15" spans="1:15" ht="11.45" customHeight="1" x14ac:dyDescent="0.25">
      <c r="A15" s="40" t="s">
        <v>15</v>
      </c>
      <c r="B15" s="41">
        <v>55090100</v>
      </c>
      <c r="C15" s="66">
        <v>26923</v>
      </c>
      <c r="D15" s="14">
        <v>0</v>
      </c>
      <c r="E15" s="14">
        <v>0</v>
      </c>
      <c r="F15" s="14">
        <v>0</v>
      </c>
      <c r="G15" s="14">
        <v>0</v>
      </c>
      <c r="H15" s="15">
        <f t="shared" ref="H15:H17" si="6">D15+F15</f>
        <v>0</v>
      </c>
      <c r="I15" s="15">
        <f t="shared" ref="I15:I17" si="7">E15+G15</f>
        <v>0</v>
      </c>
      <c r="J15" s="14">
        <f>H15+I15</f>
        <v>0</v>
      </c>
      <c r="K15" s="14">
        <f>C15-J15</f>
        <v>26923</v>
      </c>
      <c r="L15" s="15">
        <f t="shared" ref="L15:L17" si="8">C15-((J15/1)*26.0714)</f>
        <v>26923</v>
      </c>
      <c r="M15" s="75"/>
      <c r="N15" s="27"/>
    </row>
    <row r="16" spans="1:15" ht="11.45" customHeight="1" x14ac:dyDescent="0.25">
      <c r="A16" s="12" t="s">
        <v>16</v>
      </c>
      <c r="B16" s="13">
        <v>55160100</v>
      </c>
      <c r="C16" s="66">
        <v>16062</v>
      </c>
      <c r="D16" s="15">
        <v>285.2</v>
      </c>
      <c r="E16" s="15">
        <v>4.5599999999999996</v>
      </c>
      <c r="F16" s="14">
        <v>198.94</v>
      </c>
      <c r="G16" s="14">
        <v>11.33</v>
      </c>
      <c r="H16" s="15">
        <f t="shared" si="6"/>
        <v>484.14</v>
      </c>
      <c r="I16" s="15">
        <f t="shared" si="7"/>
        <v>15.89</v>
      </c>
      <c r="J16" s="14">
        <f>H16+I16</f>
        <v>500.03</v>
      </c>
      <c r="K16" s="14">
        <f>C16-J16</f>
        <v>15561.97</v>
      </c>
      <c r="L16" s="15">
        <f t="shared" si="8"/>
        <v>3025.5178580000011</v>
      </c>
      <c r="M16" s="22"/>
      <c r="N16" s="27"/>
    </row>
    <row r="17" spans="1:18" ht="11.45" customHeight="1" x14ac:dyDescent="0.25">
      <c r="A17" s="40" t="s">
        <v>17</v>
      </c>
      <c r="B17" s="41">
        <v>55100100</v>
      </c>
      <c r="C17" s="66">
        <v>2026</v>
      </c>
      <c r="D17" s="14">
        <v>0</v>
      </c>
      <c r="E17" s="14">
        <v>0</v>
      </c>
      <c r="F17" s="14">
        <v>0</v>
      </c>
      <c r="G17" s="14">
        <v>0</v>
      </c>
      <c r="H17" s="15">
        <f t="shared" si="6"/>
        <v>0</v>
      </c>
      <c r="I17" s="15">
        <f t="shared" si="7"/>
        <v>0</v>
      </c>
      <c r="J17" s="14">
        <f>H17+I17</f>
        <v>0</v>
      </c>
      <c r="K17" s="14">
        <f>C17-J17</f>
        <v>2026</v>
      </c>
      <c r="L17" s="15">
        <f t="shared" si="8"/>
        <v>2026</v>
      </c>
      <c r="M17" s="22"/>
      <c r="N17" s="27"/>
    </row>
    <row r="18" spans="1:18" ht="21.6" customHeight="1" thickBot="1" x14ac:dyDescent="0.3">
      <c r="A18" s="208" t="s">
        <v>18</v>
      </c>
      <c r="B18" s="209"/>
      <c r="C18" s="15">
        <f>SUM(C15:C17)</f>
        <v>45011</v>
      </c>
      <c r="D18" s="15">
        <f t="shared" ref="D18:L18" si="9">SUM(D15:D17)</f>
        <v>285.2</v>
      </c>
      <c r="E18" s="15">
        <f t="shared" si="9"/>
        <v>4.5599999999999996</v>
      </c>
      <c r="F18" s="15">
        <f t="shared" si="9"/>
        <v>198.94</v>
      </c>
      <c r="G18" s="15">
        <f t="shared" si="9"/>
        <v>11.33</v>
      </c>
      <c r="H18" s="15">
        <f t="shared" si="9"/>
        <v>484.14</v>
      </c>
      <c r="I18" s="15">
        <f t="shared" si="9"/>
        <v>15.89</v>
      </c>
      <c r="J18" s="14">
        <f t="shared" si="9"/>
        <v>500.03</v>
      </c>
      <c r="K18" s="15">
        <f t="shared" si="9"/>
        <v>44510.97</v>
      </c>
      <c r="L18" s="15">
        <f t="shared" si="9"/>
        <v>31974.517857999999</v>
      </c>
      <c r="M18" s="22"/>
      <c r="N18" s="27"/>
    </row>
    <row r="19" spans="1:18" ht="11.25" customHeight="1" x14ac:dyDescent="0.25">
      <c r="A19" s="3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22"/>
      <c r="N19" s="24"/>
    </row>
    <row r="20" spans="1:18" ht="11.25" customHeight="1" thickBot="1" x14ac:dyDescent="0.3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22"/>
      <c r="N20" s="33"/>
    </row>
    <row r="21" spans="1:18" s="25" customFormat="1" ht="11.25" hidden="1" customHeight="1" x14ac:dyDescent="0.25">
      <c r="A21" s="12" t="s">
        <v>19</v>
      </c>
      <c r="B21" s="41" t="s">
        <v>20</v>
      </c>
      <c r="C21" s="70"/>
      <c r="D21" s="15"/>
      <c r="E21" s="15"/>
      <c r="F21" s="15"/>
      <c r="G21" s="15"/>
      <c r="H21" s="15">
        <f t="shared" ref="H21:H24" si="10">D21+F21</f>
        <v>0</v>
      </c>
      <c r="I21" s="15">
        <f t="shared" ref="I21:I24" si="11">E21+G21</f>
        <v>0</v>
      </c>
      <c r="J21" s="14">
        <f t="shared" ref="J21:J23" si="12">H21+I21</f>
        <v>0</v>
      </c>
      <c r="K21" s="14">
        <f t="shared" ref="K21:K23" si="13">C21-J21</f>
        <v>0</v>
      </c>
      <c r="L21" s="15">
        <f t="shared" ref="L21:L25" si="14">C21-((J21/1)*26.0714)</f>
        <v>0</v>
      </c>
      <c r="M21" s="69"/>
      <c r="N21" s="42"/>
      <c r="O21" s="44"/>
      <c r="P21" s="44"/>
    </row>
    <row r="22" spans="1:18" s="43" customFormat="1" ht="11.45" customHeight="1" x14ac:dyDescent="0.25">
      <c r="A22" s="40" t="s">
        <v>21</v>
      </c>
      <c r="B22" s="41">
        <v>55200000</v>
      </c>
      <c r="C22" s="66">
        <v>25000</v>
      </c>
      <c r="D22" s="14">
        <v>555</v>
      </c>
      <c r="E22" s="14">
        <v>8.8800000000000008</v>
      </c>
      <c r="F22" s="14">
        <v>0</v>
      </c>
      <c r="G22" s="14">
        <v>0</v>
      </c>
      <c r="H22" s="15">
        <f t="shared" si="10"/>
        <v>555</v>
      </c>
      <c r="I22" s="15">
        <f t="shared" si="11"/>
        <v>8.8800000000000008</v>
      </c>
      <c r="J22" s="14">
        <f t="shared" si="12"/>
        <v>563.88</v>
      </c>
      <c r="K22" s="14">
        <f t="shared" si="13"/>
        <v>24436.12</v>
      </c>
      <c r="L22" s="15">
        <f t="shared" si="14"/>
        <v>10298.858968</v>
      </c>
      <c r="M22" s="46"/>
      <c r="N22" s="47"/>
    </row>
    <row r="23" spans="1:18" s="43" customFormat="1" ht="11.45" customHeight="1" x14ac:dyDescent="0.25">
      <c r="A23" s="40" t="s">
        <v>39</v>
      </c>
      <c r="B23" s="76" t="s">
        <v>50</v>
      </c>
      <c r="C23" s="77">
        <v>14500</v>
      </c>
      <c r="D23" s="48">
        <v>206.74</v>
      </c>
      <c r="E23" s="48">
        <v>3.3</v>
      </c>
      <c r="F23" s="48">
        <v>0</v>
      </c>
      <c r="G23" s="48">
        <v>0</v>
      </c>
      <c r="H23" s="15">
        <f t="shared" si="10"/>
        <v>206.74</v>
      </c>
      <c r="I23" s="15">
        <f t="shared" si="11"/>
        <v>3.3</v>
      </c>
      <c r="J23" s="14">
        <f t="shared" si="12"/>
        <v>210.04000000000002</v>
      </c>
      <c r="K23" s="14">
        <f t="shared" si="13"/>
        <v>14289.96</v>
      </c>
      <c r="L23" s="15">
        <f t="shared" si="14"/>
        <v>9023.9631439999994</v>
      </c>
      <c r="M23" s="79"/>
      <c r="N23" s="47"/>
    </row>
    <row r="24" spans="1:18" s="43" customFormat="1" ht="10.9" customHeight="1" x14ac:dyDescent="0.25">
      <c r="A24" s="84" t="s">
        <v>40</v>
      </c>
      <c r="B24" s="85" t="s">
        <v>41</v>
      </c>
      <c r="C24" s="86"/>
      <c r="D24" s="48">
        <v>0</v>
      </c>
      <c r="E24" s="48">
        <v>0</v>
      </c>
      <c r="F24" s="48">
        <v>0</v>
      </c>
      <c r="G24" s="48">
        <v>0</v>
      </c>
      <c r="H24" s="15">
        <f t="shared" si="10"/>
        <v>0</v>
      </c>
      <c r="I24" s="15">
        <f t="shared" si="11"/>
        <v>0</v>
      </c>
      <c r="J24" s="14">
        <f>H24+I24</f>
        <v>0</v>
      </c>
      <c r="K24" s="14">
        <f>C24-J24</f>
        <v>0</v>
      </c>
      <c r="L24" s="15">
        <f t="shared" si="14"/>
        <v>0</v>
      </c>
      <c r="M24" s="71"/>
      <c r="N24" s="78"/>
    </row>
    <row r="25" spans="1:18" ht="24.75" customHeight="1" thickBot="1" x14ac:dyDescent="0.3">
      <c r="A25" s="210" t="s">
        <v>22</v>
      </c>
      <c r="B25" s="211"/>
      <c r="C25" s="49">
        <f>SUM(C21:C23)</f>
        <v>39500</v>
      </c>
      <c r="D25" s="49">
        <f t="shared" ref="D25:K25" si="15">SUM(D21:D24)</f>
        <v>761.74</v>
      </c>
      <c r="E25" s="49">
        <f t="shared" si="15"/>
        <v>12.18</v>
      </c>
      <c r="F25" s="49">
        <f t="shared" si="15"/>
        <v>0</v>
      </c>
      <c r="G25" s="49">
        <f t="shared" si="15"/>
        <v>0</v>
      </c>
      <c r="H25" s="49">
        <f t="shared" si="15"/>
        <v>761.74</v>
      </c>
      <c r="I25" s="49">
        <f t="shared" si="15"/>
        <v>12.18</v>
      </c>
      <c r="J25" s="49">
        <f t="shared" si="15"/>
        <v>773.92000000000007</v>
      </c>
      <c r="K25" s="49">
        <f t="shared" si="15"/>
        <v>38726.080000000002</v>
      </c>
      <c r="L25" s="15">
        <f t="shared" si="14"/>
        <v>19322.822111999998</v>
      </c>
      <c r="M25" s="46"/>
      <c r="N25" s="47"/>
    </row>
    <row r="26" spans="1:18" ht="11.25" customHeight="1" x14ac:dyDescent="0.25">
      <c r="A26" s="39"/>
      <c r="B26" s="29"/>
      <c r="C26" s="30"/>
      <c r="D26" s="30"/>
      <c r="E26" s="30"/>
      <c r="F26" s="30"/>
      <c r="G26" s="30"/>
      <c r="H26" s="31"/>
      <c r="I26" s="31"/>
      <c r="J26" s="31"/>
      <c r="K26" s="31"/>
      <c r="L26" s="32"/>
      <c r="M26" s="46"/>
      <c r="N26" s="47"/>
    </row>
    <row r="27" spans="1:18" ht="11.25" customHeight="1" thickBot="1" x14ac:dyDescent="0.3">
      <c r="A27" s="34"/>
      <c r="B27" s="35"/>
      <c r="C27" s="36"/>
      <c r="D27" s="36"/>
      <c r="E27" s="36"/>
      <c r="F27" s="36"/>
      <c r="G27" s="36"/>
      <c r="H27" s="37"/>
      <c r="I27" s="37"/>
      <c r="J27" s="37"/>
      <c r="K27" s="37"/>
      <c r="L27" s="38"/>
      <c r="M27" s="46"/>
      <c r="N27" s="47"/>
    </row>
    <row r="28" spans="1:18" ht="21.6" customHeight="1" x14ac:dyDescent="0.25">
      <c r="A28" s="212" t="s">
        <v>23</v>
      </c>
      <c r="B28" s="212"/>
      <c r="C28" s="50">
        <f t="shared" ref="C28:L28" si="16">C12+C18+C25</f>
        <v>278581</v>
      </c>
      <c r="D28" s="50">
        <f t="shared" si="16"/>
        <v>7746.869999999999</v>
      </c>
      <c r="E28" s="50">
        <f t="shared" si="16"/>
        <v>123.9</v>
      </c>
      <c r="F28" s="50">
        <f t="shared" si="16"/>
        <v>2955.47</v>
      </c>
      <c r="G28" s="50">
        <f t="shared" si="16"/>
        <v>168.44000000000003</v>
      </c>
      <c r="H28" s="50">
        <f t="shared" si="16"/>
        <v>10702.339999999998</v>
      </c>
      <c r="I28" s="50">
        <f t="shared" si="16"/>
        <v>292.33999999999997</v>
      </c>
      <c r="J28" s="50">
        <f t="shared" si="16"/>
        <v>10994.68</v>
      </c>
      <c r="K28" s="50">
        <f t="shared" si="16"/>
        <v>267586.32</v>
      </c>
      <c r="L28" s="50">
        <f t="shared" si="16"/>
        <v>-8065.7001520000085</v>
      </c>
      <c r="M28" s="46"/>
      <c r="N28" s="47"/>
    </row>
    <row r="29" spans="1:18" ht="10.9" customHeight="1" x14ac:dyDescent="0.25">
      <c r="A29" s="51"/>
      <c r="B29" s="52"/>
      <c r="C29" s="53"/>
      <c r="D29" s="54"/>
      <c r="E29" s="54"/>
      <c r="F29" s="54"/>
      <c r="G29" s="54"/>
      <c r="H29" s="53"/>
      <c r="I29" s="53"/>
      <c r="J29" s="53"/>
      <c r="K29" s="53"/>
      <c r="L29" s="53"/>
      <c r="N29" s="47"/>
    </row>
    <row r="30" spans="1:18" ht="11.25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M30" s="74"/>
      <c r="N30" s="47"/>
    </row>
    <row r="31" spans="1:18" s="42" customFormat="1" ht="22.5" x14ac:dyDescent="0.25">
      <c r="A31" s="81" t="s">
        <v>37</v>
      </c>
      <c r="B31" s="93" t="s">
        <v>24</v>
      </c>
      <c r="C31" s="15">
        <v>600.30999999999995</v>
      </c>
      <c r="D31" s="14">
        <v>0</v>
      </c>
      <c r="E31" s="14">
        <v>0</v>
      </c>
      <c r="F31" s="14">
        <v>0</v>
      </c>
      <c r="G31" s="14">
        <v>0</v>
      </c>
      <c r="H31" s="15">
        <f t="shared" ref="H31:H34" si="17">D31+F31</f>
        <v>0</v>
      </c>
      <c r="I31" s="15">
        <f t="shared" ref="I31:I34" si="18">E31+G31</f>
        <v>0</v>
      </c>
      <c r="J31" s="14">
        <f t="shared" ref="J31:J34" si="19">H31+I31</f>
        <v>0</v>
      </c>
      <c r="K31" s="14">
        <f t="shared" ref="K31:K34" si="20">C31-J31</f>
        <v>600.30999999999995</v>
      </c>
      <c r="L31" s="15">
        <f t="shared" ref="L31:L34" si="21">C31-((J31/1)*26.0714)</f>
        <v>600.30999999999995</v>
      </c>
      <c r="M31" s="69"/>
      <c r="N31" s="69"/>
      <c r="R31" s="73"/>
    </row>
    <row r="32" spans="1:18" s="24" customFormat="1" x14ac:dyDescent="0.25">
      <c r="A32" s="92" t="s">
        <v>52</v>
      </c>
      <c r="B32" s="91" t="s">
        <v>25</v>
      </c>
      <c r="C32" s="87"/>
      <c r="D32" s="15">
        <v>0</v>
      </c>
      <c r="E32" s="15">
        <v>0</v>
      </c>
      <c r="F32" s="15">
        <v>0</v>
      </c>
      <c r="G32" s="15">
        <v>0</v>
      </c>
      <c r="H32" s="15">
        <f t="shared" si="17"/>
        <v>0</v>
      </c>
      <c r="I32" s="15">
        <f t="shared" si="18"/>
        <v>0</v>
      </c>
      <c r="J32" s="14">
        <f t="shared" si="19"/>
        <v>0</v>
      </c>
      <c r="K32" s="15">
        <f t="shared" si="20"/>
        <v>0</v>
      </c>
      <c r="L32" s="15">
        <f t="shared" si="21"/>
        <v>0</v>
      </c>
      <c r="M32" s="69"/>
      <c r="N32" s="25"/>
    </row>
    <row r="33" spans="1:16" s="24" customFormat="1" ht="11.45" customHeight="1" x14ac:dyDescent="0.25">
      <c r="A33" s="94" t="s">
        <v>36</v>
      </c>
      <c r="B33" s="93" t="s">
        <v>38</v>
      </c>
      <c r="C33" s="95">
        <v>2043</v>
      </c>
      <c r="D33" s="14">
        <v>0</v>
      </c>
      <c r="E33" s="14">
        <v>0</v>
      </c>
      <c r="F33" s="14">
        <v>0</v>
      </c>
      <c r="G33" s="14">
        <v>0</v>
      </c>
      <c r="H33" s="15">
        <f t="shared" si="17"/>
        <v>0</v>
      </c>
      <c r="I33" s="15">
        <f t="shared" si="18"/>
        <v>0</v>
      </c>
      <c r="J33" s="14">
        <f t="shared" si="19"/>
        <v>0</v>
      </c>
      <c r="K33" s="14">
        <f t="shared" si="20"/>
        <v>2043</v>
      </c>
      <c r="L33" s="15">
        <f t="shared" si="21"/>
        <v>2043</v>
      </c>
      <c r="M33" s="71"/>
      <c r="N33" s="25"/>
    </row>
    <row r="34" spans="1:16" s="25" customFormat="1" ht="11.45" customHeight="1" x14ac:dyDescent="0.25">
      <c r="A34" s="12" t="s">
        <v>42</v>
      </c>
      <c r="B34" s="13" t="s">
        <v>43</v>
      </c>
      <c r="C34" s="95">
        <v>900</v>
      </c>
      <c r="D34" s="14">
        <v>45</v>
      </c>
      <c r="E34" s="14">
        <v>0.72</v>
      </c>
      <c r="F34" s="14">
        <v>0</v>
      </c>
      <c r="G34" s="14">
        <v>0</v>
      </c>
      <c r="H34" s="15">
        <f t="shared" si="17"/>
        <v>45</v>
      </c>
      <c r="I34" s="15">
        <f t="shared" si="18"/>
        <v>0.72</v>
      </c>
      <c r="J34" s="14">
        <f t="shared" si="19"/>
        <v>45.72</v>
      </c>
      <c r="K34" s="14">
        <f t="shared" si="20"/>
        <v>854.28</v>
      </c>
      <c r="L34" s="15">
        <f t="shared" si="21"/>
        <v>-291.98440800000003</v>
      </c>
      <c r="M34" s="45"/>
      <c r="N34" s="72"/>
      <c r="O34" s="44"/>
    </row>
    <row r="35" spans="1:16" s="25" customFormat="1" ht="11.45" customHeight="1" x14ac:dyDescent="0.25">
      <c r="A35" s="12" t="s">
        <v>48</v>
      </c>
      <c r="B35" s="13" t="s">
        <v>49</v>
      </c>
      <c r="C35" s="95">
        <v>12366.9</v>
      </c>
      <c r="D35" s="15">
        <v>180</v>
      </c>
      <c r="E35" s="15">
        <v>2.88</v>
      </c>
      <c r="F35" s="15">
        <v>0</v>
      </c>
      <c r="G35" s="15">
        <v>0</v>
      </c>
      <c r="H35" s="15">
        <f>D35+F35</f>
        <v>180</v>
      </c>
      <c r="I35" s="15">
        <f>E35+G35</f>
        <v>2.88</v>
      </c>
      <c r="J35" s="15">
        <f t="shared" ref="J35" si="22">H35+I35</f>
        <v>182.88</v>
      </c>
      <c r="K35" s="15">
        <f t="shared" ref="K35" si="23">C35-J35</f>
        <v>12184.02</v>
      </c>
      <c r="L35" s="15">
        <f>C35-((J35/1)*26.0714)</f>
        <v>7598.9623679999995</v>
      </c>
      <c r="M35" s="69"/>
      <c r="N35" s="55"/>
    </row>
    <row r="36" spans="1:16" s="25" customFormat="1" ht="11.45" customHeight="1" x14ac:dyDescent="0.25">
      <c r="A36" s="88" t="s">
        <v>26</v>
      </c>
      <c r="B36" s="89" t="s">
        <v>47</v>
      </c>
      <c r="C36" s="90"/>
      <c r="D36" s="15">
        <v>0</v>
      </c>
      <c r="E36" s="15">
        <v>0</v>
      </c>
      <c r="F36" s="15">
        <v>428.4</v>
      </c>
      <c r="G36" s="15">
        <v>24.41</v>
      </c>
      <c r="H36" s="15">
        <f>D36+F36</f>
        <v>428.4</v>
      </c>
      <c r="I36" s="15">
        <f>E36+G36</f>
        <v>24.41</v>
      </c>
      <c r="J36" s="14">
        <f>H36+I36</f>
        <v>452.81</v>
      </c>
      <c r="K36" s="14">
        <f>C36-J36</f>
        <v>-452.81</v>
      </c>
      <c r="L36" s="15">
        <f>C36-((J36/1)*26.0714)</f>
        <v>-11805.390634000001</v>
      </c>
      <c r="M36" s="4"/>
      <c r="N36" s="55"/>
    </row>
    <row r="37" spans="1:16" ht="21.6" customHeight="1" x14ac:dyDescent="0.25">
      <c r="A37" s="206" t="s">
        <v>27</v>
      </c>
      <c r="B37" s="207"/>
      <c r="C37" s="15">
        <f>SUM(C31:C36)</f>
        <v>15910.21</v>
      </c>
      <c r="D37" s="15">
        <f>SUM(D31:D36)</f>
        <v>225</v>
      </c>
      <c r="E37" s="15">
        <f>SUM(E31:E36)</f>
        <v>3.5999999999999996</v>
      </c>
      <c r="F37" s="15">
        <f>SUM(F31:F36)</f>
        <v>428.4</v>
      </c>
      <c r="G37" s="15">
        <f>SUM(G31:G36)</f>
        <v>24.41</v>
      </c>
      <c r="H37" s="15">
        <f>SUM(H31, H32:H36)</f>
        <v>653.4</v>
      </c>
      <c r="I37" s="15">
        <f>SUM(I31, I32:I36)</f>
        <v>28.009999999999998</v>
      </c>
      <c r="J37" s="15">
        <f>SUM(J31, J32:J36)</f>
        <v>681.41</v>
      </c>
      <c r="K37" s="15">
        <f>SUM(K31, K32:K36)</f>
        <v>15228.800000000001</v>
      </c>
      <c r="L37" s="15">
        <f>SUM(L31, L32:L36)</f>
        <v>-1855.1026740000016</v>
      </c>
      <c r="M37" s="45"/>
    </row>
    <row r="38" spans="1:16" ht="10.9" customHeight="1" x14ac:dyDescent="0.25">
      <c r="A38" s="51"/>
      <c r="B38" s="52"/>
      <c r="C38" s="53"/>
      <c r="D38" s="54"/>
      <c r="E38" s="54"/>
      <c r="F38" s="54"/>
      <c r="G38" s="54"/>
      <c r="H38" s="53"/>
      <c r="I38" s="53"/>
      <c r="J38" s="53"/>
      <c r="K38" s="53"/>
      <c r="L38" s="53"/>
      <c r="M38" s="46"/>
      <c r="N38" s="25"/>
    </row>
    <row r="39" spans="1:16" ht="10.9" customHeight="1" x14ac:dyDescent="0.25">
      <c r="A39" s="51"/>
      <c r="B39" s="52"/>
      <c r="C39" s="53"/>
      <c r="D39" s="54"/>
      <c r="E39" s="54"/>
      <c r="F39" s="54"/>
      <c r="G39" s="54"/>
      <c r="H39" s="53"/>
      <c r="I39" s="53"/>
      <c r="J39" s="53"/>
      <c r="K39" s="53"/>
      <c r="L39" s="53"/>
      <c r="M39" s="46"/>
      <c r="N39" s="47"/>
    </row>
    <row r="40" spans="1:16" ht="10.9" customHeight="1" x14ac:dyDescent="0.25">
      <c r="A40" s="12" t="s">
        <v>28</v>
      </c>
      <c r="B40" s="13" t="s">
        <v>29</v>
      </c>
      <c r="C40" s="66">
        <f>61895+688</f>
        <v>62583</v>
      </c>
      <c r="D40" s="14">
        <v>558.99</v>
      </c>
      <c r="E40" s="14">
        <v>8.94</v>
      </c>
      <c r="F40" s="14">
        <v>1351.26</v>
      </c>
      <c r="G40" s="14">
        <v>77.02</v>
      </c>
      <c r="H40" s="15">
        <f>D40+F40</f>
        <v>1910.25</v>
      </c>
      <c r="I40" s="15">
        <f>E40+G40</f>
        <v>85.96</v>
      </c>
      <c r="J40" s="14">
        <f>H40+I40</f>
        <v>1996.21</v>
      </c>
      <c r="K40" s="14">
        <f>C40-J40</f>
        <v>60586.79</v>
      </c>
      <c r="L40" s="15">
        <f>C40-((J40/1)*26.0714)</f>
        <v>10539.010605999996</v>
      </c>
      <c r="N40" s="56"/>
    </row>
    <row r="41" spans="1:16" ht="21.6" customHeight="1" x14ac:dyDescent="0.25">
      <c r="A41" s="57" t="s">
        <v>30</v>
      </c>
      <c r="B41" s="58"/>
      <c r="C41" s="59">
        <f>C40</f>
        <v>62583</v>
      </c>
      <c r="D41" s="59">
        <f t="shared" ref="D41:L41" si="24">D40</f>
        <v>558.99</v>
      </c>
      <c r="E41" s="59">
        <f t="shared" si="24"/>
        <v>8.94</v>
      </c>
      <c r="F41" s="59">
        <f t="shared" si="24"/>
        <v>1351.26</v>
      </c>
      <c r="G41" s="59">
        <f t="shared" si="24"/>
        <v>77.02</v>
      </c>
      <c r="H41" s="59">
        <f t="shared" si="24"/>
        <v>1910.25</v>
      </c>
      <c r="I41" s="59">
        <f t="shared" si="24"/>
        <v>85.96</v>
      </c>
      <c r="J41" s="59">
        <f t="shared" si="24"/>
        <v>1996.21</v>
      </c>
      <c r="K41" s="59">
        <f t="shared" si="24"/>
        <v>60586.79</v>
      </c>
      <c r="L41" s="59">
        <f t="shared" si="24"/>
        <v>10539.010605999996</v>
      </c>
    </row>
    <row r="42" spans="1:16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6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  <c r="M43" s="46"/>
    </row>
    <row r="44" spans="1:16" ht="10.9" customHeight="1" x14ac:dyDescent="0.25">
      <c r="A44" s="40" t="s">
        <v>31</v>
      </c>
      <c r="B44" s="41">
        <v>55180000</v>
      </c>
      <c r="C44" s="66">
        <v>37736</v>
      </c>
      <c r="D44" s="14">
        <v>0</v>
      </c>
      <c r="E44" s="14">
        <v>0</v>
      </c>
      <c r="F44" s="14">
        <v>622.24</v>
      </c>
      <c r="G44" s="14">
        <v>35.46</v>
      </c>
      <c r="H44" s="15">
        <f>D44+F44</f>
        <v>622.24</v>
      </c>
      <c r="I44" s="15">
        <f>E44+G44</f>
        <v>35.46</v>
      </c>
      <c r="J44" s="14">
        <f>H44+I44</f>
        <v>657.7</v>
      </c>
      <c r="K44" s="14">
        <f>C44-J44</f>
        <v>37078.300000000003</v>
      </c>
      <c r="L44" s="15">
        <f>C44-((J44/1)*26.0714)</f>
        <v>20588.840219999998</v>
      </c>
      <c r="N44" s="60"/>
    </row>
    <row r="45" spans="1:16" s="43" customFormat="1" ht="21.6" customHeight="1" x14ac:dyDescent="0.25">
      <c r="A45" s="206" t="s">
        <v>32</v>
      </c>
      <c r="B45" s="207"/>
      <c r="C45" s="15">
        <f>SUM(C44)</f>
        <v>37736</v>
      </c>
      <c r="D45" s="15">
        <f t="shared" ref="D45:L45" si="25">SUM(D44)</f>
        <v>0</v>
      </c>
      <c r="E45" s="15">
        <f t="shared" si="25"/>
        <v>0</v>
      </c>
      <c r="F45" s="15">
        <f t="shared" si="25"/>
        <v>622.24</v>
      </c>
      <c r="G45" s="15">
        <f t="shared" si="25"/>
        <v>35.46</v>
      </c>
      <c r="H45" s="15">
        <f t="shared" si="25"/>
        <v>622.24</v>
      </c>
      <c r="I45" s="15">
        <f t="shared" si="25"/>
        <v>35.46</v>
      </c>
      <c r="J45" s="15">
        <f t="shared" si="25"/>
        <v>657.7</v>
      </c>
      <c r="K45" s="15">
        <f t="shared" si="25"/>
        <v>37078.300000000003</v>
      </c>
      <c r="L45" s="15">
        <f t="shared" si="25"/>
        <v>20588.840219999998</v>
      </c>
      <c r="M45" s="45"/>
      <c r="N45" s="5"/>
    </row>
    <row r="46" spans="1:16" s="43" customFormat="1" ht="11.25" customHeight="1" x14ac:dyDescent="0.25">
      <c r="A46" s="61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4"/>
      <c r="N46" s="25"/>
    </row>
    <row r="47" spans="1:16" s="26" customFormat="1" ht="10.9" customHeight="1" x14ac:dyDescent="0.25">
      <c r="A47" s="205" t="s">
        <v>51</v>
      </c>
      <c r="B47" s="205"/>
      <c r="C47" s="205"/>
      <c r="D47" s="205"/>
      <c r="E47" s="205"/>
      <c r="F47" s="205"/>
      <c r="G47" s="83">
        <v>688</v>
      </c>
      <c r="M47" s="4"/>
      <c r="N47" s="5"/>
      <c r="O47" s="5"/>
      <c r="P47" s="5"/>
    </row>
    <row r="48" spans="1:16" s="26" customFormat="1" ht="10.9" customHeight="1" x14ac:dyDescent="0.25">
      <c r="A48" s="205"/>
      <c r="B48" s="205"/>
      <c r="C48" s="205"/>
      <c r="D48" s="205"/>
      <c r="E48" s="205"/>
      <c r="F48" s="205"/>
      <c r="G48" s="64"/>
      <c r="M48" s="4"/>
      <c r="N48" s="5"/>
      <c r="O48" s="5"/>
      <c r="P48" s="5"/>
    </row>
    <row r="49" spans="1:16" s="26" customFormat="1" ht="10.9" customHeight="1" x14ac:dyDescent="0.25">
      <c r="A49" s="205"/>
      <c r="B49" s="205"/>
      <c r="C49" s="205"/>
      <c r="D49" s="205"/>
      <c r="E49" s="205"/>
      <c r="F49" s="205"/>
      <c r="G49" s="64"/>
      <c r="M49" s="4"/>
      <c r="N49" s="5"/>
      <c r="O49" s="5"/>
      <c r="P49" s="5"/>
    </row>
    <row r="50" spans="1:16" s="26" customFormat="1" ht="10.9" customHeight="1" x14ac:dyDescent="0.25">
      <c r="A50" s="205"/>
      <c r="B50" s="205"/>
      <c r="C50" s="205"/>
      <c r="D50" s="205"/>
      <c r="E50" s="205"/>
      <c r="F50" s="205"/>
      <c r="G50" s="64"/>
      <c r="M50" s="4"/>
      <c r="N50" s="5"/>
      <c r="O50" s="5"/>
      <c r="P50" s="5"/>
    </row>
    <row r="51" spans="1:16" s="26" customFormat="1" ht="10.9" customHeight="1" x14ac:dyDescent="0.25">
      <c r="A51" s="205"/>
      <c r="B51" s="205"/>
      <c r="C51" s="205"/>
      <c r="D51" s="205"/>
      <c r="E51" s="205"/>
      <c r="F51" s="205"/>
      <c r="G51" s="64"/>
      <c r="M51" s="4"/>
      <c r="N51" s="5"/>
      <c r="O51" s="5"/>
      <c r="P51" s="5"/>
    </row>
    <row r="52" spans="1:16" s="26" customFormat="1" ht="10.9" customHeight="1" x14ac:dyDescent="0.25">
      <c r="A52" s="205"/>
      <c r="B52" s="205"/>
      <c r="C52" s="205"/>
      <c r="D52" s="205"/>
      <c r="E52" s="205"/>
      <c r="F52" s="205"/>
      <c r="G52" s="64"/>
      <c r="M52" s="4"/>
      <c r="N52" s="5"/>
      <c r="O52" s="5"/>
      <c r="P52" s="5"/>
    </row>
    <row r="53" spans="1:16" s="26" customFormat="1" ht="10.9" customHeight="1" x14ac:dyDescent="0.25">
      <c r="A53" s="205"/>
      <c r="B53" s="205"/>
      <c r="C53" s="205"/>
      <c r="D53" s="205"/>
      <c r="E53" s="205"/>
      <c r="F53" s="205"/>
      <c r="G53" s="64"/>
      <c r="M53" s="4"/>
      <c r="N53" s="5"/>
      <c r="O53" s="5"/>
      <c r="P53" s="5"/>
    </row>
    <row r="54" spans="1:16" s="26" customFormat="1" ht="10.9" customHeight="1" x14ac:dyDescent="0.25">
      <c r="A54" s="205"/>
      <c r="B54" s="205"/>
      <c r="C54" s="205"/>
      <c r="D54" s="205"/>
      <c r="E54" s="205"/>
      <c r="F54" s="205"/>
      <c r="G54" s="64"/>
      <c r="M54" s="4"/>
      <c r="N54" s="5"/>
      <c r="O54" s="5"/>
      <c r="P54" s="5"/>
    </row>
    <row r="55" spans="1:16" s="26" customFormat="1" ht="10.9" customHeight="1" x14ac:dyDescent="0.25">
      <c r="A55" s="205"/>
      <c r="B55" s="205"/>
      <c r="C55" s="205"/>
      <c r="D55" s="205"/>
      <c r="E55" s="205"/>
      <c r="F55" s="205"/>
      <c r="G55" s="64"/>
      <c r="M55" s="4"/>
      <c r="N55" s="5"/>
      <c r="O55" s="5"/>
      <c r="P55" s="5"/>
    </row>
    <row r="56" spans="1:16" s="26" customFormat="1" ht="10.9" customHeight="1" x14ac:dyDescent="0.25">
      <c r="A56" s="205"/>
      <c r="B56" s="205"/>
      <c r="C56" s="205"/>
      <c r="D56" s="205"/>
      <c r="E56" s="205"/>
      <c r="F56" s="205"/>
      <c r="G56" s="64"/>
      <c r="M56" s="4"/>
      <c r="N56" s="5"/>
      <c r="O56" s="5"/>
      <c r="P56" s="5"/>
    </row>
    <row r="57" spans="1:16" s="26" customFormat="1" ht="10.9" customHeight="1" x14ac:dyDescent="0.25">
      <c r="A57" s="205"/>
      <c r="B57" s="205"/>
      <c r="C57" s="205"/>
      <c r="D57" s="205"/>
      <c r="E57" s="205"/>
      <c r="F57" s="205"/>
      <c r="G57" s="64"/>
      <c r="M57" s="4"/>
      <c r="N57" s="5"/>
      <c r="O57" s="5"/>
      <c r="P57" s="5"/>
    </row>
  </sheetData>
  <mergeCells count="17">
    <mergeCell ref="A47:F47"/>
    <mergeCell ref="A45:B45"/>
    <mergeCell ref="A37:B37"/>
    <mergeCell ref="A12:B12"/>
    <mergeCell ref="A18:B18"/>
    <mergeCell ref="A25:B25"/>
    <mergeCell ref="A28:B28"/>
    <mergeCell ref="A52:F52"/>
    <mergeCell ref="A48:F48"/>
    <mergeCell ref="A49:F49"/>
    <mergeCell ref="A50:F50"/>
    <mergeCell ref="A51:F51"/>
    <mergeCell ref="A53:F53"/>
    <mergeCell ref="A54:F54"/>
    <mergeCell ref="A55:F55"/>
    <mergeCell ref="A56:F56"/>
    <mergeCell ref="A57:F57"/>
  </mergeCells>
  <pageMargins left="0" right="0" top="0.4" bottom="0" header="0.3" footer="0"/>
  <pageSetup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="160" zoomScaleNormal="160" workbookViewId="0">
      <pane ySplit="2" topLeftCell="A24" activePane="bottomLeft" state="frozen"/>
      <selection pane="bottomLeft" activeCell="M30" sqref="M30:M37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79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</f>
        <v>3619.88</v>
      </c>
      <c r="D3" s="15">
        <v>150</v>
      </c>
      <c r="E3" s="15">
        <v>2.4</v>
      </c>
      <c r="F3" s="15">
        <v>0</v>
      </c>
      <c r="G3" s="15">
        <v>0</v>
      </c>
      <c r="H3" s="15">
        <f>D3+F3+'10-31-19'!H3</f>
        <v>3408.6000000000004</v>
      </c>
      <c r="I3" s="15">
        <f>E3+G3+'10-31-19'!I3</f>
        <v>156.15</v>
      </c>
      <c r="J3" s="15">
        <f>H3+I3</f>
        <v>3564.7500000000005</v>
      </c>
      <c r="K3" s="15">
        <f>C3-J3</f>
        <v>55.129999999999654</v>
      </c>
      <c r="L3" s="15">
        <f>C3-((J3/10)*26.0714)</f>
        <v>-5673.9223150000007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D4+F4+'10-31-19'!H4</f>
        <v>0</v>
      </c>
      <c r="I4" s="15">
        <f>E4+G4+'10-31-19'!I4</f>
        <v>0</v>
      </c>
      <c r="J4" s="15">
        <f>H4+I4</f>
        <v>0</v>
      </c>
      <c r="K4" s="15">
        <f>C4-J4</f>
        <v>3229</v>
      </c>
      <c r="L4" s="15">
        <f t="shared" ref="L4:L12" si="0">C4-((J4/10)*26.0714)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375.49</v>
      </c>
      <c r="E5" s="21">
        <v>6</v>
      </c>
      <c r="F5" s="21">
        <v>0</v>
      </c>
      <c r="G5" s="21">
        <v>0</v>
      </c>
      <c r="H5" s="15">
        <f>D5+F5+'10-31-19'!H5</f>
        <v>6116.3899999999994</v>
      </c>
      <c r="I5" s="15">
        <f>E5+G5+'10-31-19'!I5</f>
        <v>115.9</v>
      </c>
      <c r="J5" s="15">
        <f t="shared" ref="J5:J12" si="1">H5+I5</f>
        <v>6232.2899999999991</v>
      </c>
      <c r="K5" s="14">
        <f t="shared" ref="K5:K12" si="2">C5-J5</f>
        <v>18416.71</v>
      </c>
      <c r="L5" s="15">
        <f t="shared" si="0"/>
        <v>8400.5474494000009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664.96</v>
      </c>
      <c r="E6" s="14">
        <v>10.63</v>
      </c>
      <c r="F6" s="14">
        <v>0</v>
      </c>
      <c r="G6" s="14">
        <v>0</v>
      </c>
      <c r="H6" s="15">
        <f>D6+F6+'10-31-19'!H6</f>
        <v>4697.7299999999996</v>
      </c>
      <c r="I6" s="15">
        <f>E6+G6+'10-31-19'!I6</f>
        <v>78.739999999999995</v>
      </c>
      <c r="J6" s="15">
        <f t="shared" si="1"/>
        <v>4776.4699999999993</v>
      </c>
      <c r="K6" s="14">
        <f t="shared" si="2"/>
        <v>13197.53</v>
      </c>
      <c r="L6" s="15">
        <f t="shared" si="0"/>
        <v>5521.0740042000016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v>742.68</v>
      </c>
      <c r="E7" s="14">
        <v>11.88</v>
      </c>
      <c r="F7" s="14">
        <v>0</v>
      </c>
      <c r="G7" s="14">
        <v>0</v>
      </c>
      <c r="H7" s="15">
        <f>D7+F7+'10-31-19'!H7</f>
        <v>6126.12</v>
      </c>
      <c r="I7" s="15">
        <f>E7+G7+'10-31-19'!I7</f>
        <v>97.91</v>
      </c>
      <c r="J7" s="15">
        <f t="shared" si="1"/>
        <v>6224.03</v>
      </c>
      <c r="K7" s="14">
        <f t="shared" si="2"/>
        <v>11749.970000000001</v>
      </c>
      <c r="L7" s="15">
        <f t="shared" si="0"/>
        <v>1747.0824257999993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388.52</v>
      </c>
      <c r="E8" s="14">
        <v>6.21</v>
      </c>
      <c r="F8" s="14">
        <v>0</v>
      </c>
      <c r="G8" s="14">
        <v>0</v>
      </c>
      <c r="H8" s="15">
        <f>D8+F8+'10-31-19'!H8</f>
        <v>7861.1100000000024</v>
      </c>
      <c r="I8" s="15">
        <f>E8+G8+'10-31-19'!I8</f>
        <v>125.71</v>
      </c>
      <c r="J8" s="15">
        <f t="shared" si="1"/>
        <v>7986.8200000000024</v>
      </c>
      <c r="K8" s="14">
        <f t="shared" si="2"/>
        <v>16343.179999999997</v>
      </c>
      <c r="L8" s="15">
        <f t="shared" si="0"/>
        <v>3507.2421051999918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v>852.74</v>
      </c>
      <c r="E9" s="14">
        <v>13.64</v>
      </c>
      <c r="F9" s="14">
        <v>0</v>
      </c>
      <c r="G9" s="14">
        <v>0</v>
      </c>
      <c r="H9" s="15">
        <f>D9+F9+'10-31-19'!H9</f>
        <v>12339.53</v>
      </c>
      <c r="I9" s="15">
        <f>E9+G9+'10-31-19'!I9</f>
        <v>326.09999999999997</v>
      </c>
      <c r="J9" s="15">
        <f t="shared" si="1"/>
        <v>12665.630000000001</v>
      </c>
      <c r="K9" s="14">
        <f t="shared" si="2"/>
        <v>21334.37</v>
      </c>
      <c r="L9" s="15">
        <f t="shared" si="0"/>
        <v>978.92940180000005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1794.14</v>
      </c>
      <c r="E10" s="14">
        <v>28.7</v>
      </c>
      <c r="F10" s="14">
        <v>0</v>
      </c>
      <c r="G10" s="14">
        <v>0</v>
      </c>
      <c r="H10" s="15">
        <f>D10+F10+'10-31-19'!H10</f>
        <v>19107.649999999998</v>
      </c>
      <c r="I10" s="15">
        <f>E10+G10+'10-31-19'!I10</f>
        <v>324.33</v>
      </c>
      <c r="J10" s="15">
        <f t="shared" si="1"/>
        <v>19431.98</v>
      </c>
      <c r="K10" s="14">
        <f t="shared" si="2"/>
        <v>23309.02</v>
      </c>
      <c r="L10" s="15">
        <f t="shared" si="0"/>
        <v>-7920.892337199999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414.12</v>
      </c>
      <c r="E11" s="14">
        <v>6.62</v>
      </c>
      <c r="F11" s="14">
        <v>0</v>
      </c>
      <c r="G11" s="14">
        <v>0</v>
      </c>
      <c r="H11" s="15">
        <f>D11+F11+'10-31-19'!H11</f>
        <v>5738.55</v>
      </c>
      <c r="I11" s="15">
        <f>E11+G11+'10-31-19'!I11</f>
        <v>167.49</v>
      </c>
      <c r="J11" s="15">
        <f t="shared" si="1"/>
        <v>5906.04</v>
      </c>
      <c r="K11" s="14">
        <f t="shared" si="2"/>
        <v>17266.96</v>
      </c>
      <c r="L11" s="15">
        <f t="shared" si="0"/>
        <v>7775.126874399999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154.22999999999999</v>
      </c>
      <c r="E12" s="14">
        <v>2.4500000000000002</v>
      </c>
      <c r="F12" s="14">
        <v>0</v>
      </c>
      <c r="G12" s="14">
        <v>0</v>
      </c>
      <c r="H12" s="15">
        <f>D12+F12+'10-31-19'!H12</f>
        <v>757.76</v>
      </c>
      <c r="I12" s="15">
        <f>E12+G12+'10-31-19'!I12</f>
        <v>12.05</v>
      </c>
      <c r="J12" s="15">
        <f t="shared" si="1"/>
        <v>769.81</v>
      </c>
      <c r="K12" s="14">
        <f t="shared" si="2"/>
        <v>5230.1900000000005</v>
      </c>
      <c r="L12" s="15">
        <f t="shared" si="0"/>
        <v>3992.9975566000003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5386.88</v>
      </c>
      <c r="E13" s="15">
        <f t="shared" si="3"/>
        <v>86.13000000000001</v>
      </c>
      <c r="F13" s="15">
        <f t="shared" si="3"/>
        <v>0</v>
      </c>
      <c r="G13" s="15">
        <f t="shared" si="3"/>
        <v>0</v>
      </c>
      <c r="H13" s="15">
        <f t="shared" si="3"/>
        <v>62744.840000000004</v>
      </c>
      <c r="I13" s="15">
        <f t="shared" si="3"/>
        <v>1248.2299999999998</v>
      </c>
      <c r="J13" s="14">
        <f t="shared" si="3"/>
        <v>63993.07</v>
      </c>
      <c r="K13" s="14">
        <f t="shared" si="3"/>
        <v>130076.93</v>
      </c>
      <c r="L13" s="15">
        <f t="shared" si="3"/>
        <v>27231.107480199993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D16+F16+'10-31-19'!H16</f>
        <v>0</v>
      </c>
      <c r="I16" s="15">
        <f>E16+G16+'10-31-19'!I16</f>
        <v>0</v>
      </c>
      <c r="J16" s="15">
        <f>H16+I16</f>
        <v>0</v>
      </c>
      <c r="K16" s="14">
        <f>C16-J16</f>
        <v>26923</v>
      </c>
      <c r="L16" s="15">
        <f t="shared" ref="L16:L18" si="4">C16-((J16/10)*26.0714)</f>
        <v>26923</v>
      </c>
    </row>
    <row r="17" spans="1:12" ht="11.45" customHeight="1" x14ac:dyDescent="0.25">
      <c r="A17" s="12" t="s">
        <v>16</v>
      </c>
      <c r="B17" s="13">
        <v>55160100</v>
      </c>
      <c r="C17" s="95">
        <v>16062</v>
      </c>
      <c r="D17" s="15">
        <v>251.85</v>
      </c>
      <c r="E17" s="15">
        <v>4.0199999999999996</v>
      </c>
      <c r="F17" s="14">
        <v>0</v>
      </c>
      <c r="G17" s="14">
        <v>0</v>
      </c>
      <c r="H17" s="15">
        <f>D17+F17+'10-31-19'!H17</f>
        <v>2749.88</v>
      </c>
      <c r="I17" s="15">
        <f>E17+G17+'10-31-19'!I17</f>
        <v>61.100000000000009</v>
      </c>
      <c r="J17" s="15">
        <f>H17+I17</f>
        <v>2810.98</v>
      </c>
      <c r="K17" s="14">
        <f>C17-J17</f>
        <v>13251.02</v>
      </c>
      <c r="L17" s="15">
        <f t="shared" si="4"/>
        <v>8733.3816028000001</v>
      </c>
    </row>
    <row r="18" spans="1:12" ht="11.45" customHeight="1" x14ac:dyDescent="0.25">
      <c r="A18" s="40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D18+F18+'10-31-19'!H18</f>
        <v>687.38999999999987</v>
      </c>
      <c r="I18" s="15">
        <f>E18+G18+'10-31-19'!I18</f>
        <v>10.939999999999998</v>
      </c>
      <c r="J18" s="15">
        <f>H18+I18</f>
        <v>698.32999999999993</v>
      </c>
      <c r="K18" s="14">
        <f>C18-J18</f>
        <v>1327.67</v>
      </c>
      <c r="L18" s="15">
        <f t="shared" si="4"/>
        <v>205.35592380000003</v>
      </c>
    </row>
    <row r="19" spans="1:12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251.85</v>
      </c>
      <c r="E19" s="15">
        <f t="shared" si="5"/>
        <v>4.0199999999999996</v>
      </c>
      <c r="F19" s="15">
        <f t="shared" si="5"/>
        <v>0</v>
      </c>
      <c r="G19" s="15">
        <f t="shared" si="5"/>
        <v>0</v>
      </c>
      <c r="H19" s="15">
        <f t="shared" si="5"/>
        <v>3437.27</v>
      </c>
      <c r="I19" s="15">
        <f t="shared" si="5"/>
        <v>72.040000000000006</v>
      </c>
      <c r="J19" s="14">
        <f t="shared" si="5"/>
        <v>3509.31</v>
      </c>
      <c r="K19" s="15">
        <f t="shared" si="5"/>
        <v>41501.69</v>
      </c>
      <c r="L19" s="15">
        <f t="shared" si="5"/>
        <v>35861.737526600002</v>
      </c>
    </row>
    <row r="20" spans="1:12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2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2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450</v>
      </c>
      <c r="E23" s="14">
        <v>7.2</v>
      </c>
      <c r="F23" s="14">
        <v>0</v>
      </c>
      <c r="G23" s="14">
        <v>0</v>
      </c>
      <c r="H23" s="15">
        <f>D23+F23+'10-31-19'!H23</f>
        <v>4035</v>
      </c>
      <c r="I23" s="15">
        <f>E23+G23+'10-31-19'!I23</f>
        <v>64.559999999999988</v>
      </c>
      <c r="J23" s="15">
        <f t="shared" si="7"/>
        <v>4099.5600000000004</v>
      </c>
      <c r="K23" s="14">
        <f t="shared" si="8"/>
        <v>20900.439999999999</v>
      </c>
      <c r="L23" s="15">
        <f t="shared" ref="L23:L25" si="10">C23-((J23/10)*26.0714)</f>
        <v>14311.873141599999</v>
      </c>
    </row>
    <row r="24" spans="1:12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334.68</v>
      </c>
      <c r="E24" s="48">
        <v>5.35</v>
      </c>
      <c r="F24" s="48">
        <v>220.8</v>
      </c>
      <c r="G24" s="48">
        <v>12.58</v>
      </c>
      <c r="H24" s="15">
        <f>D24+F24+'10-31-19'!H24</f>
        <v>3879.9999999999995</v>
      </c>
      <c r="I24" s="15">
        <f>E24+G24+'10-31-19'!I24</f>
        <v>71.069999999999993</v>
      </c>
      <c r="J24" s="15">
        <f t="shared" si="7"/>
        <v>3951.0699999999997</v>
      </c>
      <c r="K24" s="14">
        <f t="shared" si="8"/>
        <v>10548.93</v>
      </c>
      <c r="L24" s="15">
        <f t="shared" si="10"/>
        <v>4199.0073602000011</v>
      </c>
    </row>
    <row r="25" spans="1:12" s="43" customFormat="1" ht="10.9" customHeight="1" x14ac:dyDescent="0.25">
      <c r="A25" s="114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192</v>
      </c>
      <c r="G25" s="48">
        <v>10.94</v>
      </c>
      <c r="H25" s="15">
        <f>D25+F25+'10-31-19'!H25</f>
        <v>1044</v>
      </c>
      <c r="I25" s="15">
        <f>E25+G25+'10-31-19'!I25</f>
        <v>59.48</v>
      </c>
      <c r="J25" s="15">
        <f>H25+I25</f>
        <v>1103.48</v>
      </c>
      <c r="K25" s="14">
        <f>C25-J25</f>
        <v>4168.0499999999993</v>
      </c>
      <c r="L25" s="15">
        <f t="shared" si="10"/>
        <v>2394.6031527999999</v>
      </c>
    </row>
    <row r="26" spans="1:12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784.68000000000006</v>
      </c>
      <c r="E26" s="49">
        <f t="shared" si="11"/>
        <v>12.55</v>
      </c>
      <c r="F26" s="49">
        <f t="shared" si="11"/>
        <v>412.8</v>
      </c>
      <c r="G26" s="49">
        <f t="shared" si="11"/>
        <v>23.52</v>
      </c>
      <c r="H26" s="49">
        <f t="shared" si="11"/>
        <v>8959</v>
      </c>
      <c r="I26" s="49">
        <f t="shared" si="11"/>
        <v>195.10999999999999</v>
      </c>
      <c r="J26" s="49">
        <f t="shared" si="11"/>
        <v>9154.11</v>
      </c>
      <c r="K26" s="49">
        <f t="shared" si="11"/>
        <v>35617.42</v>
      </c>
      <c r="L26" s="50">
        <f>SUM(L23:L25)</f>
        <v>20905.483654599997</v>
      </c>
    </row>
    <row r="27" spans="1:12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2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2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6423.4100000000008</v>
      </c>
      <c r="E29" s="50">
        <f t="shared" si="12"/>
        <v>102.7</v>
      </c>
      <c r="F29" s="50">
        <f t="shared" si="12"/>
        <v>412.8</v>
      </c>
      <c r="G29" s="50">
        <f t="shared" si="12"/>
        <v>23.52</v>
      </c>
      <c r="H29" s="50">
        <f t="shared" si="12"/>
        <v>75141.11</v>
      </c>
      <c r="I29" s="50">
        <f t="shared" si="12"/>
        <v>1515.3799999999997</v>
      </c>
      <c r="J29" s="50">
        <f t="shared" si="12"/>
        <v>76656.490000000005</v>
      </c>
      <c r="K29" s="50">
        <f t="shared" si="12"/>
        <v>207196.03999999998</v>
      </c>
      <c r="L29" s="50">
        <f t="shared" si="12"/>
        <v>83998.328661399995</v>
      </c>
    </row>
    <row r="30" spans="1:12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2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2" s="42" customFormat="1" ht="22.5" x14ac:dyDescent="0.25">
      <c r="A32" s="114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D32+F32+'10-31-19'!H32</f>
        <v>0</v>
      </c>
      <c r="I32" s="15">
        <f>E32+G32+'10-31-19'!I32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C32-((J32/10)*26.0714)</f>
        <v>600.30999999999995</v>
      </c>
    </row>
    <row r="33" spans="1:13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48.75</v>
      </c>
      <c r="E33" s="15">
        <v>0.78</v>
      </c>
      <c r="F33" s="15">
        <v>0</v>
      </c>
      <c r="G33" s="15">
        <v>0</v>
      </c>
      <c r="H33" s="15">
        <f>D33+F33+'10-31-19'!H33</f>
        <v>143.75</v>
      </c>
      <c r="I33" s="15">
        <f>E33+G33+'10-31-19'!I33</f>
        <v>2.2999999999999998</v>
      </c>
      <c r="J33" s="14">
        <f t="shared" si="13"/>
        <v>146.05000000000001</v>
      </c>
      <c r="K33" s="15">
        <f t="shared" si="14"/>
        <v>11853.95</v>
      </c>
      <c r="L33" s="15">
        <f t="shared" si="15"/>
        <v>11619.227203</v>
      </c>
      <c r="M33" s="25"/>
    </row>
    <row r="34" spans="1:13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D34+F34+'10-31-19'!H34</f>
        <v>277.20000000000005</v>
      </c>
      <c r="I34" s="15">
        <f>E34+G34+'10-31-19'!I34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1.4740513999998939</v>
      </c>
      <c r="M34" s="25"/>
    </row>
    <row r="35" spans="1:13" s="24" customFormat="1" ht="11.25" customHeight="1" x14ac:dyDescent="0.25">
      <c r="A35" s="108" t="s">
        <v>68</v>
      </c>
      <c r="B35" s="93" t="s">
        <v>66</v>
      </c>
      <c r="C35" s="15">
        <f>6353.85</f>
        <v>6353.85</v>
      </c>
      <c r="D35" s="15">
        <f>342.57-48.75</f>
        <v>293.82</v>
      </c>
      <c r="E35" s="15">
        <v>4.7</v>
      </c>
      <c r="F35" s="15">
        <v>0</v>
      </c>
      <c r="G35" s="15">
        <v>0</v>
      </c>
      <c r="H35" s="15">
        <f>D35+F35+'10-31-19'!H35</f>
        <v>1591.82</v>
      </c>
      <c r="I35" s="15">
        <f>E35+G35+'10-31-19'!I35</f>
        <v>25.439999999999998</v>
      </c>
      <c r="J35" s="15">
        <f t="shared" si="13"/>
        <v>1617.26</v>
      </c>
      <c r="K35" s="15">
        <f t="shared" si="14"/>
        <v>4736.59</v>
      </c>
      <c r="L35" s="15">
        <f t="shared" si="15"/>
        <v>2137.4267636000004</v>
      </c>
      <c r="M35" s="25"/>
    </row>
    <row r="36" spans="1:13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197.33</v>
      </c>
      <c r="E36" s="14">
        <v>3.15</v>
      </c>
      <c r="F36" s="14">
        <v>0</v>
      </c>
      <c r="G36" s="14">
        <v>0</v>
      </c>
      <c r="H36" s="15">
        <f>D36+F36+'10-31-19'!H36</f>
        <v>2022.2099999999998</v>
      </c>
      <c r="I36" s="15">
        <f>E36+G36+'10-31-19'!I36</f>
        <v>69.210000000000008</v>
      </c>
      <c r="J36" s="15">
        <f t="shared" si="13"/>
        <v>2091.4199999999996</v>
      </c>
      <c r="K36" s="14">
        <f t="shared" si="14"/>
        <v>-48.419999999999618</v>
      </c>
      <c r="L36" s="15">
        <f t="shared" si="15"/>
        <v>-3409.6247387999992</v>
      </c>
    </row>
    <row r="37" spans="1:13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270</v>
      </c>
      <c r="E37" s="14">
        <v>4.32</v>
      </c>
      <c r="F37" s="14">
        <v>0</v>
      </c>
      <c r="G37" s="14">
        <v>0</v>
      </c>
      <c r="H37" s="15">
        <f>D37+F37+'10-31-19'!H37</f>
        <v>1836.57</v>
      </c>
      <c r="I37" s="15">
        <f>E37+G37+'10-31-19'!I37</f>
        <v>29.35</v>
      </c>
      <c r="J37" s="15">
        <f t="shared" si="13"/>
        <v>1865.9199999999998</v>
      </c>
      <c r="K37" s="14">
        <f t="shared" si="14"/>
        <v>884.08000000000015</v>
      </c>
      <c r="L37" s="15">
        <f t="shared" si="15"/>
        <v>-2114.7146687999993</v>
      </c>
    </row>
    <row r="38" spans="1:13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615</v>
      </c>
      <c r="E38" s="15">
        <v>9.84</v>
      </c>
      <c r="F38" s="15">
        <v>0</v>
      </c>
      <c r="G38" s="15">
        <v>0</v>
      </c>
      <c r="H38" s="15">
        <f>D38+F38+'10-31-19'!H38</f>
        <v>4211.25</v>
      </c>
      <c r="I38" s="15">
        <f>E38+G38+'10-31-19'!I38</f>
        <v>67.37</v>
      </c>
      <c r="J38" s="15">
        <f t="shared" si="13"/>
        <v>4278.62</v>
      </c>
      <c r="K38" s="15">
        <f t="shared" si="14"/>
        <v>8088.28</v>
      </c>
      <c r="L38" s="15">
        <f t="shared" si="15"/>
        <v>1211.9386532000008</v>
      </c>
    </row>
    <row r="39" spans="1:13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D39+F39+'10-31-19'!H39</f>
        <v>1184.4000000000001</v>
      </c>
      <c r="I39" s="15">
        <f>E39+G39+'10-31-19'!I39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11956.1475054</v>
      </c>
    </row>
    <row r="40" spans="1:13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1424.9</v>
      </c>
      <c r="E40" s="15">
        <f>SUM(E32:E39)</f>
        <v>22.79</v>
      </c>
      <c r="F40" s="15">
        <f>SUM(F32:F39)</f>
        <v>0</v>
      </c>
      <c r="G40" s="15">
        <f>SUM(G32:G39)</f>
        <v>0</v>
      </c>
      <c r="H40" s="15">
        <f>SUM(H32, H33:H39)</f>
        <v>11267.199999999999</v>
      </c>
      <c r="I40" s="15">
        <f>SUM(I32, I33:I39)</f>
        <v>276.95000000000005</v>
      </c>
      <c r="J40" s="15">
        <f>SUM(J32, J33:J39)</f>
        <v>11544.149999999998</v>
      </c>
      <c r="K40" s="15">
        <f>SUM(K32, K33:K39)</f>
        <v>40555.25</v>
      </c>
      <c r="L40" s="15">
        <f>SUM(L32, L33:L39)</f>
        <v>22002.184769000003</v>
      </c>
    </row>
    <row r="41" spans="1:13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943.49</v>
      </c>
      <c r="E43" s="14">
        <v>15.09</v>
      </c>
      <c r="F43" s="14">
        <v>680.84</v>
      </c>
      <c r="G43" s="14">
        <v>38.799999999999997</v>
      </c>
      <c r="H43" s="15">
        <f>D43+F43+'10-31-19'!H43</f>
        <v>17843.150000000001</v>
      </c>
      <c r="I43" s="15">
        <f>E43+G43+'10-31-19'!I43</f>
        <v>636.9</v>
      </c>
      <c r="J43" s="15">
        <f>H43+I43</f>
        <v>18480.050000000003</v>
      </c>
      <c r="K43" s="14">
        <f>C43-J43</f>
        <v>44102.95</v>
      </c>
      <c r="L43" s="15">
        <f>C43-((J43/10)*26.0714)</f>
        <v>14402.922442999989</v>
      </c>
    </row>
    <row r="44" spans="1:13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943.49</v>
      </c>
      <c r="E44" s="59">
        <f t="shared" si="16"/>
        <v>15.09</v>
      </c>
      <c r="F44" s="59">
        <f t="shared" si="16"/>
        <v>680.84</v>
      </c>
      <c r="G44" s="59">
        <f t="shared" si="16"/>
        <v>38.799999999999997</v>
      </c>
      <c r="H44" s="59">
        <f t="shared" si="16"/>
        <v>17843.150000000001</v>
      </c>
      <c r="I44" s="59">
        <f t="shared" si="16"/>
        <v>636.9</v>
      </c>
      <c r="J44" s="59">
        <f t="shared" si="16"/>
        <v>18480.050000000003</v>
      </c>
      <c r="K44" s="59">
        <f t="shared" si="16"/>
        <v>44102.95</v>
      </c>
      <c r="L44" s="59">
        <f t="shared" si="16"/>
        <v>14402.922442999989</v>
      </c>
    </row>
    <row r="45" spans="1:13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438.6</v>
      </c>
      <c r="G47" s="14">
        <v>25</v>
      </c>
      <c r="H47" s="15">
        <f>D47+F47+'10-31-19'!H47</f>
        <v>4255.45</v>
      </c>
      <c r="I47" s="15">
        <f>E47+G47+'10-31-19'!I47</f>
        <v>242.51</v>
      </c>
      <c r="J47" s="15">
        <f>H47+I47</f>
        <v>4497.96</v>
      </c>
      <c r="K47" s="14">
        <f>C47-J47</f>
        <v>33238.04</v>
      </c>
      <c r="L47" s="15">
        <f>C47-((J47/10)*26.0714)</f>
        <v>26009.188565600001</v>
      </c>
    </row>
    <row r="48" spans="1:13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438.6</v>
      </c>
      <c r="G48" s="15">
        <f t="shared" si="17"/>
        <v>25</v>
      </c>
      <c r="H48" s="15">
        <f t="shared" si="17"/>
        <v>4255.45</v>
      </c>
      <c r="I48" s="15">
        <f t="shared" si="17"/>
        <v>242.51</v>
      </c>
      <c r="J48" s="15">
        <f t="shared" si="17"/>
        <v>4497.96</v>
      </c>
      <c r="K48" s="15">
        <f t="shared" si="17"/>
        <v>33238.04</v>
      </c>
      <c r="L48" s="15">
        <f t="shared" si="17"/>
        <v>26009.188565600001</v>
      </c>
    </row>
    <row r="49" spans="1:12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</row>
    <row r="51" spans="1:12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</row>
    <row r="52" spans="1:12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</row>
    <row r="54" spans="1:12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16">
        <v>2624</v>
      </c>
    </row>
    <row r="55" spans="1:12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</row>
    <row r="56" spans="1:12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</row>
    <row r="57" spans="1:12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</row>
    <row r="58" spans="1:12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</row>
    <row r="59" spans="1:12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</row>
    <row r="60" spans="1:12" ht="10.5" customHeight="1" x14ac:dyDescent="0.25">
      <c r="A60" s="205" t="s">
        <v>77</v>
      </c>
      <c r="B60" s="205"/>
      <c r="C60" s="205"/>
      <c r="D60" s="205"/>
      <c r="E60" s="205"/>
      <c r="F60" s="205"/>
      <c r="G60" s="83">
        <v>800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243.88</v>
      </c>
    </row>
    <row r="62" spans="1:12" ht="10.5" customHeight="1" x14ac:dyDescent="0.25">
      <c r="A62" s="205" t="s">
        <v>78</v>
      </c>
      <c r="B62" s="205"/>
      <c r="C62" s="205"/>
      <c r="D62" s="205"/>
      <c r="E62" s="205"/>
      <c r="F62" s="205"/>
      <c r="G62" s="83">
        <v>200</v>
      </c>
    </row>
  </sheetData>
  <mergeCells count="19">
    <mergeCell ref="A58:F58"/>
    <mergeCell ref="A59:F59"/>
    <mergeCell ref="A60:F60"/>
    <mergeCell ref="A48:B48"/>
    <mergeCell ref="A62:F62"/>
    <mergeCell ref="A61:F61"/>
    <mergeCell ref="A50:F50"/>
    <mergeCell ref="A51:F51"/>
    <mergeCell ref="A52:F52"/>
    <mergeCell ref="A53:F53"/>
    <mergeCell ref="A54:F54"/>
    <mergeCell ref="A55:F55"/>
    <mergeCell ref="A56:F56"/>
    <mergeCell ref="A57:F57"/>
    <mergeCell ref="A13:B13"/>
    <mergeCell ref="A19:B19"/>
    <mergeCell ref="A26:B26"/>
    <mergeCell ref="A29:B29"/>
    <mergeCell ref="A40:B40"/>
  </mergeCells>
  <pageMargins left="0.25" right="0" top="0.4" bottom="0" header="0.3" footer="0"/>
  <pageSetup scale="95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D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80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</f>
        <v>3619.88</v>
      </c>
      <c r="D3" s="15">
        <v>75</v>
      </c>
      <c r="E3" s="15">
        <v>1.2</v>
      </c>
      <c r="F3" s="15">
        <v>0</v>
      </c>
      <c r="G3" s="15">
        <v>0</v>
      </c>
      <c r="H3" s="15">
        <f>D3+F3+'11-14-19'!H3</f>
        <v>3483.6000000000004</v>
      </c>
      <c r="I3" s="15">
        <f>E3+G3+'11-14-19'!I3</f>
        <v>157.35</v>
      </c>
      <c r="J3" s="15">
        <f>H3+I3</f>
        <v>3640.9500000000003</v>
      </c>
      <c r="K3" s="107">
        <f>C3-J3</f>
        <v>-21.070000000000164</v>
      </c>
      <c r="L3" s="15">
        <f>C3-((J3/11)*26.0714)</f>
        <v>-5009.6348936363638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D4+F4+'11-14-19'!H4</f>
        <v>0</v>
      </c>
      <c r="I4" s="15">
        <f>E4+G4+'11-14-19'!I4</f>
        <v>0</v>
      </c>
      <c r="J4" s="15">
        <f>H4+I4</f>
        <v>0</v>
      </c>
      <c r="K4" s="15">
        <f>C4-J4</f>
        <v>3229</v>
      </c>
      <c r="L4" s="15">
        <f t="shared" ref="L4:L12" si="0">C4-((J4/11)*26.0714)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354.39</v>
      </c>
      <c r="E5" s="21">
        <v>5.67</v>
      </c>
      <c r="F5" s="21">
        <v>0</v>
      </c>
      <c r="G5" s="21">
        <v>0</v>
      </c>
      <c r="H5" s="15">
        <f>D5+F5+'11-14-19'!H5</f>
        <v>6470.78</v>
      </c>
      <c r="I5" s="15">
        <f>E5+G5+'11-14-19'!I5</f>
        <v>121.57000000000001</v>
      </c>
      <c r="J5" s="15">
        <f t="shared" ref="J5:J12" si="1">H5+I5</f>
        <v>6592.3499999999995</v>
      </c>
      <c r="K5" s="14">
        <f t="shared" ref="K5:K12" si="2">C5-J5</f>
        <v>18056.650000000001</v>
      </c>
      <c r="L5" s="15">
        <f t="shared" si="0"/>
        <v>9024.2914736363655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719.15</v>
      </c>
      <c r="E6" s="14">
        <v>11.5</v>
      </c>
      <c r="F6" s="14">
        <v>0</v>
      </c>
      <c r="G6" s="14">
        <v>0</v>
      </c>
      <c r="H6" s="15">
        <f>D6+F6+'11-14-19'!H6</f>
        <v>5416.8799999999992</v>
      </c>
      <c r="I6" s="15">
        <f>E6+G6+'11-14-19'!I6</f>
        <v>90.24</v>
      </c>
      <c r="J6" s="15">
        <f t="shared" si="1"/>
        <v>5507.119999999999</v>
      </c>
      <c r="K6" s="14">
        <f t="shared" si="2"/>
        <v>12466.880000000001</v>
      </c>
      <c r="L6" s="15">
        <f t="shared" si="0"/>
        <v>4921.4246938181841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f>702.28+786.32</f>
        <v>1488.6</v>
      </c>
      <c r="E7" s="14">
        <f>11.23+12.57</f>
        <v>23.8</v>
      </c>
      <c r="F7" s="14">
        <v>0</v>
      </c>
      <c r="G7" s="14">
        <v>0</v>
      </c>
      <c r="H7" s="15">
        <f>D7+F7+'11-14-19'!H7</f>
        <v>7614.7199999999993</v>
      </c>
      <c r="I7" s="15">
        <f>E7+G7+'11-14-19'!I7</f>
        <v>121.71</v>
      </c>
      <c r="J7" s="15">
        <f t="shared" si="1"/>
        <v>7736.4299999999994</v>
      </c>
      <c r="K7" s="14">
        <f t="shared" si="2"/>
        <v>10237.57</v>
      </c>
      <c r="L7" s="15">
        <f t="shared" si="0"/>
        <v>-362.32373654545518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402.2</v>
      </c>
      <c r="E8" s="14">
        <v>6.43</v>
      </c>
      <c r="F8" s="14">
        <v>0</v>
      </c>
      <c r="G8" s="14">
        <v>0</v>
      </c>
      <c r="H8" s="15">
        <f>D8+F8+'11-14-19'!H8</f>
        <v>8263.3100000000031</v>
      </c>
      <c r="I8" s="15">
        <f>E8+G8+'11-14-19'!I8</f>
        <v>132.13999999999999</v>
      </c>
      <c r="J8" s="15">
        <f t="shared" si="1"/>
        <v>8395.4500000000025</v>
      </c>
      <c r="K8" s="14">
        <f t="shared" si="2"/>
        <v>15934.549999999997</v>
      </c>
      <c r="L8" s="15">
        <f t="shared" si="0"/>
        <v>4431.7149881818113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f>-217.5+755.25</f>
        <v>537.75</v>
      </c>
      <c r="E9" s="14">
        <f>-3.48+12.08</f>
        <v>8.6</v>
      </c>
      <c r="F9" s="14">
        <v>0</v>
      </c>
      <c r="G9" s="14">
        <v>0</v>
      </c>
      <c r="H9" s="15">
        <f>D9+F9+'11-14-19'!H9</f>
        <v>12877.28</v>
      </c>
      <c r="I9" s="15">
        <f>E9+G9+'11-14-19'!I9</f>
        <v>334.7</v>
      </c>
      <c r="J9" s="15">
        <f t="shared" si="1"/>
        <v>13211.980000000001</v>
      </c>
      <c r="K9" s="14">
        <f t="shared" si="2"/>
        <v>20788.019999999997</v>
      </c>
      <c r="L9" s="15">
        <f t="shared" si="0"/>
        <v>2685.9258752727219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1879.75</v>
      </c>
      <c r="E10" s="14">
        <v>30.07</v>
      </c>
      <c r="F10" s="14">
        <v>0</v>
      </c>
      <c r="G10" s="14">
        <v>0</v>
      </c>
      <c r="H10" s="15">
        <f>D10+F10+'11-14-19'!H10</f>
        <v>20987.399999999998</v>
      </c>
      <c r="I10" s="15">
        <f>E10+G10+'11-14-19'!I10</f>
        <v>354.4</v>
      </c>
      <c r="J10" s="15">
        <f t="shared" si="1"/>
        <v>21341.8</v>
      </c>
      <c r="K10" s="14">
        <f t="shared" si="2"/>
        <v>21399.200000000001</v>
      </c>
      <c r="L10" s="15">
        <f t="shared" si="0"/>
        <v>-7841.7822290909098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333.19</v>
      </c>
      <c r="E11" s="14">
        <v>5.33</v>
      </c>
      <c r="F11" s="14">
        <v>0</v>
      </c>
      <c r="G11" s="14">
        <v>0</v>
      </c>
      <c r="H11" s="15">
        <f>D11+F11+'11-14-19'!H11</f>
        <v>6071.74</v>
      </c>
      <c r="I11" s="15">
        <f>E11+G11+'11-14-19'!I11</f>
        <v>172.82000000000002</v>
      </c>
      <c r="J11" s="15">
        <f t="shared" si="1"/>
        <v>6244.5599999999995</v>
      </c>
      <c r="K11" s="14">
        <f t="shared" si="2"/>
        <v>16928.440000000002</v>
      </c>
      <c r="L11" s="15">
        <f t="shared" si="0"/>
        <v>8372.598037818183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133.61000000000001</v>
      </c>
      <c r="E12" s="14">
        <v>2.12</v>
      </c>
      <c r="F12" s="14">
        <v>0</v>
      </c>
      <c r="G12" s="14">
        <v>0</v>
      </c>
      <c r="H12" s="15">
        <f>D12+F12+'11-14-19'!H12</f>
        <v>891.37</v>
      </c>
      <c r="I12" s="15">
        <f>E12+G12+'11-14-19'!I12</f>
        <v>14.170000000000002</v>
      </c>
      <c r="J12" s="15">
        <f t="shared" si="1"/>
        <v>905.54</v>
      </c>
      <c r="K12" s="14">
        <f t="shared" si="2"/>
        <v>5094.46</v>
      </c>
      <c r="L12" s="15">
        <f t="shared" si="0"/>
        <v>3853.7549494545456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5848.6399999999994</v>
      </c>
      <c r="E13" s="15">
        <f t="shared" si="3"/>
        <v>93.52</v>
      </c>
      <c r="F13" s="15">
        <f t="shared" si="3"/>
        <v>0</v>
      </c>
      <c r="G13" s="15">
        <f t="shared" si="3"/>
        <v>0</v>
      </c>
      <c r="H13" s="15">
        <f t="shared" si="3"/>
        <v>68593.48</v>
      </c>
      <c r="I13" s="15">
        <f t="shared" si="3"/>
        <v>1341.7499999999998</v>
      </c>
      <c r="J13" s="14">
        <f t="shared" si="3"/>
        <v>69935.23</v>
      </c>
      <c r="K13" s="14">
        <f t="shared" si="3"/>
        <v>124134.76999999999</v>
      </c>
      <c r="L13" s="15">
        <f t="shared" si="3"/>
        <v>28314.604052545445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D16+F16+'11-14-19'!H16</f>
        <v>0</v>
      </c>
      <c r="I16" s="15">
        <f>E16+G16+'11-14-19'!I16</f>
        <v>0</v>
      </c>
      <c r="J16" s="15">
        <f>H16+I16</f>
        <v>0</v>
      </c>
      <c r="K16" s="14">
        <f>C16-J16</f>
        <v>26923</v>
      </c>
      <c r="L16" s="15">
        <f t="shared" ref="L16:L18" si="4">C16-((J16/11)*26.0714)</f>
        <v>26923</v>
      </c>
    </row>
    <row r="17" spans="1:12" ht="11.45" customHeight="1" x14ac:dyDescent="0.25">
      <c r="A17" s="12" t="s">
        <v>16</v>
      </c>
      <c r="B17" s="13">
        <v>55160100</v>
      </c>
      <c r="C17" s="95">
        <v>16062</v>
      </c>
      <c r="D17" s="15">
        <v>194.35</v>
      </c>
      <c r="E17" s="15">
        <v>3.1</v>
      </c>
      <c r="F17" s="14">
        <v>0</v>
      </c>
      <c r="G17" s="14">
        <v>0</v>
      </c>
      <c r="H17" s="15">
        <f>D17+F17+'11-14-19'!H17</f>
        <v>2944.23</v>
      </c>
      <c r="I17" s="15">
        <f>E17+G17+'11-14-19'!I17</f>
        <v>64.2</v>
      </c>
      <c r="J17" s="15">
        <f>H17+I17</f>
        <v>3008.43</v>
      </c>
      <c r="K17" s="14">
        <f>C17-J17</f>
        <v>13053.57</v>
      </c>
      <c r="L17" s="15">
        <f t="shared" si="4"/>
        <v>8931.6380089090908</v>
      </c>
    </row>
    <row r="18" spans="1:12" ht="11.45" customHeight="1" x14ac:dyDescent="0.25">
      <c r="A18" s="40" t="s">
        <v>17</v>
      </c>
      <c r="B18" s="41">
        <v>55100100</v>
      </c>
      <c r="C18" s="95">
        <v>2026</v>
      </c>
      <c r="D18" s="14">
        <v>50.76</v>
      </c>
      <c r="E18" s="14">
        <v>0.81</v>
      </c>
      <c r="F18" s="14">
        <v>0</v>
      </c>
      <c r="G18" s="14">
        <v>0</v>
      </c>
      <c r="H18" s="15">
        <f>D18+F18+'11-14-19'!H18</f>
        <v>738.14999999999986</v>
      </c>
      <c r="I18" s="15">
        <f>E18+G18+'11-14-19'!I18</f>
        <v>11.749999999999998</v>
      </c>
      <c r="J18" s="15">
        <f>H18+I18</f>
        <v>749.89999999999986</v>
      </c>
      <c r="K18" s="14">
        <f>C18-J18</f>
        <v>1276.1000000000001</v>
      </c>
      <c r="L18" s="15">
        <f t="shared" si="4"/>
        <v>248.64155818181848</v>
      </c>
    </row>
    <row r="19" spans="1:12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245.10999999999999</v>
      </c>
      <c r="E19" s="15">
        <f t="shared" si="5"/>
        <v>3.91</v>
      </c>
      <c r="F19" s="15">
        <f t="shared" si="5"/>
        <v>0</v>
      </c>
      <c r="G19" s="15">
        <f t="shared" si="5"/>
        <v>0</v>
      </c>
      <c r="H19" s="15">
        <f t="shared" si="5"/>
        <v>3682.38</v>
      </c>
      <c r="I19" s="15">
        <f t="shared" si="5"/>
        <v>75.95</v>
      </c>
      <c r="J19" s="14">
        <f t="shared" si="5"/>
        <v>3758.33</v>
      </c>
      <c r="K19" s="15">
        <f t="shared" si="5"/>
        <v>41252.67</v>
      </c>
      <c r="L19" s="15">
        <f t="shared" si="5"/>
        <v>36103.279567090911</v>
      </c>
    </row>
    <row r="20" spans="1:12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2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2" s="43" customFormat="1" ht="11.45" customHeight="1" x14ac:dyDescent="0.25">
      <c r="A23" s="40" t="s">
        <v>21</v>
      </c>
      <c r="B23" s="41">
        <v>55200000</v>
      </c>
      <c r="C23" s="95">
        <f>25000+150</f>
        <v>25150</v>
      </c>
      <c r="D23" s="14">
        <v>0</v>
      </c>
      <c r="E23" s="14">
        <v>0</v>
      </c>
      <c r="F23" s="14">
        <v>0</v>
      </c>
      <c r="G23" s="14">
        <v>0</v>
      </c>
      <c r="H23" s="15">
        <f>D23+F23+'11-14-19'!H23</f>
        <v>4035</v>
      </c>
      <c r="I23" s="15">
        <f>E23+G23+'11-14-19'!I23</f>
        <v>64.559999999999988</v>
      </c>
      <c r="J23" s="15">
        <f t="shared" si="7"/>
        <v>4099.5600000000004</v>
      </c>
      <c r="K23" s="14">
        <f t="shared" si="8"/>
        <v>21050.44</v>
      </c>
      <c r="L23" s="15">
        <f t="shared" ref="L23:L25" si="10">C23-((J23/11)*26.0714)</f>
        <v>15433.52103781818</v>
      </c>
    </row>
    <row r="24" spans="1:12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401.42</v>
      </c>
      <c r="E24" s="48">
        <v>6.42</v>
      </c>
      <c r="F24" s="48">
        <v>202.4</v>
      </c>
      <c r="G24" s="48">
        <v>11.53</v>
      </c>
      <c r="H24" s="15">
        <f>D24+F24+'11-14-19'!H24</f>
        <v>4483.82</v>
      </c>
      <c r="I24" s="15">
        <f>E24+G24+'11-14-19'!I24</f>
        <v>89.02</v>
      </c>
      <c r="J24" s="15">
        <f t="shared" si="7"/>
        <v>4572.84</v>
      </c>
      <c r="K24" s="14">
        <f t="shared" si="8"/>
        <v>9927.16</v>
      </c>
      <c r="L24" s="15">
        <f t="shared" si="10"/>
        <v>3661.7872021818166</v>
      </c>
    </row>
    <row r="25" spans="1:12" s="43" customFormat="1" ht="10.9" customHeight="1" x14ac:dyDescent="0.25">
      <c r="A25" s="115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252</v>
      </c>
      <c r="G25" s="48">
        <v>14.36</v>
      </c>
      <c r="H25" s="15">
        <f>D25+F25+'11-14-19'!H25</f>
        <v>1296</v>
      </c>
      <c r="I25" s="15">
        <f>E25+G25+'11-14-19'!I25</f>
        <v>73.84</v>
      </c>
      <c r="J25" s="15">
        <f>H25+I25</f>
        <v>1369.84</v>
      </c>
      <c r="K25" s="14">
        <f>C25-J25</f>
        <v>3901.6899999999996</v>
      </c>
      <c r="L25" s="15">
        <f t="shared" si="10"/>
        <v>2024.8348567272728</v>
      </c>
    </row>
    <row r="26" spans="1:12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401.42</v>
      </c>
      <c r="E26" s="49">
        <f t="shared" si="11"/>
        <v>6.42</v>
      </c>
      <c r="F26" s="49">
        <f t="shared" si="11"/>
        <v>454.4</v>
      </c>
      <c r="G26" s="49">
        <f t="shared" si="11"/>
        <v>25.89</v>
      </c>
      <c r="H26" s="49">
        <f t="shared" si="11"/>
        <v>9814.82</v>
      </c>
      <c r="I26" s="49">
        <f t="shared" si="11"/>
        <v>227.42</v>
      </c>
      <c r="J26" s="49">
        <f t="shared" si="11"/>
        <v>10042.240000000002</v>
      </c>
      <c r="K26" s="49">
        <f t="shared" si="11"/>
        <v>34879.29</v>
      </c>
      <c r="L26" s="50">
        <f>SUM(L23:L25)</f>
        <v>21120.143096727272</v>
      </c>
    </row>
    <row r="27" spans="1:12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2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2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6495.1699999999992</v>
      </c>
      <c r="E29" s="50">
        <f t="shared" si="12"/>
        <v>103.85</v>
      </c>
      <c r="F29" s="50">
        <f t="shared" si="12"/>
        <v>454.4</v>
      </c>
      <c r="G29" s="50">
        <f t="shared" si="12"/>
        <v>25.89</v>
      </c>
      <c r="H29" s="50">
        <f t="shared" si="12"/>
        <v>82090.679999999993</v>
      </c>
      <c r="I29" s="50">
        <f t="shared" si="12"/>
        <v>1645.12</v>
      </c>
      <c r="J29" s="50">
        <f t="shared" si="12"/>
        <v>83735.8</v>
      </c>
      <c r="K29" s="50">
        <f t="shared" si="12"/>
        <v>200266.73</v>
      </c>
      <c r="L29" s="50">
        <f t="shared" si="12"/>
        <v>85538.026716363631</v>
      </c>
    </row>
    <row r="30" spans="1:12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2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2" s="42" customFormat="1" ht="22.5" x14ac:dyDescent="0.25">
      <c r="A32" s="115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D32+F32+'11-14-19'!H32</f>
        <v>0</v>
      </c>
      <c r="I32" s="15">
        <f>E32+G32+'11-14-19'!I32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C32-((J32/11)*26.0714)</f>
        <v>600.30999999999995</v>
      </c>
    </row>
    <row r="33" spans="1:13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40</v>
      </c>
      <c r="E33" s="15">
        <v>0.64</v>
      </c>
      <c r="F33" s="15">
        <v>0</v>
      </c>
      <c r="G33" s="15">
        <v>0</v>
      </c>
      <c r="H33" s="15">
        <f>D33+F33+'11-14-19'!H33</f>
        <v>183.75</v>
      </c>
      <c r="I33" s="15">
        <f>E33+G33+'11-14-19'!I33</f>
        <v>2.94</v>
      </c>
      <c r="J33" s="14">
        <f t="shared" si="13"/>
        <v>186.69</v>
      </c>
      <c r="K33" s="15">
        <f t="shared" si="14"/>
        <v>11813.31</v>
      </c>
      <c r="L33" s="15">
        <f t="shared" si="15"/>
        <v>11557.520939454545</v>
      </c>
      <c r="M33" s="25"/>
    </row>
    <row r="34" spans="1:13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D34+F34+'11-14-19'!H34</f>
        <v>277.20000000000005</v>
      </c>
      <c r="I34" s="15">
        <f>E34+G34+'11-14-19'!I34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70.91641036363626</v>
      </c>
    </row>
    <row r="35" spans="1:13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250.16</v>
      </c>
      <c r="E35" s="15">
        <v>4</v>
      </c>
      <c r="F35" s="15">
        <v>0</v>
      </c>
      <c r="G35" s="15">
        <v>0</v>
      </c>
      <c r="H35" s="15">
        <f>D35+F35+'11-14-19'!H35</f>
        <v>1841.98</v>
      </c>
      <c r="I35" s="15">
        <f>E35+G35+'11-14-19'!I35</f>
        <v>29.439999999999998</v>
      </c>
      <c r="J35" s="15">
        <f t="shared" si="13"/>
        <v>1871.42</v>
      </c>
      <c r="K35" s="15">
        <f t="shared" si="14"/>
        <v>4482.43</v>
      </c>
      <c r="L35" s="15">
        <f t="shared" si="15"/>
        <v>1918.3464192727279</v>
      </c>
      <c r="M35" s="25"/>
    </row>
    <row r="36" spans="1:13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213.72</v>
      </c>
      <c r="E36" s="14">
        <v>3.41</v>
      </c>
      <c r="F36" s="14">
        <v>1200</v>
      </c>
      <c r="G36" s="14">
        <v>68.400000000000006</v>
      </c>
      <c r="H36" s="15">
        <f>D36+F36+'11-14-19'!H36</f>
        <v>3435.93</v>
      </c>
      <c r="I36" s="15">
        <f>E36+G36+'11-14-19'!I36</f>
        <v>141.02000000000001</v>
      </c>
      <c r="J36" s="15">
        <f t="shared" si="13"/>
        <v>3576.95</v>
      </c>
      <c r="K36" s="117">
        <f t="shared" si="14"/>
        <v>-1533.9499999999998</v>
      </c>
      <c r="L36" s="15">
        <f t="shared" si="15"/>
        <v>-6434.8267481818184</v>
      </c>
    </row>
    <row r="37" spans="1:13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292.5</v>
      </c>
      <c r="E37" s="14">
        <v>4.68</v>
      </c>
      <c r="F37" s="14">
        <v>0</v>
      </c>
      <c r="G37" s="14">
        <v>0</v>
      </c>
      <c r="H37" s="15">
        <f>D37+F37+'11-14-19'!H37</f>
        <v>2129.0699999999997</v>
      </c>
      <c r="I37" s="15">
        <f>E37+G37+'11-14-19'!I37</f>
        <v>34.03</v>
      </c>
      <c r="J37" s="15">
        <f t="shared" si="13"/>
        <v>2163.1</v>
      </c>
      <c r="K37" s="14">
        <f t="shared" si="14"/>
        <v>586.90000000000009</v>
      </c>
      <c r="L37" s="15">
        <f t="shared" si="15"/>
        <v>-2376.8223036363634</v>
      </c>
    </row>
    <row r="38" spans="1:13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457.5</v>
      </c>
      <c r="E38" s="15">
        <v>7.32</v>
      </c>
      <c r="F38" s="15">
        <v>0</v>
      </c>
      <c r="G38" s="15">
        <v>0</v>
      </c>
      <c r="H38" s="15">
        <f>D38+F38+'11-14-19'!H38</f>
        <v>4668.75</v>
      </c>
      <c r="I38" s="15">
        <f>E38+G38+'11-14-19'!I38</f>
        <v>74.69</v>
      </c>
      <c r="J38" s="15">
        <f t="shared" si="13"/>
        <v>4743.4399999999996</v>
      </c>
      <c r="K38" s="15">
        <f t="shared" si="14"/>
        <v>7623.46</v>
      </c>
      <c r="L38" s="15">
        <f t="shared" si="15"/>
        <v>1124.3434894545462</v>
      </c>
    </row>
    <row r="39" spans="1:13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D39+F39+'11-14-19'!H39</f>
        <v>1184.4000000000001</v>
      </c>
      <c r="I39" s="15">
        <f>E39+G39+'11-14-19'!I39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12252.861368545455</v>
      </c>
    </row>
    <row r="40" spans="1:13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1253.8800000000001</v>
      </c>
      <c r="E40" s="15">
        <f>SUM(E32:E39)</f>
        <v>20.05</v>
      </c>
      <c r="F40" s="15">
        <f>SUM(F32:F39)</f>
        <v>1200</v>
      </c>
      <c r="G40" s="15">
        <f>SUM(G32:G39)</f>
        <v>68.400000000000006</v>
      </c>
      <c r="H40" s="15">
        <f>SUM(H32, H33:H39)</f>
        <v>13721.08</v>
      </c>
      <c r="I40" s="15">
        <f>SUM(I32, I33:I39)</f>
        <v>365.4</v>
      </c>
      <c r="J40" s="15">
        <f>SUM(J32, J33:J39)</f>
        <v>14086.48</v>
      </c>
      <c r="K40" s="15">
        <f>SUM(K32, K33:K39)</f>
        <v>38012.92</v>
      </c>
      <c r="L40" s="15">
        <f>SUM(L32, L33:L39)</f>
        <v>18712.649575272728</v>
      </c>
    </row>
    <row r="41" spans="1:13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1040.78</v>
      </c>
      <c r="E43" s="14">
        <v>16.649999999999999</v>
      </c>
      <c r="F43" s="14">
        <v>731.36</v>
      </c>
      <c r="G43" s="14">
        <v>41.68</v>
      </c>
      <c r="H43" s="15">
        <f>D43+F43+'11-14-19'!H43</f>
        <v>19615.29</v>
      </c>
      <c r="I43" s="15">
        <f>E43+G43+'11-14-19'!I43</f>
        <v>695.23</v>
      </c>
      <c r="J43" s="15">
        <f>H43+I43</f>
        <v>20310.52</v>
      </c>
      <c r="K43" s="14">
        <f>C43-J43</f>
        <v>42272.479999999996</v>
      </c>
      <c r="L43" s="15">
        <f>C43-((J43/11)*26.0714)</f>
        <v>14444.482624727272</v>
      </c>
    </row>
    <row r="44" spans="1:13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1040.78</v>
      </c>
      <c r="E44" s="59">
        <f t="shared" si="16"/>
        <v>16.649999999999999</v>
      </c>
      <c r="F44" s="59">
        <f t="shared" si="16"/>
        <v>731.36</v>
      </c>
      <c r="G44" s="59">
        <f t="shared" si="16"/>
        <v>41.68</v>
      </c>
      <c r="H44" s="59">
        <f t="shared" si="16"/>
        <v>19615.29</v>
      </c>
      <c r="I44" s="59">
        <f t="shared" si="16"/>
        <v>695.23</v>
      </c>
      <c r="J44" s="59">
        <f t="shared" si="16"/>
        <v>20310.52</v>
      </c>
      <c r="K44" s="59">
        <f t="shared" si="16"/>
        <v>42272.479999999996</v>
      </c>
      <c r="L44" s="59">
        <f t="shared" si="16"/>
        <v>14444.482624727272</v>
      </c>
    </row>
    <row r="45" spans="1:13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438.6</v>
      </c>
      <c r="G47" s="14">
        <v>25</v>
      </c>
      <c r="H47" s="15">
        <f>D47+F47+'11-14-19'!H47</f>
        <v>4694.05</v>
      </c>
      <c r="I47" s="15">
        <f>E47+G47+'11-14-19'!I47</f>
        <v>267.51</v>
      </c>
      <c r="J47" s="15">
        <f>H47+I47</f>
        <v>4961.5600000000004</v>
      </c>
      <c r="K47" s="14">
        <f>C47-J47</f>
        <v>32774.44</v>
      </c>
      <c r="L47" s="15">
        <f>C47-((J47/11)*26.0714)</f>
        <v>25976.471328727272</v>
      </c>
    </row>
    <row r="48" spans="1:13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438.6</v>
      </c>
      <c r="G48" s="15">
        <f t="shared" si="17"/>
        <v>25</v>
      </c>
      <c r="H48" s="15">
        <f t="shared" si="17"/>
        <v>4694.05</v>
      </c>
      <c r="I48" s="15">
        <f t="shared" si="17"/>
        <v>267.51</v>
      </c>
      <c r="J48" s="15">
        <f t="shared" si="17"/>
        <v>4961.5600000000004</v>
      </c>
      <c r="K48" s="15">
        <f t="shared" si="17"/>
        <v>32774.44</v>
      </c>
      <c r="L48" s="15">
        <f t="shared" si="17"/>
        <v>25976.471328727272</v>
      </c>
    </row>
    <row r="49" spans="1:12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</row>
    <row r="51" spans="1:12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</row>
    <row r="52" spans="1:12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</row>
    <row r="54" spans="1:12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16">
        <v>2624</v>
      </c>
    </row>
    <row r="55" spans="1:12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</row>
    <row r="56" spans="1:12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</row>
    <row r="57" spans="1:12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</row>
    <row r="58" spans="1:12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</row>
    <row r="59" spans="1:12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</row>
    <row r="60" spans="1:12" ht="10.5" customHeight="1" x14ac:dyDescent="0.25">
      <c r="A60" s="205" t="s">
        <v>77</v>
      </c>
      <c r="B60" s="205"/>
      <c r="C60" s="205"/>
      <c r="D60" s="205"/>
      <c r="E60" s="205"/>
      <c r="F60" s="205"/>
      <c r="G60" s="83">
        <v>800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243.88</v>
      </c>
    </row>
    <row r="62" spans="1:12" ht="10.5" customHeight="1" x14ac:dyDescent="0.25">
      <c r="A62" s="205" t="s">
        <v>78</v>
      </c>
      <c r="B62" s="205"/>
      <c r="C62" s="205"/>
      <c r="D62" s="205"/>
      <c r="E62" s="205"/>
      <c r="F62" s="205"/>
      <c r="G62" s="83">
        <v>200</v>
      </c>
    </row>
    <row r="63" spans="1:12" ht="10.5" customHeight="1" x14ac:dyDescent="0.25">
      <c r="A63" s="205" t="s">
        <v>81</v>
      </c>
      <c r="B63" s="205"/>
      <c r="C63" s="205"/>
      <c r="D63" s="205"/>
      <c r="E63" s="205"/>
      <c r="F63" s="205"/>
      <c r="G63" s="83">
        <v>150</v>
      </c>
    </row>
    <row r="64" spans="1:12" ht="10.5" customHeight="1" x14ac:dyDescent="0.25">
      <c r="A64" s="205" t="s">
        <v>82</v>
      </c>
      <c r="B64" s="205"/>
      <c r="C64" s="205"/>
      <c r="D64" s="205"/>
      <c r="E64" s="205"/>
      <c r="F64" s="205"/>
      <c r="G64" s="83">
        <v>243.88</v>
      </c>
    </row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</sheetData>
  <mergeCells count="21">
    <mergeCell ref="A64:F64"/>
    <mergeCell ref="A55:F55"/>
    <mergeCell ref="A13:B13"/>
    <mergeCell ref="A19:B19"/>
    <mergeCell ref="A26:B26"/>
    <mergeCell ref="A29:B29"/>
    <mergeCell ref="A40:B40"/>
    <mergeCell ref="A48:B48"/>
    <mergeCell ref="A50:F50"/>
    <mergeCell ref="A51:F51"/>
    <mergeCell ref="A52:F52"/>
    <mergeCell ref="A53:F53"/>
    <mergeCell ref="A54:F54"/>
    <mergeCell ref="A62:F62"/>
    <mergeCell ref="A63:F63"/>
    <mergeCell ref="A56:F56"/>
    <mergeCell ref="A57:F57"/>
    <mergeCell ref="A58:F58"/>
    <mergeCell ref="A59:F59"/>
    <mergeCell ref="A60:F60"/>
    <mergeCell ref="A61:F61"/>
  </mergeCells>
  <pageMargins left="0.25" right="0" top="0.4" bottom="0" header="0.3" footer="0"/>
  <pageSetup scale="9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160" zoomScaleNormal="160" workbookViewId="0">
      <pane ySplit="2" topLeftCell="A3" activePane="bottomLeft" state="frozen"/>
      <selection pane="bottomLeft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83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</f>
        <v>3619.88</v>
      </c>
      <c r="D3" s="15">
        <v>0</v>
      </c>
      <c r="E3" s="15">
        <v>0</v>
      </c>
      <c r="F3" s="15">
        <v>0</v>
      </c>
      <c r="G3" s="15">
        <v>0</v>
      </c>
      <c r="H3" s="15">
        <f>D3+F3+'11-28-19'!H3</f>
        <v>3483.6000000000004</v>
      </c>
      <c r="I3" s="15">
        <f>E3+G3+'11-28-19'!I3</f>
        <v>157.35</v>
      </c>
      <c r="J3" s="15">
        <f>H3+I3</f>
        <v>3640.9500000000003</v>
      </c>
      <c r="K3" s="107">
        <f>C3-J3</f>
        <v>-21.070000000000164</v>
      </c>
      <c r="L3" s="15">
        <f>C3-((J3/12)*26.0714)</f>
        <v>-4290.5086525000006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D4+F4+'11-28-19'!H4</f>
        <v>0</v>
      </c>
      <c r="I4" s="15">
        <f>E4+G4+'11-28-19'!I4</f>
        <v>0</v>
      </c>
      <c r="J4" s="15">
        <f>H4+I4</f>
        <v>0</v>
      </c>
      <c r="K4" s="15">
        <f>C4-J4</f>
        <v>3229</v>
      </c>
      <c r="L4" s="15">
        <f t="shared" ref="L4:L12" si="0">C4-((J4/12)*26.0714)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336.91</v>
      </c>
      <c r="E5" s="21">
        <v>5.39</v>
      </c>
      <c r="F5" s="21">
        <v>0</v>
      </c>
      <c r="G5" s="21">
        <v>0</v>
      </c>
      <c r="H5" s="15">
        <f>D5+F5+'11-28-19'!H5</f>
        <v>6807.69</v>
      </c>
      <c r="I5" s="15">
        <f>E5+G5+'11-28-19'!I5</f>
        <v>126.96000000000001</v>
      </c>
      <c r="J5" s="15">
        <f t="shared" ref="J5:J12" si="1">H5+I5</f>
        <v>6934.65</v>
      </c>
      <c r="K5" s="14">
        <f t="shared" ref="K5:K12" si="2">C5-J5</f>
        <v>17714.349999999999</v>
      </c>
      <c r="L5" s="15">
        <f t="shared" si="0"/>
        <v>9582.6638325000022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656.2</v>
      </c>
      <c r="E6" s="14">
        <v>10.49</v>
      </c>
      <c r="F6" s="14">
        <v>0</v>
      </c>
      <c r="G6" s="14">
        <v>0</v>
      </c>
      <c r="H6" s="15">
        <f>D6+F6+'11-28-19'!H6</f>
        <v>6073.079999999999</v>
      </c>
      <c r="I6" s="15">
        <f>E6+G6+'11-28-19'!I6</f>
        <v>100.72999999999999</v>
      </c>
      <c r="J6" s="15">
        <f t="shared" si="1"/>
        <v>6173.8099999999986</v>
      </c>
      <c r="K6" s="14">
        <f t="shared" si="2"/>
        <v>11800.190000000002</v>
      </c>
      <c r="L6" s="15">
        <f t="shared" si="0"/>
        <v>4560.6774971666709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v>733.85</v>
      </c>
      <c r="E7" s="14">
        <v>11.72</v>
      </c>
      <c r="F7" s="14">
        <v>0</v>
      </c>
      <c r="G7" s="14">
        <v>0</v>
      </c>
      <c r="H7" s="15">
        <f>D7+F7+'11-28-19'!H7</f>
        <v>8348.57</v>
      </c>
      <c r="I7" s="15">
        <f>E7+G7+'11-28-19'!I7</f>
        <v>133.43</v>
      </c>
      <c r="J7" s="15">
        <f t="shared" si="1"/>
        <v>8482</v>
      </c>
      <c r="K7" s="14">
        <f t="shared" si="2"/>
        <v>9492</v>
      </c>
      <c r="L7" s="15">
        <f t="shared" si="0"/>
        <v>-454.13456666666752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355.91</v>
      </c>
      <c r="E8" s="14">
        <v>5.68</v>
      </c>
      <c r="F8" s="14">
        <v>0</v>
      </c>
      <c r="G8" s="14">
        <v>0</v>
      </c>
      <c r="H8" s="15">
        <f>D8+F8+'11-28-19'!H8</f>
        <v>8619.220000000003</v>
      </c>
      <c r="I8" s="15">
        <f>E8+G8+'11-28-19'!I8</f>
        <v>137.82</v>
      </c>
      <c r="J8" s="15">
        <f t="shared" si="1"/>
        <v>8757.0400000000027</v>
      </c>
      <c r="K8" s="14">
        <f t="shared" si="2"/>
        <v>15572.959999999997</v>
      </c>
      <c r="L8" s="15">
        <f t="shared" si="0"/>
        <v>5304.3089453333268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f>190.31+1129.02</f>
        <v>1319.33</v>
      </c>
      <c r="E9" s="14">
        <f>3.04+18.05</f>
        <v>21.09</v>
      </c>
      <c r="F9" s="14">
        <v>0</v>
      </c>
      <c r="G9" s="14">
        <v>0</v>
      </c>
      <c r="H9" s="15">
        <f>D9+F9+'11-28-19'!H9</f>
        <v>14196.61</v>
      </c>
      <c r="I9" s="15">
        <f>E9+G9+'11-28-19'!I9</f>
        <v>355.78999999999996</v>
      </c>
      <c r="J9" s="15">
        <f t="shared" si="1"/>
        <v>14552.400000000001</v>
      </c>
      <c r="K9" s="14">
        <f t="shared" si="2"/>
        <v>19447.599999999999</v>
      </c>
      <c r="L9" s="15">
        <f t="shared" si="0"/>
        <v>2383.2132199999978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2079.5700000000002</v>
      </c>
      <c r="E10" s="14">
        <v>33.26</v>
      </c>
      <c r="F10" s="14">
        <v>0</v>
      </c>
      <c r="G10" s="14">
        <v>0</v>
      </c>
      <c r="H10" s="15">
        <f>D10+F10+'11-28-19'!H10</f>
        <v>23066.969999999998</v>
      </c>
      <c r="I10" s="15">
        <f>E10+G10+'11-28-19'!I10</f>
        <v>387.65999999999997</v>
      </c>
      <c r="J10" s="15">
        <f t="shared" si="1"/>
        <v>23454.629999999997</v>
      </c>
      <c r="K10" s="14">
        <f t="shared" si="2"/>
        <v>19286.370000000003</v>
      </c>
      <c r="L10" s="15">
        <f t="shared" si="0"/>
        <v>-8216.9200484999965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232.42</v>
      </c>
      <c r="E11" s="14">
        <v>3.7</v>
      </c>
      <c r="F11" s="14">
        <v>0</v>
      </c>
      <c r="G11" s="14">
        <v>0</v>
      </c>
      <c r="H11" s="15">
        <f>D11+F11+'11-28-19'!H11</f>
        <v>6304.16</v>
      </c>
      <c r="I11" s="15">
        <f>E11+G11+'11-28-19'!I11</f>
        <v>176.52</v>
      </c>
      <c r="J11" s="15">
        <f t="shared" si="1"/>
        <v>6480.68</v>
      </c>
      <c r="K11" s="14">
        <f t="shared" si="2"/>
        <v>16692.32</v>
      </c>
      <c r="L11" s="15">
        <f t="shared" si="0"/>
        <v>9092.9666206666643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D12+F12+'11-28-19'!H12</f>
        <v>891.37</v>
      </c>
      <c r="I12" s="15">
        <f>E12+G12+'11-28-19'!I12</f>
        <v>14.170000000000002</v>
      </c>
      <c r="J12" s="15">
        <f t="shared" si="1"/>
        <v>905.54</v>
      </c>
      <c r="K12" s="14">
        <f t="shared" si="2"/>
        <v>5094.46</v>
      </c>
      <c r="L12" s="15">
        <f t="shared" si="0"/>
        <v>4032.6087036666668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5714.1900000000005</v>
      </c>
      <c r="E13" s="15">
        <f t="shared" si="3"/>
        <v>91.33</v>
      </c>
      <c r="F13" s="15">
        <f t="shared" si="3"/>
        <v>0</v>
      </c>
      <c r="G13" s="15">
        <f t="shared" si="3"/>
        <v>0</v>
      </c>
      <c r="H13" s="15">
        <f t="shared" si="3"/>
        <v>74307.67</v>
      </c>
      <c r="I13" s="15">
        <f t="shared" si="3"/>
        <v>1433.08</v>
      </c>
      <c r="J13" s="14">
        <f t="shared" si="3"/>
        <v>75740.749999999985</v>
      </c>
      <c r="K13" s="14">
        <f t="shared" si="3"/>
        <v>118329.25000000001</v>
      </c>
      <c r="L13" s="15">
        <f t="shared" si="3"/>
        <v>29514.384204166665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D16+F16+'11-28-19'!H16</f>
        <v>0</v>
      </c>
      <c r="I16" s="15">
        <f>E16+G16+'11-28-19'!I16</f>
        <v>0</v>
      </c>
      <c r="J16" s="15">
        <f>H16+I16</f>
        <v>0</v>
      </c>
      <c r="K16" s="14">
        <f>C16-J16</f>
        <v>26923</v>
      </c>
      <c r="L16" s="15">
        <f t="shared" ref="L16:L18" si="4">C16-((J16/12)*26.0714)</f>
        <v>26923</v>
      </c>
    </row>
    <row r="17" spans="1:13" ht="11.45" customHeight="1" x14ac:dyDescent="0.25">
      <c r="A17" s="12" t="s">
        <v>16</v>
      </c>
      <c r="B17" s="13">
        <v>55160100</v>
      </c>
      <c r="C17" s="95">
        <v>16062</v>
      </c>
      <c r="D17" s="15">
        <v>189.75</v>
      </c>
      <c r="E17" s="15">
        <v>3.02</v>
      </c>
      <c r="F17" s="14">
        <v>0</v>
      </c>
      <c r="G17" s="14">
        <v>0</v>
      </c>
      <c r="H17" s="15">
        <f>D17+F17+'11-28-19'!H17</f>
        <v>3133.98</v>
      </c>
      <c r="I17" s="15">
        <f>E17+G17+'11-28-19'!I17</f>
        <v>67.22</v>
      </c>
      <c r="J17" s="15">
        <f>H17+I17</f>
        <v>3201.2</v>
      </c>
      <c r="K17" s="14">
        <f>C17-J17</f>
        <v>12860.8</v>
      </c>
      <c r="L17" s="15">
        <f t="shared" si="4"/>
        <v>9107.0195266666669</v>
      </c>
    </row>
    <row r="18" spans="1:13" ht="11.45" customHeight="1" x14ac:dyDescent="0.25">
      <c r="A18" s="40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D18+F18+'11-28-19'!H18</f>
        <v>738.14999999999986</v>
      </c>
      <c r="I18" s="15">
        <f>E18+G18+'11-28-19'!I18</f>
        <v>11.749999999999998</v>
      </c>
      <c r="J18" s="15">
        <f>H18+I18</f>
        <v>749.89999999999986</v>
      </c>
      <c r="K18" s="14">
        <f>C18-J18</f>
        <v>1276.1000000000001</v>
      </c>
      <c r="L18" s="15">
        <f t="shared" si="4"/>
        <v>396.75476166666704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189.75</v>
      </c>
      <c r="E19" s="15">
        <f t="shared" si="5"/>
        <v>3.02</v>
      </c>
      <c r="F19" s="15">
        <f t="shared" si="5"/>
        <v>0</v>
      </c>
      <c r="G19" s="15">
        <f t="shared" si="5"/>
        <v>0</v>
      </c>
      <c r="H19" s="15">
        <f t="shared" si="5"/>
        <v>3872.13</v>
      </c>
      <c r="I19" s="15">
        <f t="shared" si="5"/>
        <v>78.97</v>
      </c>
      <c r="J19" s="14">
        <f t="shared" si="5"/>
        <v>3951.0999999999995</v>
      </c>
      <c r="K19" s="15">
        <f t="shared" si="5"/>
        <v>41059.9</v>
      </c>
      <c r="L19" s="15">
        <f t="shared" si="5"/>
        <v>36426.774288333341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40" t="s">
        <v>84</v>
      </c>
      <c r="B23" s="41">
        <v>55200000</v>
      </c>
      <c r="C23" s="95">
        <f>25000+150</f>
        <v>25150</v>
      </c>
      <c r="D23" s="14">
        <v>300</v>
      </c>
      <c r="E23" s="14">
        <v>4.8</v>
      </c>
      <c r="F23" s="14">
        <v>0</v>
      </c>
      <c r="G23" s="14">
        <v>0</v>
      </c>
      <c r="H23" s="15">
        <f>D23+F23+'11-28-19'!H23</f>
        <v>4335</v>
      </c>
      <c r="I23" s="15">
        <f>E23+G23+'11-28-19'!I23</f>
        <v>69.359999999999985</v>
      </c>
      <c r="J23" s="15">
        <f t="shared" si="7"/>
        <v>4404.3599999999997</v>
      </c>
      <c r="K23" s="14">
        <f t="shared" si="8"/>
        <v>20745.64</v>
      </c>
      <c r="L23" s="15">
        <f t="shared" ref="L23:L25" si="10">C23-((J23/12)*26.0714)</f>
        <v>15581.014058000001</v>
      </c>
      <c r="M23" s="44"/>
    </row>
    <row r="24" spans="1:13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600.44000000000005</v>
      </c>
      <c r="E24" s="48">
        <v>9.6</v>
      </c>
      <c r="F24" s="48">
        <v>110.4</v>
      </c>
      <c r="G24" s="48">
        <v>6.28</v>
      </c>
      <c r="H24" s="15">
        <f>D24+F24+'11-28-19'!H24</f>
        <v>5194.66</v>
      </c>
      <c r="I24" s="15">
        <f>E24+G24+'11-28-19'!I24</f>
        <v>104.89999999999999</v>
      </c>
      <c r="J24" s="15">
        <f t="shared" si="7"/>
        <v>5299.5599999999995</v>
      </c>
      <c r="K24" s="14">
        <f t="shared" si="8"/>
        <v>9200.44</v>
      </c>
      <c r="L24" s="15">
        <f t="shared" si="10"/>
        <v>2986.0876180000014</v>
      </c>
    </row>
    <row r="25" spans="1:13" s="43" customFormat="1" ht="10.9" customHeight="1" x14ac:dyDescent="0.25">
      <c r="A25" s="118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192</v>
      </c>
      <c r="G25" s="48">
        <v>10.93</v>
      </c>
      <c r="H25" s="15">
        <f>D25+F25+'11-28-19'!H25</f>
        <v>1488</v>
      </c>
      <c r="I25" s="15">
        <f>E25+G25+'11-28-19'!I25</f>
        <v>84.77000000000001</v>
      </c>
      <c r="J25" s="15">
        <f>H25+I25</f>
        <v>1572.77</v>
      </c>
      <c r="K25" s="14">
        <f>C25-J25</f>
        <v>3698.7599999999998</v>
      </c>
      <c r="L25" s="15">
        <f t="shared" si="10"/>
        <v>1854.5036851666664</v>
      </c>
    </row>
    <row r="26" spans="1:13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900.44</v>
      </c>
      <c r="E26" s="49">
        <f t="shared" si="11"/>
        <v>14.399999999999999</v>
      </c>
      <c r="F26" s="49">
        <f t="shared" si="11"/>
        <v>302.39999999999998</v>
      </c>
      <c r="G26" s="49">
        <f t="shared" si="11"/>
        <v>17.21</v>
      </c>
      <c r="H26" s="49">
        <f t="shared" si="11"/>
        <v>11017.66</v>
      </c>
      <c r="I26" s="49">
        <f t="shared" si="11"/>
        <v>259.02999999999997</v>
      </c>
      <c r="J26" s="49">
        <f t="shared" si="11"/>
        <v>11276.689999999999</v>
      </c>
      <c r="K26" s="49">
        <f t="shared" si="11"/>
        <v>33644.840000000004</v>
      </c>
      <c r="L26" s="50">
        <f>SUM(L23:L25)</f>
        <v>20421.605361166668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6804.380000000001</v>
      </c>
      <c r="E29" s="50">
        <f t="shared" si="12"/>
        <v>108.75</v>
      </c>
      <c r="F29" s="50">
        <f t="shared" si="12"/>
        <v>302.39999999999998</v>
      </c>
      <c r="G29" s="50">
        <f t="shared" si="12"/>
        <v>17.21</v>
      </c>
      <c r="H29" s="50">
        <f t="shared" si="12"/>
        <v>89197.46</v>
      </c>
      <c r="I29" s="50">
        <f t="shared" si="12"/>
        <v>1771.08</v>
      </c>
      <c r="J29" s="50">
        <f t="shared" si="12"/>
        <v>90968.54</v>
      </c>
      <c r="K29" s="50">
        <f t="shared" si="12"/>
        <v>193033.99000000002</v>
      </c>
      <c r="L29" s="50">
        <f t="shared" si="12"/>
        <v>86362.763853666678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18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D32+F32+'11-28-19'!H32</f>
        <v>0</v>
      </c>
      <c r="I32" s="15">
        <f>E32+G32+'11-28-19'!I32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C32-((J32/12)*26.0714)</f>
        <v>600.30999999999995</v>
      </c>
    </row>
    <row r="33" spans="1:13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45</v>
      </c>
      <c r="E33" s="15">
        <v>0.72</v>
      </c>
      <c r="F33" s="15">
        <v>0</v>
      </c>
      <c r="G33" s="15">
        <v>0</v>
      </c>
      <c r="H33" s="15">
        <f>D33+F33+'11-28-19'!H33</f>
        <v>228.75</v>
      </c>
      <c r="I33" s="15">
        <f>E33+G33+'11-28-19'!I33</f>
        <v>3.66</v>
      </c>
      <c r="J33" s="14">
        <f t="shared" si="13"/>
        <v>232.41</v>
      </c>
      <c r="K33" s="15">
        <f t="shared" si="14"/>
        <v>11767.59</v>
      </c>
      <c r="L33" s="15">
        <f t="shared" si="15"/>
        <v>11495.0621605</v>
      </c>
      <c r="M33" s="25"/>
    </row>
    <row r="34" spans="1:13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D34+F34+'11-28-19'!H34</f>
        <v>277.20000000000005</v>
      </c>
      <c r="I34" s="15">
        <f>E34+G34+'11-28-19'!I34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128.78504283333325</v>
      </c>
    </row>
    <row r="35" spans="1:13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315.64999999999998</v>
      </c>
      <c r="E35" s="15">
        <v>5.03</v>
      </c>
      <c r="F35" s="15">
        <v>0</v>
      </c>
      <c r="G35" s="15">
        <v>0</v>
      </c>
      <c r="H35" s="15">
        <f>D35+F35+'11-28-19'!H35</f>
        <v>2157.63</v>
      </c>
      <c r="I35" s="15">
        <f>E35+G35+'11-28-19'!I35</f>
        <v>34.47</v>
      </c>
      <c r="J35" s="15">
        <f t="shared" si="13"/>
        <v>2192.1</v>
      </c>
      <c r="K35" s="15">
        <f t="shared" si="14"/>
        <v>4161.75</v>
      </c>
      <c r="L35" s="15">
        <f t="shared" si="15"/>
        <v>1591.2570050000004</v>
      </c>
      <c r="M35" s="25"/>
    </row>
    <row r="36" spans="1:13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121.86</v>
      </c>
      <c r="E36" s="14">
        <v>1.93</v>
      </c>
      <c r="F36" s="14">
        <v>600</v>
      </c>
      <c r="G36" s="14">
        <v>34.200000000000003</v>
      </c>
      <c r="H36" s="15">
        <f>D36+F36+'11-28-19'!H36</f>
        <v>4157.79</v>
      </c>
      <c r="I36" s="15">
        <f>E36+G36+'11-28-19'!I36</f>
        <v>177.15</v>
      </c>
      <c r="J36" s="15">
        <f t="shared" si="13"/>
        <v>4334.9399999999996</v>
      </c>
      <c r="K36" s="117">
        <f t="shared" si="14"/>
        <v>-2291.9399999999996</v>
      </c>
      <c r="L36" s="15">
        <f t="shared" si="15"/>
        <v>-7375.1628929999988</v>
      </c>
    </row>
    <row r="37" spans="1:13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195</v>
      </c>
      <c r="E37" s="14">
        <v>3.12</v>
      </c>
      <c r="F37" s="14">
        <v>0</v>
      </c>
      <c r="G37" s="14">
        <v>0</v>
      </c>
      <c r="H37" s="15">
        <f>D37+F37+'11-28-19'!H37</f>
        <v>2324.0699999999997</v>
      </c>
      <c r="I37" s="15">
        <f>E37+G37+'11-28-19'!I37</f>
        <v>37.15</v>
      </c>
      <c r="J37" s="15">
        <f t="shared" si="13"/>
        <v>2361.2199999999998</v>
      </c>
      <c r="K37" s="14">
        <f t="shared" si="14"/>
        <v>388.7800000000002</v>
      </c>
      <c r="L37" s="15">
        <f t="shared" si="15"/>
        <v>-2380.0259256666659</v>
      </c>
    </row>
    <row r="38" spans="1:13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645</v>
      </c>
      <c r="E38" s="15">
        <v>10.32</v>
      </c>
      <c r="F38" s="15">
        <v>0</v>
      </c>
      <c r="G38" s="15">
        <v>0</v>
      </c>
      <c r="H38" s="15">
        <f>D38+F38+'11-28-19'!H38</f>
        <v>5313.75</v>
      </c>
      <c r="I38" s="15">
        <f>E38+G38+'11-28-19'!I38</f>
        <v>85.009999999999991</v>
      </c>
      <c r="J38" s="15">
        <f t="shared" si="13"/>
        <v>5398.76</v>
      </c>
      <c r="K38" s="15">
        <f t="shared" si="14"/>
        <v>6968.1399999999994</v>
      </c>
      <c r="L38" s="15">
        <f t="shared" si="15"/>
        <v>637.46404466666536</v>
      </c>
    </row>
    <row r="39" spans="1:13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D39+F39+'11-28-19'!H39</f>
        <v>1184.4000000000001</v>
      </c>
      <c r="I39" s="15">
        <f>E39+G39+'11-28-19'!I39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12500.122921166667</v>
      </c>
    </row>
    <row r="40" spans="1:13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1322.51</v>
      </c>
      <c r="E40" s="15">
        <f>SUM(E32:E39)</f>
        <v>21.12</v>
      </c>
      <c r="F40" s="15">
        <f>SUM(F32:F39)</f>
        <v>600</v>
      </c>
      <c r="G40" s="15">
        <f>SUM(G32:G39)</f>
        <v>34.200000000000003</v>
      </c>
      <c r="H40" s="15">
        <f>SUM(H32, H33:H39)</f>
        <v>15643.589999999998</v>
      </c>
      <c r="I40" s="15">
        <f>SUM(I32, I33:I39)</f>
        <v>420.71999999999997</v>
      </c>
      <c r="J40" s="15">
        <f>SUM(J32, J33:J39)</f>
        <v>16064.31</v>
      </c>
      <c r="K40" s="15">
        <f>SUM(K32, K33:K39)</f>
        <v>36035.090000000004</v>
      </c>
      <c r="L40" s="15">
        <f>SUM(L32, L33:L39)</f>
        <v>17197.812355499998</v>
      </c>
    </row>
    <row r="41" spans="1:13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f>154.74+930.05</f>
        <v>1084.79</v>
      </c>
      <c r="E43" s="14">
        <f>2.47+14.87</f>
        <v>17.34</v>
      </c>
      <c r="F43" s="14">
        <v>992.27</v>
      </c>
      <c r="G43" s="14">
        <v>56.55</v>
      </c>
      <c r="H43" s="15">
        <f>D43+F43+'11-28-19'!H43</f>
        <v>21692.350000000002</v>
      </c>
      <c r="I43" s="15">
        <f>E43+G43+'11-28-19'!I43</f>
        <v>769.12</v>
      </c>
      <c r="J43" s="15">
        <f>H43+I43</f>
        <v>22461.47</v>
      </c>
      <c r="K43" s="14">
        <f>C43-J43</f>
        <v>40121.53</v>
      </c>
      <c r="L43" s="15">
        <f>C43-((J43/12)*26.0714)</f>
        <v>13782.835920166668</v>
      </c>
    </row>
    <row r="44" spans="1:13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1084.79</v>
      </c>
      <c r="E44" s="59">
        <f t="shared" si="16"/>
        <v>17.34</v>
      </c>
      <c r="F44" s="59">
        <f t="shared" si="16"/>
        <v>992.27</v>
      </c>
      <c r="G44" s="59">
        <f t="shared" si="16"/>
        <v>56.55</v>
      </c>
      <c r="H44" s="59">
        <f t="shared" si="16"/>
        <v>21692.350000000002</v>
      </c>
      <c r="I44" s="59">
        <f t="shared" si="16"/>
        <v>769.12</v>
      </c>
      <c r="J44" s="59">
        <f t="shared" si="16"/>
        <v>22461.47</v>
      </c>
      <c r="K44" s="59">
        <f t="shared" si="16"/>
        <v>40121.53</v>
      </c>
      <c r="L44" s="59">
        <f t="shared" si="16"/>
        <v>13782.835920166668</v>
      </c>
    </row>
    <row r="45" spans="1:13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292.39999999999998</v>
      </c>
      <c r="G47" s="14">
        <v>16.66</v>
      </c>
      <c r="H47" s="15">
        <f>D47+F47+'11-28-19'!H47</f>
        <v>4986.45</v>
      </c>
      <c r="I47" s="15">
        <f>E47+G47+'11-28-19'!I47</f>
        <v>284.17</v>
      </c>
      <c r="J47" s="15">
        <f>H47+I47</f>
        <v>5270.62</v>
      </c>
      <c r="K47" s="14">
        <f>C47-J47</f>
        <v>32465.38</v>
      </c>
      <c r="L47" s="15">
        <f>C47-((J47/12)*26.0714)</f>
        <v>26284.963144333335</v>
      </c>
    </row>
    <row r="48" spans="1:13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292.39999999999998</v>
      </c>
      <c r="G48" s="15">
        <f t="shared" si="17"/>
        <v>16.66</v>
      </c>
      <c r="H48" s="15">
        <f t="shared" si="17"/>
        <v>4986.45</v>
      </c>
      <c r="I48" s="15">
        <f t="shared" si="17"/>
        <v>284.17</v>
      </c>
      <c r="J48" s="15">
        <f t="shared" si="17"/>
        <v>5270.62</v>
      </c>
      <c r="K48" s="15">
        <f t="shared" si="17"/>
        <v>32465.38</v>
      </c>
      <c r="L48" s="15">
        <f t="shared" si="17"/>
        <v>26284.963144333335</v>
      </c>
    </row>
    <row r="49" spans="1:12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</row>
    <row r="51" spans="1:12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</row>
    <row r="52" spans="1:12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</row>
    <row r="54" spans="1:12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16">
        <v>2624</v>
      </c>
    </row>
    <row r="55" spans="1:12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</row>
    <row r="56" spans="1:12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</row>
    <row r="57" spans="1:12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</row>
    <row r="58" spans="1:12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</row>
    <row r="59" spans="1:12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</row>
    <row r="60" spans="1:12" ht="10.5" customHeight="1" x14ac:dyDescent="0.25">
      <c r="A60" s="205" t="s">
        <v>77</v>
      </c>
      <c r="B60" s="205"/>
      <c r="C60" s="205"/>
      <c r="D60" s="205"/>
      <c r="E60" s="205"/>
      <c r="F60" s="205"/>
      <c r="G60" s="83">
        <v>800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243.88</v>
      </c>
    </row>
    <row r="62" spans="1:12" ht="10.5" customHeight="1" x14ac:dyDescent="0.25">
      <c r="A62" s="205" t="s">
        <v>78</v>
      </c>
      <c r="B62" s="205"/>
      <c r="C62" s="205"/>
      <c r="D62" s="205"/>
      <c r="E62" s="205"/>
      <c r="F62" s="205"/>
      <c r="G62" s="83">
        <v>200</v>
      </c>
    </row>
    <row r="63" spans="1:12" ht="10.5" customHeight="1" x14ac:dyDescent="0.25">
      <c r="A63" s="205" t="s">
        <v>81</v>
      </c>
      <c r="B63" s="205"/>
      <c r="C63" s="205"/>
      <c r="D63" s="205"/>
      <c r="E63" s="205"/>
      <c r="F63" s="205"/>
      <c r="G63" s="83">
        <v>150</v>
      </c>
    </row>
    <row r="64" spans="1:12" ht="10.5" customHeight="1" x14ac:dyDescent="0.25">
      <c r="A64" s="205" t="s">
        <v>82</v>
      </c>
      <c r="B64" s="205"/>
      <c r="C64" s="205"/>
      <c r="D64" s="205"/>
      <c r="E64" s="205"/>
      <c r="F64" s="205"/>
      <c r="G64" s="83">
        <v>243.88</v>
      </c>
    </row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</sheetData>
  <mergeCells count="21">
    <mergeCell ref="A62:F62"/>
    <mergeCell ref="A63:F63"/>
    <mergeCell ref="A64:F64"/>
    <mergeCell ref="A56:F56"/>
    <mergeCell ref="A57:F57"/>
    <mergeCell ref="A58:F58"/>
    <mergeCell ref="A59:F59"/>
    <mergeCell ref="A60:F60"/>
    <mergeCell ref="A61:F61"/>
    <mergeCell ref="A55:F55"/>
    <mergeCell ref="A13:B13"/>
    <mergeCell ref="A19:B19"/>
    <mergeCell ref="A26:B26"/>
    <mergeCell ref="A29:B29"/>
    <mergeCell ref="A40:B40"/>
    <mergeCell ref="A48:B48"/>
    <mergeCell ref="A50:F50"/>
    <mergeCell ref="A51:F51"/>
    <mergeCell ref="A52:F52"/>
    <mergeCell ref="A53:F53"/>
    <mergeCell ref="A54:F54"/>
  </mergeCells>
  <pageMargins left="0.25" right="0" top="0.4" bottom="0" header="0.3" footer="0"/>
  <pageSetup scale="9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C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85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</f>
        <v>3619.88</v>
      </c>
      <c r="D3" s="15">
        <v>0</v>
      </c>
      <c r="E3" s="15">
        <v>0</v>
      </c>
      <c r="F3" s="15">
        <v>0</v>
      </c>
      <c r="G3" s="15">
        <v>0</v>
      </c>
      <c r="H3" s="15">
        <f>D3+F3+'12-12-19'!H3</f>
        <v>3483.6000000000004</v>
      </c>
      <c r="I3" s="15">
        <f>E3+G3+'12-12-19'!I3</f>
        <v>157.35</v>
      </c>
      <c r="J3" s="15">
        <f>H3+I3</f>
        <v>3640.9500000000003</v>
      </c>
      <c r="K3" s="107">
        <f>C3-J3</f>
        <v>-21.070000000000164</v>
      </c>
      <c r="L3" s="15">
        <f>C3-((J3/13)*26.0714)</f>
        <v>-3682.0172176923079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D4+F4+'12-12-19'!H4</f>
        <v>0</v>
      </c>
      <c r="I4" s="15">
        <f>E4+G4+'12-12-19'!I4</f>
        <v>0</v>
      </c>
      <c r="J4" s="15">
        <f>H4+I4</f>
        <v>0</v>
      </c>
      <c r="K4" s="15">
        <f>C4-J4</f>
        <v>3229</v>
      </c>
      <c r="L4" s="15">
        <f t="shared" ref="L4:L12" si="0">C4-((J4/13)*26.0714)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59.23</v>
      </c>
      <c r="E5" s="21">
        <v>0.94</v>
      </c>
      <c r="F5" s="21">
        <v>0</v>
      </c>
      <c r="G5" s="21">
        <v>0</v>
      </c>
      <c r="H5" s="15">
        <f>D5+F5+'12-12-19'!H5</f>
        <v>6866.9199999999992</v>
      </c>
      <c r="I5" s="15">
        <f>E5+G5+'12-12-19'!I5</f>
        <v>127.9</v>
      </c>
      <c r="J5" s="15">
        <f t="shared" ref="J5:J12" si="1">H5+I5</f>
        <v>6994.8199999999988</v>
      </c>
      <c r="K5" s="14">
        <f t="shared" ref="K5:K12" si="2">C5-J5</f>
        <v>17654.18</v>
      </c>
      <c r="L5" s="15">
        <f t="shared" si="0"/>
        <v>10620.942296307696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37.229999999999997</v>
      </c>
      <c r="E6" s="14">
        <v>0.59</v>
      </c>
      <c r="F6" s="14">
        <v>0</v>
      </c>
      <c r="G6" s="14">
        <v>0</v>
      </c>
      <c r="H6" s="15">
        <f>D6+F6+'12-12-19'!H6</f>
        <v>6110.3099999999986</v>
      </c>
      <c r="I6" s="15">
        <f>E6+G6+'12-12-19'!I6</f>
        <v>101.32</v>
      </c>
      <c r="J6" s="15">
        <f t="shared" si="1"/>
        <v>6211.6299999999983</v>
      </c>
      <c r="K6" s="14">
        <f t="shared" si="2"/>
        <v>11762.370000000003</v>
      </c>
      <c r="L6" s="15">
        <f t="shared" si="0"/>
        <v>5516.6238167692336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v>93.2</v>
      </c>
      <c r="E7" s="14">
        <v>1.49</v>
      </c>
      <c r="F7" s="14">
        <v>0</v>
      </c>
      <c r="G7" s="14">
        <v>0</v>
      </c>
      <c r="H7" s="15">
        <f>D7+F7+'12-12-19'!H7</f>
        <v>8441.77</v>
      </c>
      <c r="I7" s="15">
        <f>E7+G7+'12-12-19'!I7</f>
        <v>134.92000000000002</v>
      </c>
      <c r="J7" s="15">
        <f t="shared" si="1"/>
        <v>8576.69</v>
      </c>
      <c r="K7" s="14">
        <f t="shared" si="2"/>
        <v>9397.31</v>
      </c>
      <c r="L7" s="15">
        <f t="shared" si="0"/>
        <v>773.51417953845885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63.4</v>
      </c>
      <c r="E8" s="14">
        <v>1.01</v>
      </c>
      <c r="F8" s="14">
        <v>0</v>
      </c>
      <c r="G8" s="14">
        <v>0</v>
      </c>
      <c r="H8" s="15">
        <f>D8+F8+'12-12-19'!H8</f>
        <v>8682.6200000000026</v>
      </c>
      <c r="I8" s="15">
        <f>E8+G8+'12-12-19'!I8</f>
        <v>138.82999999999998</v>
      </c>
      <c r="J8" s="15">
        <f t="shared" si="1"/>
        <v>8821.4500000000025</v>
      </c>
      <c r="K8" s="14">
        <f t="shared" si="2"/>
        <v>15508.549999999997</v>
      </c>
      <c r="L8" s="15">
        <f t="shared" si="0"/>
        <v>6638.6498823076872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v>94.08</v>
      </c>
      <c r="E9" s="14">
        <v>1.5</v>
      </c>
      <c r="F9" s="14">
        <v>0</v>
      </c>
      <c r="G9" s="14">
        <v>0</v>
      </c>
      <c r="H9" s="15">
        <f>D9+F9+'12-12-19'!H9</f>
        <v>14290.69</v>
      </c>
      <c r="I9" s="15">
        <f>E9+G9+'12-12-19'!I9</f>
        <v>357.28999999999996</v>
      </c>
      <c r="J9" s="15">
        <f t="shared" si="1"/>
        <v>14647.98</v>
      </c>
      <c r="K9" s="14">
        <f t="shared" si="2"/>
        <v>19352.02</v>
      </c>
      <c r="L9" s="15">
        <f t="shared" si="0"/>
        <v>4623.5887867692327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861.36</v>
      </c>
      <c r="E10" s="14">
        <v>13.78</v>
      </c>
      <c r="F10" s="14">
        <v>0</v>
      </c>
      <c r="G10" s="14">
        <v>0</v>
      </c>
      <c r="H10" s="15">
        <f>D10+F10+'12-12-19'!H10</f>
        <v>23928.329999999998</v>
      </c>
      <c r="I10" s="15">
        <f>E10+G10+'12-12-19'!I10</f>
        <v>401.43999999999994</v>
      </c>
      <c r="J10" s="15">
        <f t="shared" si="1"/>
        <v>24329.769999999997</v>
      </c>
      <c r="K10" s="14">
        <f t="shared" si="2"/>
        <v>18411.230000000003</v>
      </c>
      <c r="L10" s="15">
        <f t="shared" si="0"/>
        <v>-6052.1665829230697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0</v>
      </c>
      <c r="E11" s="14">
        <v>0</v>
      </c>
      <c r="F11" s="14">
        <v>0</v>
      </c>
      <c r="G11" s="14">
        <v>0</v>
      </c>
      <c r="H11" s="15">
        <f>D11+F11+'12-12-19'!H11</f>
        <v>6304.16</v>
      </c>
      <c r="I11" s="15">
        <f>E11+G11+'12-12-19'!I11</f>
        <v>176.52</v>
      </c>
      <c r="J11" s="15">
        <f t="shared" si="1"/>
        <v>6480.68</v>
      </c>
      <c r="K11" s="14">
        <f t="shared" si="2"/>
        <v>16692.32</v>
      </c>
      <c r="L11" s="15">
        <f t="shared" si="0"/>
        <v>10176.046111384614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D12+F12+'12-12-19'!H12</f>
        <v>891.37</v>
      </c>
      <c r="I12" s="15">
        <f>E12+G12+'12-12-19'!I12</f>
        <v>14.170000000000002</v>
      </c>
      <c r="J12" s="15">
        <f t="shared" si="1"/>
        <v>905.54</v>
      </c>
      <c r="K12" s="14">
        <f t="shared" si="2"/>
        <v>5094.46</v>
      </c>
      <c r="L12" s="15">
        <f t="shared" si="0"/>
        <v>4183.9464956923075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1208.5</v>
      </c>
      <c r="E13" s="15">
        <f t="shared" si="3"/>
        <v>19.309999999999999</v>
      </c>
      <c r="F13" s="15">
        <f t="shared" si="3"/>
        <v>0</v>
      </c>
      <c r="G13" s="15">
        <f t="shared" si="3"/>
        <v>0</v>
      </c>
      <c r="H13" s="15">
        <f t="shared" si="3"/>
        <v>75516.17</v>
      </c>
      <c r="I13" s="15">
        <f t="shared" si="3"/>
        <v>1452.3899999999999</v>
      </c>
      <c r="J13" s="14">
        <f t="shared" si="3"/>
        <v>76968.559999999983</v>
      </c>
      <c r="K13" s="14">
        <f t="shared" si="3"/>
        <v>117101.44000000002</v>
      </c>
      <c r="L13" s="15">
        <f t="shared" si="3"/>
        <v>39710.144985846156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D16+F16+'12-12-19'!H16</f>
        <v>0</v>
      </c>
      <c r="I16" s="15">
        <f>E16+G16+'12-12-19'!I16</f>
        <v>0</v>
      </c>
      <c r="J16" s="15">
        <f>H16+I16</f>
        <v>0</v>
      </c>
      <c r="K16" s="14">
        <f>C16-J16</f>
        <v>26923</v>
      </c>
      <c r="L16" s="15">
        <f t="shared" ref="L16:L18" si="4">C16-((J16/13)*26.0714)</f>
        <v>26923</v>
      </c>
    </row>
    <row r="17" spans="1:13" ht="11.45" customHeight="1" x14ac:dyDescent="0.25">
      <c r="A17" s="12" t="s">
        <v>16</v>
      </c>
      <c r="B17" s="13">
        <v>55160100</v>
      </c>
      <c r="C17" s="95">
        <v>16062</v>
      </c>
      <c r="D17" s="15">
        <v>27.6</v>
      </c>
      <c r="E17" s="15">
        <v>0.44</v>
      </c>
      <c r="F17" s="14">
        <v>0</v>
      </c>
      <c r="G17" s="14">
        <v>0</v>
      </c>
      <c r="H17" s="15">
        <f>D17+F17+'12-12-19'!H17</f>
        <v>3161.58</v>
      </c>
      <c r="I17" s="15">
        <f>E17+G17+'12-12-19'!I17</f>
        <v>67.66</v>
      </c>
      <c r="J17" s="15">
        <f>H17+I17</f>
        <v>3229.24</v>
      </c>
      <c r="K17" s="14">
        <f>C17-J17</f>
        <v>12832.76</v>
      </c>
      <c r="L17" s="15">
        <f t="shared" si="4"/>
        <v>9585.7840203076921</v>
      </c>
    </row>
    <row r="18" spans="1:13" ht="11.45" customHeight="1" x14ac:dyDescent="0.25">
      <c r="A18" s="40" t="s">
        <v>17</v>
      </c>
      <c r="B18" s="41">
        <v>55100100</v>
      </c>
      <c r="C18" s="95">
        <v>2026</v>
      </c>
      <c r="D18" s="14">
        <v>57.11</v>
      </c>
      <c r="E18" s="14">
        <v>0.91</v>
      </c>
      <c r="F18" s="14">
        <v>0</v>
      </c>
      <c r="G18" s="14">
        <v>0</v>
      </c>
      <c r="H18" s="15">
        <f>D18+F18+'12-12-19'!H18</f>
        <v>795.25999999999988</v>
      </c>
      <c r="I18" s="15">
        <f>E18+G18+'12-12-19'!I18</f>
        <v>12.659999999999998</v>
      </c>
      <c r="J18" s="15">
        <f>H18+I18</f>
        <v>807.91999999999985</v>
      </c>
      <c r="K18" s="14">
        <f>C18-J18</f>
        <v>1218.0800000000002</v>
      </c>
      <c r="L18" s="15">
        <f t="shared" si="4"/>
        <v>405.72265476923099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84.710000000000008</v>
      </c>
      <c r="E19" s="15">
        <f t="shared" si="5"/>
        <v>1.35</v>
      </c>
      <c r="F19" s="15">
        <f t="shared" si="5"/>
        <v>0</v>
      </c>
      <c r="G19" s="15">
        <f t="shared" si="5"/>
        <v>0</v>
      </c>
      <c r="H19" s="15">
        <f t="shared" si="5"/>
        <v>3956.8399999999997</v>
      </c>
      <c r="I19" s="15">
        <f t="shared" si="5"/>
        <v>80.319999999999993</v>
      </c>
      <c r="J19" s="14">
        <f t="shared" si="5"/>
        <v>4037.16</v>
      </c>
      <c r="K19" s="15">
        <f t="shared" si="5"/>
        <v>40973.840000000004</v>
      </c>
      <c r="L19" s="15">
        <f t="shared" si="5"/>
        <v>36914.506675076926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40" t="s">
        <v>84</v>
      </c>
      <c r="B23" s="41">
        <v>55200000</v>
      </c>
      <c r="C23" s="95">
        <f>25000+150</f>
        <v>25150</v>
      </c>
      <c r="D23" s="14">
        <v>0</v>
      </c>
      <c r="E23" s="14">
        <v>0</v>
      </c>
      <c r="F23" s="14">
        <v>0</v>
      </c>
      <c r="G23" s="14">
        <v>0</v>
      </c>
      <c r="H23" s="15">
        <f>D23+F23+'12-12-19'!H23</f>
        <v>4335</v>
      </c>
      <c r="I23" s="15">
        <f>E23+G23+'12-12-19'!I23</f>
        <v>69.359999999999985</v>
      </c>
      <c r="J23" s="15">
        <f t="shared" si="7"/>
        <v>4404.3599999999997</v>
      </c>
      <c r="K23" s="14">
        <f t="shared" si="8"/>
        <v>20745.64</v>
      </c>
      <c r="L23" s="15">
        <f t="shared" ref="L23:L25" si="10">C23-((J23/13)*26.0714)</f>
        <v>16317.089899692308</v>
      </c>
      <c r="M23" s="44"/>
    </row>
    <row r="24" spans="1:13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275.22000000000003</v>
      </c>
      <c r="E24" s="48">
        <v>4.4000000000000004</v>
      </c>
      <c r="F24" s="48">
        <v>0</v>
      </c>
      <c r="G24" s="48">
        <v>0</v>
      </c>
      <c r="H24" s="15">
        <f>D24+F24+'12-12-19'!H24</f>
        <v>5469.88</v>
      </c>
      <c r="I24" s="15">
        <f>E24+G24+'12-12-19'!I24</f>
        <v>109.3</v>
      </c>
      <c r="J24" s="15">
        <f t="shared" si="7"/>
        <v>5579.18</v>
      </c>
      <c r="K24" s="14">
        <f t="shared" si="8"/>
        <v>8920.82</v>
      </c>
      <c r="L24" s="15">
        <f t="shared" si="10"/>
        <v>3310.9974267692305</v>
      </c>
    </row>
    <row r="25" spans="1:13" s="43" customFormat="1" ht="10.9" customHeight="1" x14ac:dyDescent="0.25">
      <c r="A25" s="119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D25+F25+'12-12-19'!H25</f>
        <v>1488</v>
      </c>
      <c r="I25" s="15">
        <f>E25+G25+'12-12-19'!I25</f>
        <v>84.77000000000001</v>
      </c>
      <c r="J25" s="15">
        <f>H25+I25</f>
        <v>1572.77</v>
      </c>
      <c r="K25" s="14">
        <f>C25-J25</f>
        <v>3698.7599999999998</v>
      </c>
      <c r="L25" s="15">
        <f t="shared" si="10"/>
        <v>2117.3518632307691</v>
      </c>
    </row>
    <row r="26" spans="1:13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275.22000000000003</v>
      </c>
      <c r="E26" s="49">
        <f t="shared" si="11"/>
        <v>4.4000000000000004</v>
      </c>
      <c r="F26" s="49">
        <f t="shared" si="11"/>
        <v>0</v>
      </c>
      <c r="G26" s="49">
        <f t="shared" si="11"/>
        <v>0</v>
      </c>
      <c r="H26" s="49">
        <f t="shared" si="11"/>
        <v>11292.880000000001</v>
      </c>
      <c r="I26" s="49">
        <f t="shared" si="11"/>
        <v>263.42999999999995</v>
      </c>
      <c r="J26" s="49">
        <f t="shared" si="11"/>
        <v>11556.310000000001</v>
      </c>
      <c r="K26" s="49">
        <f t="shared" si="11"/>
        <v>33365.22</v>
      </c>
      <c r="L26" s="50">
        <f>SUM(L23:L25)</f>
        <v>21745.439189692304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1568.43</v>
      </c>
      <c r="E29" s="50">
        <f t="shared" si="12"/>
        <v>25.060000000000002</v>
      </c>
      <c r="F29" s="50">
        <f t="shared" si="12"/>
        <v>0</v>
      </c>
      <c r="G29" s="50">
        <f t="shared" si="12"/>
        <v>0</v>
      </c>
      <c r="H29" s="50">
        <f t="shared" si="12"/>
        <v>90765.89</v>
      </c>
      <c r="I29" s="50">
        <f t="shared" si="12"/>
        <v>1796.1399999999999</v>
      </c>
      <c r="J29" s="50">
        <f t="shared" si="12"/>
        <v>92562.029999999984</v>
      </c>
      <c r="K29" s="50">
        <f t="shared" si="12"/>
        <v>191440.50000000003</v>
      </c>
      <c r="L29" s="50">
        <f t="shared" si="12"/>
        <v>98370.090850615394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19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D32+F32+'12-12-19'!H32</f>
        <v>0</v>
      </c>
      <c r="I32" s="15">
        <f>E32+G32+'12-12-19'!I32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C32-((J32/13)*26.0714)</f>
        <v>600.30999999999995</v>
      </c>
    </row>
    <row r="33" spans="1:13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D33+F33+'12-12-19'!H33</f>
        <v>228.75</v>
      </c>
      <c r="I33" s="15">
        <f>E33+G33+'12-12-19'!I33</f>
        <v>3.66</v>
      </c>
      <c r="J33" s="14">
        <f t="shared" si="13"/>
        <v>232.41</v>
      </c>
      <c r="K33" s="15">
        <f t="shared" si="14"/>
        <v>11767.59</v>
      </c>
      <c r="L33" s="15">
        <f t="shared" si="15"/>
        <v>11533.903532769231</v>
      </c>
      <c r="M33" s="25"/>
    </row>
    <row r="34" spans="1:13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D34+F34+'12-12-19'!H34</f>
        <v>277.20000000000005</v>
      </c>
      <c r="I34" s="15">
        <f>E34+G34+'12-12-19'!I34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177.75080876923062</v>
      </c>
    </row>
    <row r="35" spans="1:13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0</v>
      </c>
      <c r="E35" s="15">
        <v>0</v>
      </c>
      <c r="F35" s="15">
        <v>0</v>
      </c>
      <c r="G35" s="15">
        <v>0</v>
      </c>
      <c r="H35" s="15">
        <f>D35+F35+'12-12-19'!H35</f>
        <v>2157.63</v>
      </c>
      <c r="I35" s="15">
        <f>E35+G35+'12-12-19'!I35</f>
        <v>34.47</v>
      </c>
      <c r="J35" s="15">
        <f t="shared" si="13"/>
        <v>2192.1</v>
      </c>
      <c r="K35" s="15">
        <f t="shared" si="14"/>
        <v>4161.75</v>
      </c>
      <c r="L35" s="15">
        <f t="shared" si="15"/>
        <v>1957.6103123076928</v>
      </c>
      <c r="M35" s="25"/>
    </row>
    <row r="36" spans="1:13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0</v>
      </c>
      <c r="E36" s="14">
        <v>0</v>
      </c>
      <c r="F36" s="14">
        <v>0</v>
      </c>
      <c r="G36" s="14">
        <v>0</v>
      </c>
      <c r="H36" s="15">
        <f>D36+F36+'12-12-19'!H36</f>
        <v>4157.79</v>
      </c>
      <c r="I36" s="15">
        <f>E36+G36+'12-12-19'!I36</f>
        <v>177.15</v>
      </c>
      <c r="J36" s="15">
        <f t="shared" si="13"/>
        <v>4334.9399999999996</v>
      </c>
      <c r="K36" s="117">
        <f t="shared" si="14"/>
        <v>-2291.9399999999996</v>
      </c>
      <c r="L36" s="15">
        <f t="shared" si="15"/>
        <v>-6650.6888243076919</v>
      </c>
    </row>
    <row r="37" spans="1:13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0</v>
      </c>
      <c r="E37" s="14">
        <v>0</v>
      </c>
      <c r="F37" s="14">
        <v>0</v>
      </c>
      <c r="G37" s="14">
        <v>0</v>
      </c>
      <c r="H37" s="15">
        <f>D37+F37+'12-12-19'!H37</f>
        <v>2324.0699999999997</v>
      </c>
      <c r="I37" s="15">
        <f>E37+G37+'12-12-19'!I37</f>
        <v>37.15</v>
      </c>
      <c r="J37" s="15">
        <f t="shared" si="13"/>
        <v>2361.2199999999998</v>
      </c>
      <c r="K37" s="14">
        <f t="shared" si="14"/>
        <v>388.7800000000002</v>
      </c>
      <c r="L37" s="15">
        <f t="shared" si="15"/>
        <v>-1985.4085467692303</v>
      </c>
    </row>
    <row r="38" spans="1:13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315</v>
      </c>
      <c r="E38" s="15">
        <v>5.04</v>
      </c>
      <c r="F38" s="15">
        <v>0</v>
      </c>
      <c r="G38" s="15">
        <v>0</v>
      </c>
      <c r="H38" s="15">
        <f>D38+F38+'12-12-19'!H38</f>
        <v>5628.75</v>
      </c>
      <c r="I38" s="15">
        <f>E38+G38+'12-12-19'!I38</f>
        <v>90.05</v>
      </c>
      <c r="J38" s="15">
        <f t="shared" si="13"/>
        <v>5718.8</v>
      </c>
      <c r="K38" s="15">
        <f t="shared" si="14"/>
        <v>6648.0999999999995</v>
      </c>
      <c r="L38" s="15">
        <f t="shared" si="15"/>
        <v>897.89059076922968</v>
      </c>
    </row>
    <row r="39" spans="1:13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840</v>
      </c>
      <c r="G39" s="15">
        <v>47.88</v>
      </c>
      <c r="H39" s="15">
        <f>D39+F39+'12-12-19'!H39</f>
        <v>2024.4</v>
      </c>
      <c r="I39" s="15">
        <f>E39+G39+'12-12-19'!I39</f>
        <v>115.37</v>
      </c>
      <c r="J39" s="15">
        <f>H39+I39</f>
        <v>2139.77</v>
      </c>
      <c r="K39" s="14">
        <f>C39-J39</f>
        <v>13080.23</v>
      </c>
      <c r="L39" s="15">
        <f t="shared" si="15"/>
        <v>10928.70772476923</v>
      </c>
    </row>
    <row r="40" spans="1:13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315</v>
      </c>
      <c r="E40" s="15">
        <f>SUM(E32:E39)</f>
        <v>5.04</v>
      </c>
      <c r="F40" s="15">
        <f>SUM(F32:F39)</f>
        <v>840</v>
      </c>
      <c r="G40" s="15">
        <f>SUM(G32:G39)</f>
        <v>47.88</v>
      </c>
      <c r="H40" s="15">
        <f>SUM(H32, H33:H39)</f>
        <v>16798.59</v>
      </c>
      <c r="I40" s="15">
        <f>SUM(I32, I33:I39)</f>
        <v>473.64</v>
      </c>
      <c r="J40" s="15">
        <f>SUM(J32, J33:J39)</f>
        <v>17272.23</v>
      </c>
      <c r="K40" s="15">
        <f>SUM(K32, K33:K39)</f>
        <v>34827.17</v>
      </c>
      <c r="L40" s="15">
        <f>SUM(L32, L33:L39)</f>
        <v>17460.075598307692</v>
      </c>
    </row>
    <row r="41" spans="1:13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547.27</v>
      </c>
      <c r="E43" s="14">
        <v>8.75</v>
      </c>
      <c r="F43" s="14">
        <v>674.16</v>
      </c>
      <c r="G43" s="14">
        <v>38.42</v>
      </c>
      <c r="H43" s="15">
        <f>D43+F43+'12-12-19'!H43</f>
        <v>22913.780000000002</v>
      </c>
      <c r="I43" s="15">
        <f>E43+G43+'12-12-19'!I43</f>
        <v>816.29</v>
      </c>
      <c r="J43" s="15">
        <f>H43+I43</f>
        <v>23730.070000000003</v>
      </c>
      <c r="K43" s="14">
        <f>C43-J43</f>
        <v>38852.929999999993</v>
      </c>
      <c r="L43" s="15">
        <f>C43-((J43/13)*26.0714)</f>
        <v>14992.527153999989</v>
      </c>
    </row>
    <row r="44" spans="1:13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547.27</v>
      </c>
      <c r="E44" s="59">
        <f t="shared" si="16"/>
        <v>8.75</v>
      </c>
      <c r="F44" s="59">
        <f t="shared" si="16"/>
        <v>674.16</v>
      </c>
      <c r="G44" s="59">
        <f t="shared" si="16"/>
        <v>38.42</v>
      </c>
      <c r="H44" s="59">
        <f t="shared" si="16"/>
        <v>22913.780000000002</v>
      </c>
      <c r="I44" s="59">
        <f t="shared" si="16"/>
        <v>816.29</v>
      </c>
      <c r="J44" s="59">
        <f t="shared" si="16"/>
        <v>23730.070000000003</v>
      </c>
      <c r="K44" s="59">
        <f t="shared" si="16"/>
        <v>38852.929999999993</v>
      </c>
      <c r="L44" s="59">
        <f t="shared" si="16"/>
        <v>14992.527153999989</v>
      </c>
    </row>
    <row r="45" spans="1:13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292.39999999999998</v>
      </c>
      <c r="G47" s="14">
        <v>16.66</v>
      </c>
      <c r="H47" s="15">
        <f>D47+F47+'12-12-19'!H47</f>
        <v>5278.8499999999995</v>
      </c>
      <c r="I47" s="15">
        <f>E47+G47+'12-12-19'!I47</f>
        <v>300.83000000000004</v>
      </c>
      <c r="J47" s="15">
        <f>H47+I47</f>
        <v>5579.6799999999994</v>
      </c>
      <c r="K47" s="14">
        <f>C47-J47</f>
        <v>32156.32</v>
      </c>
      <c r="L47" s="15">
        <f>C47-((J47/13)*26.0714)</f>
        <v>26545.994680615386</v>
      </c>
    </row>
    <row r="48" spans="1:13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292.39999999999998</v>
      </c>
      <c r="G48" s="15">
        <f t="shared" si="17"/>
        <v>16.66</v>
      </c>
      <c r="H48" s="15">
        <f t="shared" si="17"/>
        <v>5278.8499999999995</v>
      </c>
      <c r="I48" s="15">
        <f t="shared" si="17"/>
        <v>300.83000000000004</v>
      </c>
      <c r="J48" s="15">
        <f t="shared" si="17"/>
        <v>5579.6799999999994</v>
      </c>
      <c r="K48" s="15">
        <f t="shared" si="17"/>
        <v>32156.32</v>
      </c>
      <c r="L48" s="15">
        <f t="shared" si="17"/>
        <v>26545.994680615386</v>
      </c>
    </row>
    <row r="49" spans="1:12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</row>
    <row r="51" spans="1:12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</row>
    <row r="52" spans="1:12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</row>
    <row r="54" spans="1:12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16">
        <v>2624</v>
      </c>
    </row>
    <row r="55" spans="1:12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</row>
    <row r="56" spans="1:12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</row>
    <row r="57" spans="1:12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</row>
    <row r="58" spans="1:12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</row>
    <row r="59" spans="1:12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</row>
    <row r="60" spans="1:12" ht="10.5" customHeight="1" x14ac:dyDescent="0.25">
      <c r="A60" s="205" t="s">
        <v>77</v>
      </c>
      <c r="B60" s="205"/>
      <c r="C60" s="205"/>
      <c r="D60" s="205"/>
      <c r="E60" s="205"/>
      <c r="F60" s="205"/>
      <c r="G60" s="83">
        <v>800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243.88</v>
      </c>
    </row>
    <row r="62" spans="1:12" ht="10.5" customHeight="1" x14ac:dyDescent="0.25">
      <c r="A62" s="205" t="s">
        <v>78</v>
      </c>
      <c r="B62" s="205"/>
      <c r="C62" s="205"/>
      <c r="D62" s="205"/>
      <c r="E62" s="205"/>
      <c r="F62" s="205"/>
      <c r="G62" s="83">
        <v>200</v>
      </c>
    </row>
    <row r="63" spans="1:12" ht="10.5" customHeight="1" x14ac:dyDescent="0.25">
      <c r="A63" s="205" t="s">
        <v>81</v>
      </c>
      <c r="B63" s="205"/>
      <c r="C63" s="205"/>
      <c r="D63" s="205"/>
      <c r="E63" s="205"/>
      <c r="F63" s="205"/>
      <c r="G63" s="83">
        <v>150</v>
      </c>
    </row>
    <row r="64" spans="1:12" ht="10.5" customHeight="1" x14ac:dyDescent="0.25">
      <c r="A64" s="205" t="s">
        <v>82</v>
      </c>
      <c r="B64" s="205"/>
      <c r="C64" s="205"/>
      <c r="D64" s="205"/>
      <c r="E64" s="205"/>
      <c r="F64" s="205"/>
      <c r="G64" s="83">
        <v>243.88</v>
      </c>
    </row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</sheetData>
  <mergeCells count="21">
    <mergeCell ref="A55:F55"/>
    <mergeCell ref="A13:B13"/>
    <mergeCell ref="A19:B19"/>
    <mergeCell ref="A26:B26"/>
    <mergeCell ref="A29:B29"/>
    <mergeCell ref="A40:B40"/>
    <mergeCell ref="A48:B48"/>
    <mergeCell ref="A50:F50"/>
    <mergeCell ref="A51:F51"/>
    <mergeCell ref="A52:F52"/>
    <mergeCell ref="A53:F53"/>
    <mergeCell ref="A54:F54"/>
    <mergeCell ref="A62:F62"/>
    <mergeCell ref="A63:F63"/>
    <mergeCell ref="A64:F64"/>
    <mergeCell ref="A56:F56"/>
    <mergeCell ref="A57:F57"/>
    <mergeCell ref="A58:F58"/>
    <mergeCell ref="A59:F59"/>
    <mergeCell ref="A60:F60"/>
    <mergeCell ref="A61:F61"/>
  </mergeCells>
  <pageMargins left="0.25" right="0" top="0.4" bottom="0" header="0.3" footer="0"/>
  <pageSetup scale="95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160" zoomScaleNormal="160" workbookViewId="0">
      <pane ySplit="2" topLeftCell="A3" activePane="bottomLeft" state="frozen"/>
      <selection pane="bottomLeft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87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D3+F3+'12-26-19'!H3</f>
        <v>3483.6000000000004</v>
      </c>
      <c r="I3" s="15">
        <f>E3+G3+'12-26-19'!I3</f>
        <v>157.35</v>
      </c>
      <c r="J3" s="15">
        <f>H3+I3</f>
        <v>3640.9500000000003</v>
      </c>
      <c r="K3" s="15">
        <f>C3-J3</f>
        <v>0</v>
      </c>
      <c r="L3" s="15">
        <f>C3-((J3/14)*26.0714)</f>
        <v>-3139.3831307142868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D4+F4+'12-26-19'!H4</f>
        <v>0</v>
      </c>
      <c r="I4" s="15">
        <f>E4+G4+'12-26-19'!I4</f>
        <v>0</v>
      </c>
      <c r="J4" s="15">
        <f>H4+I4</f>
        <v>0</v>
      </c>
      <c r="K4" s="15">
        <f>C4-J4</f>
        <v>3229</v>
      </c>
      <c r="L4" s="15">
        <f t="shared" ref="L4:L12" si="0">C4-((J4/14)*26.0714)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106.72</v>
      </c>
      <c r="E5" s="21">
        <v>1.7</v>
      </c>
      <c r="F5" s="21">
        <v>0</v>
      </c>
      <c r="G5" s="21">
        <v>0</v>
      </c>
      <c r="H5" s="15">
        <f>D5+F5+'12-26-19'!H5</f>
        <v>6973.6399999999994</v>
      </c>
      <c r="I5" s="15">
        <f>E5+G5+'12-26-19'!I5</f>
        <v>129.6</v>
      </c>
      <c r="J5" s="15">
        <f t="shared" ref="J5:J12" si="1">H5+I5</f>
        <v>7103.24</v>
      </c>
      <c r="K5" s="14">
        <f t="shared" ref="K5:K12" si="2">C5-J5</f>
        <v>17545.760000000002</v>
      </c>
      <c r="L5" s="15">
        <f t="shared" si="0"/>
        <v>11421.042047428571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226.92</v>
      </c>
      <c r="E6" s="14">
        <v>3.63</v>
      </c>
      <c r="F6" s="14">
        <v>0</v>
      </c>
      <c r="G6" s="14">
        <v>0</v>
      </c>
      <c r="H6" s="15">
        <f>D6+F6+'12-26-19'!H6</f>
        <v>6337.2299999999987</v>
      </c>
      <c r="I6" s="15">
        <f>E6+G6+'12-26-19'!I6</f>
        <v>104.94999999999999</v>
      </c>
      <c r="J6" s="15">
        <f t="shared" si="1"/>
        <v>6442.1799999999985</v>
      </c>
      <c r="K6" s="14">
        <f t="shared" si="2"/>
        <v>11531.820000000002</v>
      </c>
      <c r="L6" s="15">
        <f t="shared" si="0"/>
        <v>5977.0963105714309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v>185.33</v>
      </c>
      <c r="E7" s="14">
        <v>2.96</v>
      </c>
      <c r="F7" s="14">
        <v>0</v>
      </c>
      <c r="G7" s="14">
        <v>0</v>
      </c>
      <c r="H7" s="15">
        <f>D7+F7+'12-26-19'!H7</f>
        <v>8627.1</v>
      </c>
      <c r="I7" s="15">
        <f>E7+G7+'12-26-19'!I7</f>
        <v>137.88000000000002</v>
      </c>
      <c r="J7" s="15">
        <f t="shared" si="1"/>
        <v>8764.98</v>
      </c>
      <c r="K7" s="14">
        <f t="shared" si="2"/>
        <v>9209.02</v>
      </c>
      <c r="L7" s="15">
        <f t="shared" si="0"/>
        <v>1651.478602000001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147.82</v>
      </c>
      <c r="E8" s="14">
        <v>2.36</v>
      </c>
      <c r="F8" s="14">
        <v>0</v>
      </c>
      <c r="G8" s="14">
        <v>0</v>
      </c>
      <c r="H8" s="15">
        <f>D8+F8+'12-26-19'!H8</f>
        <v>8830.4400000000023</v>
      </c>
      <c r="I8" s="15">
        <f>E8+G8+'12-26-19'!I8</f>
        <v>141.19</v>
      </c>
      <c r="J8" s="15">
        <f t="shared" si="1"/>
        <v>8971.6300000000028</v>
      </c>
      <c r="K8" s="14">
        <f t="shared" si="2"/>
        <v>15358.369999999997</v>
      </c>
      <c r="L8" s="15">
        <f t="shared" si="0"/>
        <v>7622.6461155714205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v>276.33999999999997</v>
      </c>
      <c r="E9" s="14">
        <v>4.41</v>
      </c>
      <c r="F9" s="14">
        <v>192</v>
      </c>
      <c r="G9" s="14">
        <v>10.94</v>
      </c>
      <c r="H9" s="15">
        <f>D9+F9+'12-26-19'!H9</f>
        <v>14759.03</v>
      </c>
      <c r="I9" s="15">
        <f>E9+G9+'12-26-19'!I9</f>
        <v>372.64</v>
      </c>
      <c r="J9" s="15">
        <f t="shared" si="1"/>
        <v>15131.67</v>
      </c>
      <c r="K9" s="14">
        <f t="shared" si="2"/>
        <v>18868.330000000002</v>
      </c>
      <c r="L9" s="15">
        <f t="shared" si="0"/>
        <v>5821.15562585714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801.85</v>
      </c>
      <c r="E10" s="14">
        <v>12.82</v>
      </c>
      <c r="F10" s="14">
        <v>0</v>
      </c>
      <c r="G10" s="14">
        <v>0</v>
      </c>
      <c r="H10" s="15">
        <f>D10+F10+'12-26-19'!H10</f>
        <v>24730.179999999997</v>
      </c>
      <c r="I10" s="15">
        <f>E10+G10+'12-26-19'!I10</f>
        <v>414.25999999999993</v>
      </c>
      <c r="J10" s="15">
        <f t="shared" si="1"/>
        <v>25144.439999999995</v>
      </c>
      <c r="K10" s="14">
        <f t="shared" si="2"/>
        <v>17596.560000000005</v>
      </c>
      <c r="L10" s="15">
        <f t="shared" si="0"/>
        <v>-4084.0537868571337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165.7</v>
      </c>
      <c r="E11" s="14">
        <v>2.65</v>
      </c>
      <c r="F11" s="14">
        <v>0</v>
      </c>
      <c r="G11" s="14">
        <v>0</v>
      </c>
      <c r="H11" s="15">
        <f>D11+F11+'12-26-19'!H11</f>
        <v>6469.86</v>
      </c>
      <c r="I11" s="15">
        <f>E11+G11+'12-26-19'!I11</f>
        <v>179.17000000000002</v>
      </c>
      <c r="J11" s="15">
        <f t="shared" si="1"/>
        <v>6649.03</v>
      </c>
      <c r="K11" s="14">
        <f t="shared" si="2"/>
        <v>16523.97</v>
      </c>
      <c r="L11" s="15">
        <f t="shared" si="0"/>
        <v>10790.891375571429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D12+F12+'12-26-19'!H12</f>
        <v>891.37</v>
      </c>
      <c r="I12" s="15">
        <f>E12+G12+'12-26-19'!I12</f>
        <v>14.170000000000002</v>
      </c>
      <c r="J12" s="15">
        <f t="shared" si="1"/>
        <v>905.54</v>
      </c>
      <c r="K12" s="14">
        <f t="shared" si="2"/>
        <v>5094.46</v>
      </c>
      <c r="L12" s="15">
        <f t="shared" si="0"/>
        <v>4313.6646031428572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1910.68</v>
      </c>
      <c r="E13" s="15">
        <f t="shared" si="3"/>
        <v>30.529999999999998</v>
      </c>
      <c r="F13" s="15">
        <f t="shared" si="3"/>
        <v>192</v>
      </c>
      <c r="G13" s="15">
        <f t="shared" si="3"/>
        <v>10.94</v>
      </c>
      <c r="H13" s="15">
        <f t="shared" si="3"/>
        <v>77618.849999999991</v>
      </c>
      <c r="I13" s="15">
        <f t="shared" si="3"/>
        <v>1493.8600000000001</v>
      </c>
      <c r="J13" s="14">
        <f t="shared" si="3"/>
        <v>79112.709999999977</v>
      </c>
      <c r="K13" s="14">
        <f t="shared" si="3"/>
        <v>114957.29000000002</v>
      </c>
      <c r="L13" s="15">
        <f t="shared" si="3"/>
        <v>46742.920893285729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D16+F16+'12-26-19'!H16</f>
        <v>0</v>
      </c>
      <c r="I16" s="15">
        <f>E16+G16+'12-26-19'!I16</f>
        <v>0</v>
      </c>
      <c r="J16" s="15">
        <f>H16+I16</f>
        <v>0</v>
      </c>
      <c r="K16" s="14">
        <f>C16-J16</f>
        <v>26923</v>
      </c>
      <c r="L16" s="15">
        <f t="shared" ref="L16:L18" si="4">C16-((J16/14)*26.0714)</f>
        <v>26923</v>
      </c>
    </row>
    <row r="17" spans="1:13" ht="11.45" customHeight="1" x14ac:dyDescent="0.25">
      <c r="A17" s="12" t="s">
        <v>16</v>
      </c>
      <c r="B17" s="13">
        <v>55160100</v>
      </c>
      <c r="C17" s="95">
        <v>16062</v>
      </c>
      <c r="D17" s="15">
        <v>18.399999999999999</v>
      </c>
      <c r="E17" s="15">
        <v>0.28999999999999998</v>
      </c>
      <c r="F17" s="14">
        <v>0</v>
      </c>
      <c r="G17" s="14">
        <v>0</v>
      </c>
      <c r="H17" s="15">
        <f>D17+F17+'12-26-19'!H17</f>
        <v>3179.98</v>
      </c>
      <c r="I17" s="15">
        <f>E17+G17+'12-26-19'!I17</f>
        <v>67.95</v>
      </c>
      <c r="J17" s="15">
        <f>H17+I17</f>
        <v>3247.93</v>
      </c>
      <c r="K17" s="14">
        <f>C17-J17</f>
        <v>12814.07</v>
      </c>
      <c r="L17" s="15">
        <f t="shared" si="4"/>
        <v>10013.565557000002</v>
      </c>
    </row>
    <row r="18" spans="1:13" ht="11.45" customHeight="1" x14ac:dyDescent="0.25">
      <c r="A18" s="40" t="s">
        <v>17</v>
      </c>
      <c r="B18" s="41">
        <v>55100100</v>
      </c>
      <c r="C18" s="95">
        <v>2026</v>
      </c>
      <c r="D18" s="14">
        <v>97.3</v>
      </c>
      <c r="E18" s="14">
        <v>1.55</v>
      </c>
      <c r="F18" s="14">
        <v>0</v>
      </c>
      <c r="G18" s="14">
        <v>0</v>
      </c>
      <c r="H18" s="15">
        <f>D18+F18+'12-26-19'!H18</f>
        <v>892.55999999999983</v>
      </c>
      <c r="I18" s="15">
        <f>E18+G18+'12-26-19'!I18</f>
        <v>14.209999999999999</v>
      </c>
      <c r="J18" s="15">
        <f>H18+I18</f>
        <v>906.76999999999987</v>
      </c>
      <c r="K18" s="14">
        <f>C18-J18</f>
        <v>1119.23</v>
      </c>
      <c r="L18" s="15">
        <f t="shared" si="4"/>
        <v>337.37404442857178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115.69999999999999</v>
      </c>
      <c r="E19" s="15">
        <f t="shared" si="5"/>
        <v>1.84</v>
      </c>
      <c r="F19" s="15">
        <f t="shared" si="5"/>
        <v>0</v>
      </c>
      <c r="G19" s="15">
        <f t="shared" si="5"/>
        <v>0</v>
      </c>
      <c r="H19" s="15">
        <f t="shared" si="5"/>
        <v>4072.54</v>
      </c>
      <c r="I19" s="15">
        <f t="shared" si="5"/>
        <v>82.16</v>
      </c>
      <c r="J19" s="14">
        <f t="shared" si="5"/>
        <v>4154.7</v>
      </c>
      <c r="K19" s="15">
        <f t="shared" si="5"/>
        <v>40856.300000000003</v>
      </c>
      <c r="L19" s="15">
        <f t="shared" si="5"/>
        <v>37273.939601428574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40" t="s">
        <v>84</v>
      </c>
      <c r="B23" s="41">
        <v>55200000</v>
      </c>
      <c r="C23" s="95">
        <f>25000+150</f>
        <v>25150</v>
      </c>
      <c r="D23" s="14">
        <v>300</v>
      </c>
      <c r="E23" s="14">
        <v>4.8</v>
      </c>
      <c r="F23" s="14">
        <v>0</v>
      </c>
      <c r="G23" s="14">
        <v>0</v>
      </c>
      <c r="H23" s="15">
        <f>D23+F23+'12-26-19'!H23</f>
        <v>4635</v>
      </c>
      <c r="I23" s="15">
        <f>E23+G23+'12-26-19'!I23</f>
        <v>74.159999999999982</v>
      </c>
      <c r="J23" s="15">
        <f t="shared" si="7"/>
        <v>4709.16</v>
      </c>
      <c r="K23" s="14">
        <f t="shared" si="8"/>
        <v>20440.84</v>
      </c>
      <c r="L23" s="15">
        <f t="shared" ref="L23:L25" si="10">C23-((J23/14)*26.0714)</f>
        <v>16380.400426857143</v>
      </c>
      <c r="M23" s="44"/>
    </row>
    <row r="24" spans="1:13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72.819999999999993</v>
      </c>
      <c r="E24" s="48">
        <v>1.1599999999999999</v>
      </c>
      <c r="F24" s="48">
        <v>0</v>
      </c>
      <c r="G24" s="48">
        <v>0</v>
      </c>
      <c r="H24" s="15">
        <f>D24+F24+'12-26-19'!H24</f>
        <v>5542.7</v>
      </c>
      <c r="I24" s="15">
        <f>E24+G24+'12-26-19'!I24</f>
        <v>110.46</v>
      </c>
      <c r="J24" s="15">
        <f t="shared" si="7"/>
        <v>5653.16</v>
      </c>
      <c r="K24" s="14">
        <f t="shared" si="8"/>
        <v>8846.84</v>
      </c>
      <c r="L24" s="15">
        <f t="shared" si="10"/>
        <v>3972.4431697142863</v>
      </c>
    </row>
    <row r="25" spans="1:13" s="43" customFormat="1" ht="10.9" customHeight="1" x14ac:dyDescent="0.25">
      <c r="A25" s="120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384</v>
      </c>
      <c r="G25" s="48">
        <v>21.88</v>
      </c>
      <c r="H25" s="15">
        <f>D25+F25+'12-26-19'!H25</f>
        <v>1872</v>
      </c>
      <c r="I25" s="15">
        <f>E25+G25+'12-26-19'!I25</f>
        <v>106.65</v>
      </c>
      <c r="J25" s="15">
        <f>H25+I25</f>
        <v>1978.65</v>
      </c>
      <c r="K25" s="14">
        <f>C25-J25</f>
        <v>3292.8799999999997</v>
      </c>
      <c r="L25" s="15">
        <f t="shared" si="10"/>
        <v>1586.8031707142854</v>
      </c>
    </row>
    <row r="26" spans="1:13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372.82</v>
      </c>
      <c r="E26" s="49">
        <f t="shared" si="11"/>
        <v>5.96</v>
      </c>
      <c r="F26" s="49">
        <f t="shared" si="11"/>
        <v>384</v>
      </c>
      <c r="G26" s="49">
        <f t="shared" si="11"/>
        <v>21.88</v>
      </c>
      <c r="H26" s="49">
        <f t="shared" si="11"/>
        <v>12049.7</v>
      </c>
      <c r="I26" s="49">
        <f t="shared" si="11"/>
        <v>291.27</v>
      </c>
      <c r="J26" s="49">
        <f t="shared" si="11"/>
        <v>12340.97</v>
      </c>
      <c r="K26" s="49">
        <f t="shared" si="11"/>
        <v>32580.560000000001</v>
      </c>
      <c r="L26" s="50">
        <f>SUM(L23:L25)</f>
        <v>21939.646767285718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2399.2000000000003</v>
      </c>
      <c r="E29" s="50">
        <f t="shared" si="12"/>
        <v>38.33</v>
      </c>
      <c r="F29" s="50">
        <f t="shared" si="12"/>
        <v>576</v>
      </c>
      <c r="G29" s="50">
        <f t="shared" si="12"/>
        <v>32.82</v>
      </c>
      <c r="H29" s="50">
        <f t="shared" si="12"/>
        <v>93741.089999999982</v>
      </c>
      <c r="I29" s="50">
        <f t="shared" si="12"/>
        <v>1867.2900000000002</v>
      </c>
      <c r="J29" s="50">
        <f t="shared" si="12"/>
        <v>95608.379999999976</v>
      </c>
      <c r="K29" s="50">
        <f t="shared" si="12"/>
        <v>188394.15000000002</v>
      </c>
      <c r="L29" s="50">
        <f t="shared" si="12"/>
        <v>105956.50726200003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20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D32+F32+'12-26-19'!H32</f>
        <v>0</v>
      </c>
      <c r="I32" s="15">
        <f>E32+G32+'12-26-19'!I32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C32-((J32/14)*26.0714)</f>
        <v>600.30999999999995</v>
      </c>
    </row>
    <row r="33" spans="1:13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30</v>
      </c>
      <c r="E33" s="15">
        <v>0.48</v>
      </c>
      <c r="F33" s="15">
        <v>0</v>
      </c>
      <c r="G33" s="15">
        <v>0</v>
      </c>
      <c r="H33" s="15">
        <f>D33+F33+'12-26-19'!H33</f>
        <v>258.75</v>
      </c>
      <c r="I33" s="15">
        <f>E33+G33+'12-26-19'!I33</f>
        <v>4.1400000000000006</v>
      </c>
      <c r="J33" s="14">
        <f t="shared" si="13"/>
        <v>262.89</v>
      </c>
      <c r="K33" s="15">
        <f t="shared" si="14"/>
        <v>11737.11</v>
      </c>
      <c r="L33" s="15">
        <f t="shared" si="15"/>
        <v>11510.434975285714</v>
      </c>
      <c r="M33" s="25"/>
    </row>
    <row r="34" spans="1:13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D34+F34+'12-26-19'!H34</f>
        <v>277.20000000000005</v>
      </c>
      <c r="I34" s="15">
        <f>E34+G34+'12-26-19'!I34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219.7214652857142</v>
      </c>
    </row>
    <row r="35" spans="1:13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66.08</v>
      </c>
      <c r="E35" s="15">
        <v>1.05</v>
      </c>
      <c r="F35" s="15">
        <v>0</v>
      </c>
      <c r="G35" s="15">
        <v>0</v>
      </c>
      <c r="H35" s="15">
        <f>D35+F35+'12-26-19'!H35</f>
        <v>2223.71</v>
      </c>
      <c r="I35" s="15">
        <f>E35+G35+'12-26-19'!I35</f>
        <v>35.519999999999996</v>
      </c>
      <c r="J35" s="15">
        <f t="shared" si="13"/>
        <v>2259.23</v>
      </c>
      <c r="K35" s="15">
        <f t="shared" si="14"/>
        <v>4094.6200000000003</v>
      </c>
      <c r="L35" s="15">
        <f t="shared" si="15"/>
        <v>2146.6150698571428</v>
      </c>
      <c r="M35" s="25"/>
    </row>
    <row r="36" spans="1:13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0</v>
      </c>
      <c r="E36" s="14">
        <v>0</v>
      </c>
      <c r="F36" s="14">
        <v>0</v>
      </c>
      <c r="G36" s="14">
        <v>0</v>
      </c>
      <c r="H36" s="15">
        <f>D36+F36+'12-26-19'!H36</f>
        <v>4157.79</v>
      </c>
      <c r="I36" s="15">
        <f>E36+G36+'12-26-19'!I36</f>
        <v>177.15</v>
      </c>
      <c r="J36" s="15">
        <f t="shared" si="13"/>
        <v>4334.9399999999996</v>
      </c>
      <c r="K36" s="117">
        <f t="shared" si="14"/>
        <v>-2291.9399999999996</v>
      </c>
      <c r="L36" s="15">
        <f t="shared" si="15"/>
        <v>-6029.7110511428573</v>
      </c>
    </row>
    <row r="37" spans="1:13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0</v>
      </c>
      <c r="E37" s="14">
        <v>0</v>
      </c>
      <c r="F37" s="14">
        <v>0</v>
      </c>
      <c r="G37" s="14">
        <v>0</v>
      </c>
      <c r="H37" s="15">
        <f>D37+F37+'12-26-19'!H37</f>
        <v>2324.0699999999997</v>
      </c>
      <c r="I37" s="15">
        <f>E37+G37+'12-26-19'!I37</f>
        <v>37.15</v>
      </c>
      <c r="J37" s="15">
        <f t="shared" si="13"/>
        <v>2361.2199999999998</v>
      </c>
      <c r="K37" s="14">
        <f t="shared" si="14"/>
        <v>388.7800000000002</v>
      </c>
      <c r="L37" s="15">
        <f t="shared" si="15"/>
        <v>-1647.1650791428565</v>
      </c>
    </row>
    <row r="38" spans="1:13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0</v>
      </c>
      <c r="E38" s="15">
        <v>0</v>
      </c>
      <c r="F38" s="15">
        <v>0</v>
      </c>
      <c r="G38" s="15">
        <v>0</v>
      </c>
      <c r="H38" s="15">
        <f>D38+F38+'12-26-19'!H38</f>
        <v>5628.75</v>
      </c>
      <c r="I38" s="15">
        <f>E38+G38+'12-26-19'!I38</f>
        <v>90.05</v>
      </c>
      <c r="J38" s="15">
        <f t="shared" si="13"/>
        <v>5718.8</v>
      </c>
      <c r="K38" s="15">
        <f t="shared" si="14"/>
        <v>6648.0999999999995</v>
      </c>
      <c r="L38" s="15">
        <f t="shared" si="15"/>
        <v>1717.1055485714278</v>
      </c>
    </row>
    <row r="39" spans="1:13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690</v>
      </c>
      <c r="G39" s="15">
        <v>39.32</v>
      </c>
      <c r="H39" s="15">
        <f>D39+F39+'12-26-19'!H39</f>
        <v>2714.4</v>
      </c>
      <c r="I39" s="15">
        <f>E39+G39+'12-26-19'!I39</f>
        <v>154.69</v>
      </c>
      <c r="J39" s="15">
        <f>H39+I39</f>
        <v>2869.09</v>
      </c>
      <c r="K39" s="14">
        <f>C39-J39</f>
        <v>12350.91</v>
      </c>
      <c r="L39" s="15">
        <f t="shared" si="15"/>
        <v>9877.0576409999994</v>
      </c>
    </row>
    <row r="40" spans="1:13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96.08</v>
      </c>
      <c r="E40" s="15">
        <f>SUM(E32:E39)</f>
        <v>1.53</v>
      </c>
      <c r="F40" s="15">
        <f>SUM(F32:F39)</f>
        <v>690</v>
      </c>
      <c r="G40" s="15">
        <f>SUM(G32:G39)</f>
        <v>39.32</v>
      </c>
      <c r="H40" s="15">
        <f>SUM(H32, H33:H39)</f>
        <v>17584.670000000002</v>
      </c>
      <c r="I40" s="15">
        <f>SUM(I32, I33:I39)</f>
        <v>514.49</v>
      </c>
      <c r="J40" s="15">
        <f>SUM(J32, J33:J39)</f>
        <v>18099.16</v>
      </c>
      <c r="K40" s="15">
        <f>SUM(K32, K33:K39)</f>
        <v>34000.240000000005</v>
      </c>
      <c r="L40" s="15">
        <f>SUM(L32, L33:L39)</f>
        <v>18394.368569714286</v>
      </c>
    </row>
    <row r="41" spans="1:13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266.58</v>
      </c>
      <c r="E43" s="14">
        <v>4.26</v>
      </c>
      <c r="F43" s="14">
        <v>291.5</v>
      </c>
      <c r="G43" s="14">
        <v>16.600000000000001</v>
      </c>
      <c r="H43" s="15">
        <f>D43+F43+'12-26-19'!H43</f>
        <v>23471.86</v>
      </c>
      <c r="I43" s="15">
        <f>E43+G43+'12-26-19'!I43</f>
        <v>837.15</v>
      </c>
      <c r="J43" s="15">
        <f>H43+I43</f>
        <v>24309.010000000002</v>
      </c>
      <c r="K43" s="14">
        <f>C43-J43</f>
        <v>38273.99</v>
      </c>
      <c r="L43" s="15">
        <f>C43-((J43/14)*26.0714)</f>
        <v>17313.719763285713</v>
      </c>
    </row>
    <row r="44" spans="1:13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266.58</v>
      </c>
      <c r="E44" s="59">
        <f t="shared" si="16"/>
        <v>4.26</v>
      </c>
      <c r="F44" s="59">
        <f t="shared" si="16"/>
        <v>291.5</v>
      </c>
      <c r="G44" s="59">
        <f t="shared" si="16"/>
        <v>16.600000000000001</v>
      </c>
      <c r="H44" s="59">
        <f t="shared" si="16"/>
        <v>23471.86</v>
      </c>
      <c r="I44" s="59">
        <f t="shared" si="16"/>
        <v>837.15</v>
      </c>
      <c r="J44" s="59">
        <f t="shared" si="16"/>
        <v>24309.010000000002</v>
      </c>
      <c r="K44" s="59">
        <f t="shared" si="16"/>
        <v>38273.99</v>
      </c>
      <c r="L44" s="59">
        <f t="shared" si="16"/>
        <v>17313.719763285713</v>
      </c>
    </row>
    <row r="45" spans="1:13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292.39999999999998</v>
      </c>
      <c r="G47" s="14">
        <v>16.66</v>
      </c>
      <c r="H47" s="15">
        <f>D47+F47+'12-26-19'!H47</f>
        <v>5571.2499999999991</v>
      </c>
      <c r="I47" s="15">
        <f>E47+G47+'12-26-19'!I47</f>
        <v>317.49000000000007</v>
      </c>
      <c r="J47" s="15">
        <f>H47+I47</f>
        <v>5888.7399999999989</v>
      </c>
      <c r="K47" s="14">
        <f>C47-J47</f>
        <v>31847.260000000002</v>
      </c>
      <c r="L47" s="15">
        <f>C47-((J47/14)*26.0714)</f>
        <v>26769.735997428572</v>
      </c>
    </row>
    <row r="48" spans="1:13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292.39999999999998</v>
      </c>
      <c r="G48" s="15">
        <f t="shared" si="17"/>
        <v>16.66</v>
      </c>
      <c r="H48" s="15">
        <f t="shared" si="17"/>
        <v>5571.2499999999991</v>
      </c>
      <c r="I48" s="15">
        <f t="shared" si="17"/>
        <v>317.49000000000007</v>
      </c>
      <c r="J48" s="15">
        <f t="shared" si="17"/>
        <v>5888.7399999999989</v>
      </c>
      <c r="K48" s="15">
        <f t="shared" si="17"/>
        <v>31847.260000000002</v>
      </c>
      <c r="L48" s="15">
        <f t="shared" si="17"/>
        <v>26769.735997428572</v>
      </c>
    </row>
    <row r="49" spans="1:12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</row>
    <row r="51" spans="1:12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</row>
    <row r="52" spans="1:12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</row>
    <row r="54" spans="1:12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16">
        <v>2624</v>
      </c>
    </row>
    <row r="55" spans="1:12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</row>
    <row r="56" spans="1:12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</row>
    <row r="57" spans="1:12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</row>
    <row r="58" spans="1:12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</row>
    <row r="59" spans="1:12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</row>
    <row r="60" spans="1:12" ht="10.5" customHeight="1" x14ac:dyDescent="0.25">
      <c r="A60" s="205" t="s">
        <v>77</v>
      </c>
      <c r="B60" s="205"/>
      <c r="C60" s="205"/>
      <c r="D60" s="205"/>
      <c r="E60" s="205"/>
      <c r="F60" s="205"/>
      <c r="G60" s="83">
        <v>800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243.88</v>
      </c>
    </row>
    <row r="62" spans="1:12" ht="10.5" customHeight="1" x14ac:dyDescent="0.25">
      <c r="A62" s="205" t="s">
        <v>78</v>
      </c>
      <c r="B62" s="205"/>
      <c r="C62" s="205"/>
      <c r="D62" s="205"/>
      <c r="E62" s="205"/>
      <c r="F62" s="205"/>
      <c r="G62" s="83">
        <v>200</v>
      </c>
    </row>
    <row r="63" spans="1:12" ht="10.5" customHeight="1" x14ac:dyDescent="0.25">
      <c r="A63" s="205" t="s">
        <v>81</v>
      </c>
      <c r="B63" s="205"/>
      <c r="C63" s="205"/>
      <c r="D63" s="205"/>
      <c r="E63" s="205"/>
      <c r="F63" s="205"/>
      <c r="G63" s="83">
        <v>150</v>
      </c>
    </row>
    <row r="64" spans="1:12" ht="10.5" customHeight="1" x14ac:dyDescent="0.25">
      <c r="A64" s="205" t="s">
        <v>82</v>
      </c>
      <c r="B64" s="205"/>
      <c r="C64" s="205"/>
      <c r="D64" s="205"/>
      <c r="E64" s="205"/>
      <c r="F64" s="205"/>
      <c r="G64" s="83">
        <v>243.88</v>
      </c>
    </row>
    <row r="65" spans="1:7" ht="10.5" customHeight="1" x14ac:dyDescent="0.25">
      <c r="A65" s="205" t="s">
        <v>86</v>
      </c>
      <c r="B65" s="205"/>
      <c r="C65" s="205"/>
      <c r="D65" s="205"/>
      <c r="E65" s="205"/>
      <c r="F65" s="205"/>
      <c r="G65" s="83">
        <v>21.07</v>
      </c>
    </row>
    <row r="66" spans="1:7" ht="10.5" customHeight="1" x14ac:dyDescent="0.25"/>
    <row r="67" spans="1:7" ht="10.5" customHeight="1" x14ac:dyDescent="0.25"/>
    <row r="68" spans="1:7" ht="10.5" customHeight="1" x14ac:dyDescent="0.25"/>
    <row r="69" spans="1:7" ht="10.5" customHeight="1" x14ac:dyDescent="0.25"/>
    <row r="70" spans="1:7" ht="10.5" customHeight="1" x14ac:dyDescent="0.25"/>
    <row r="71" spans="1:7" ht="10.5" customHeight="1" x14ac:dyDescent="0.25"/>
    <row r="72" spans="1:7" ht="10.5" customHeight="1" x14ac:dyDescent="0.25"/>
    <row r="73" spans="1:7" ht="10.5" customHeight="1" x14ac:dyDescent="0.25"/>
  </sheetData>
  <mergeCells count="22">
    <mergeCell ref="A55:F55"/>
    <mergeCell ref="A13:B13"/>
    <mergeCell ref="A19:B19"/>
    <mergeCell ref="A26:B26"/>
    <mergeCell ref="A29:B29"/>
    <mergeCell ref="A40:B40"/>
    <mergeCell ref="A48:B48"/>
    <mergeCell ref="A50:F50"/>
    <mergeCell ref="A51:F51"/>
    <mergeCell ref="A52:F52"/>
    <mergeCell ref="A53:F53"/>
    <mergeCell ref="A54:F54"/>
    <mergeCell ref="A62:F62"/>
    <mergeCell ref="A63:F63"/>
    <mergeCell ref="A64:F64"/>
    <mergeCell ref="A65:F65"/>
    <mergeCell ref="A56:F56"/>
    <mergeCell ref="A57:F57"/>
    <mergeCell ref="A58:F58"/>
    <mergeCell ref="A59:F59"/>
    <mergeCell ref="A60:F60"/>
    <mergeCell ref="A61:F61"/>
  </mergeCells>
  <pageMargins left="0.25" right="0" top="0.4" bottom="0" header="0.3" footer="0"/>
  <pageSetup scale="95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B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88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2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D3+F3+'01-09-20'!H3</f>
        <v>3483.6000000000004</v>
      </c>
      <c r="I3" s="15">
        <f>E3+G3+'01-09-20'!I3</f>
        <v>157.35</v>
      </c>
      <c r="J3" s="15">
        <f>H3+I3</f>
        <v>3640.9500000000003</v>
      </c>
      <c r="K3" s="15">
        <f>C3-J3</f>
        <v>0</v>
      </c>
      <c r="L3" s="15">
        <f>C3-((J3/15)*26.0714)</f>
        <v>-2687.3609220000003</v>
      </c>
    </row>
    <row r="4" spans="1:12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D4+F4+'01-09-20'!H4</f>
        <v>0</v>
      </c>
      <c r="I4" s="15">
        <f>E4+G4+'01-09-20'!I4</f>
        <v>0</v>
      </c>
      <c r="J4" s="15">
        <f>H4+I4</f>
        <v>0</v>
      </c>
      <c r="K4" s="15">
        <f>C4-J4</f>
        <v>3229</v>
      </c>
      <c r="L4" s="15">
        <f t="shared" ref="L4:L12" si="0">C4-((J4/15)*26.0714)</f>
        <v>3229</v>
      </c>
    </row>
    <row r="5" spans="1:12" ht="11.25" customHeight="1" x14ac:dyDescent="0.25">
      <c r="A5" s="19" t="s">
        <v>45</v>
      </c>
      <c r="B5" s="20">
        <v>55020200</v>
      </c>
      <c r="C5" s="102">
        <v>24649</v>
      </c>
      <c r="D5" s="21">
        <v>368.97</v>
      </c>
      <c r="E5" s="21">
        <v>5.9</v>
      </c>
      <c r="F5" s="21">
        <v>0</v>
      </c>
      <c r="G5" s="21">
        <v>0</v>
      </c>
      <c r="H5" s="15">
        <f>D5+F5+'01-09-20'!H5</f>
        <v>7342.61</v>
      </c>
      <c r="I5" s="15">
        <f>E5+G5+'01-09-20'!I5</f>
        <v>135.5</v>
      </c>
      <c r="J5" s="15">
        <f t="shared" ref="J5:J12" si="1">H5+I5</f>
        <v>7478.11</v>
      </c>
      <c r="K5" s="14">
        <f t="shared" ref="K5:K12" si="2">C5-J5</f>
        <v>17170.89</v>
      </c>
      <c r="L5" s="15">
        <f t="shared" si="0"/>
        <v>11651.346863066667</v>
      </c>
    </row>
    <row r="6" spans="1:12" ht="11.25" customHeight="1" x14ac:dyDescent="0.25">
      <c r="A6" s="12" t="s">
        <v>10</v>
      </c>
      <c r="B6" s="13">
        <v>55020300</v>
      </c>
      <c r="C6" s="95">
        <v>17974</v>
      </c>
      <c r="D6" s="14">
        <v>561.21</v>
      </c>
      <c r="E6" s="14">
        <v>8.9700000000000006</v>
      </c>
      <c r="F6" s="14">
        <v>0</v>
      </c>
      <c r="G6" s="14">
        <v>0</v>
      </c>
      <c r="H6" s="15">
        <f>D6+F6+'01-09-20'!H6</f>
        <v>6898.4399999999987</v>
      </c>
      <c r="I6" s="15">
        <f>E6+G6+'01-09-20'!I6</f>
        <v>113.91999999999999</v>
      </c>
      <c r="J6" s="15">
        <f t="shared" si="1"/>
        <v>7012.3599999999988</v>
      </c>
      <c r="K6" s="14">
        <f t="shared" si="2"/>
        <v>10961.640000000001</v>
      </c>
      <c r="L6" s="15">
        <f t="shared" si="0"/>
        <v>5785.863833066669</v>
      </c>
    </row>
    <row r="7" spans="1:12" ht="11.25" customHeight="1" x14ac:dyDescent="0.25">
      <c r="A7" s="12" t="s">
        <v>11</v>
      </c>
      <c r="B7" s="13">
        <v>55020400</v>
      </c>
      <c r="C7" s="95">
        <v>17974</v>
      </c>
      <c r="D7" s="14">
        <v>489.75</v>
      </c>
      <c r="E7" s="14">
        <v>7.83</v>
      </c>
      <c r="F7" s="14">
        <v>0</v>
      </c>
      <c r="G7" s="14">
        <v>0</v>
      </c>
      <c r="H7" s="15">
        <f>D7+F7+'01-09-20'!H7</f>
        <v>9116.85</v>
      </c>
      <c r="I7" s="15">
        <f>E7+G7+'01-09-20'!I7</f>
        <v>145.71000000000004</v>
      </c>
      <c r="J7" s="15">
        <f t="shared" si="1"/>
        <v>9262.5600000000013</v>
      </c>
      <c r="K7" s="14">
        <f t="shared" si="2"/>
        <v>8711.4399999999987</v>
      </c>
      <c r="L7" s="15">
        <f t="shared" si="0"/>
        <v>1874.806214399996</v>
      </c>
    </row>
    <row r="8" spans="1:12" ht="11.25" customHeight="1" x14ac:dyDescent="0.25">
      <c r="A8" s="80" t="s">
        <v>46</v>
      </c>
      <c r="B8" s="13">
        <v>55030200</v>
      </c>
      <c r="C8" s="95">
        <v>24330</v>
      </c>
      <c r="D8" s="14">
        <v>385.51</v>
      </c>
      <c r="E8" s="14">
        <v>6.16</v>
      </c>
      <c r="F8" s="14">
        <v>0</v>
      </c>
      <c r="G8" s="14">
        <v>0</v>
      </c>
      <c r="H8" s="15">
        <f>D8+F8+'01-09-20'!H8</f>
        <v>9215.9500000000025</v>
      </c>
      <c r="I8" s="15">
        <f>E8+G8+'01-09-20'!I8</f>
        <v>147.35</v>
      </c>
      <c r="J8" s="15">
        <f t="shared" si="1"/>
        <v>9363.3000000000029</v>
      </c>
      <c r="K8" s="14">
        <f t="shared" si="2"/>
        <v>14966.699999999997</v>
      </c>
      <c r="L8" s="15">
        <f t="shared" si="0"/>
        <v>8055.7106919999951</v>
      </c>
    </row>
    <row r="9" spans="1:12" ht="11.25" customHeight="1" x14ac:dyDescent="0.25">
      <c r="A9" s="12" t="s">
        <v>34</v>
      </c>
      <c r="B9" s="13">
        <v>55050200</v>
      </c>
      <c r="C9" s="95">
        <v>34000</v>
      </c>
      <c r="D9" s="14">
        <v>692.11</v>
      </c>
      <c r="E9" s="14">
        <v>11.07</v>
      </c>
      <c r="F9" s="14">
        <v>864</v>
      </c>
      <c r="G9" s="14">
        <v>49.24</v>
      </c>
      <c r="H9" s="15">
        <f>D9+F9+'01-09-20'!H9</f>
        <v>16315.140000000001</v>
      </c>
      <c r="I9" s="15">
        <f>E9+G9+'01-09-20'!I9</f>
        <v>432.95</v>
      </c>
      <c r="J9" s="15">
        <f t="shared" si="1"/>
        <v>16748.09</v>
      </c>
      <c r="K9" s="14">
        <f t="shared" si="2"/>
        <v>17251.91</v>
      </c>
      <c r="L9" s="15">
        <f t="shared" si="0"/>
        <v>4890.25642493333</v>
      </c>
    </row>
    <row r="10" spans="1:12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2059.63</v>
      </c>
      <c r="E10" s="14">
        <v>32.950000000000003</v>
      </c>
      <c r="F10" s="14">
        <v>0</v>
      </c>
      <c r="G10" s="14">
        <v>0</v>
      </c>
      <c r="H10" s="15">
        <f>D10+F10+'01-09-20'!H10</f>
        <v>26789.809999999998</v>
      </c>
      <c r="I10" s="15">
        <f>E10+G10+'01-09-20'!I10</f>
        <v>447.20999999999992</v>
      </c>
      <c r="J10" s="15">
        <f t="shared" si="1"/>
        <v>27237.019999999997</v>
      </c>
      <c r="K10" s="14">
        <f t="shared" si="2"/>
        <v>15503.980000000003</v>
      </c>
      <c r="L10" s="15">
        <f t="shared" si="0"/>
        <v>-4599.4828818666647</v>
      </c>
    </row>
    <row r="11" spans="1:12" ht="11.25" customHeight="1" x14ac:dyDescent="0.25">
      <c r="A11" s="12" t="s">
        <v>13</v>
      </c>
      <c r="B11" s="13">
        <v>55080100</v>
      </c>
      <c r="C11" s="95">
        <v>23173</v>
      </c>
      <c r="D11" s="14">
        <v>442.73</v>
      </c>
      <c r="E11" s="14">
        <v>7.08</v>
      </c>
      <c r="F11" s="14">
        <v>0</v>
      </c>
      <c r="G11" s="14">
        <v>0</v>
      </c>
      <c r="H11" s="15">
        <f>D11+F11+'01-09-20'!H11</f>
        <v>6912.59</v>
      </c>
      <c r="I11" s="15">
        <f>E11+G11+'01-09-20'!I11</f>
        <v>186.25000000000003</v>
      </c>
      <c r="J11" s="15">
        <f t="shared" si="1"/>
        <v>7098.84</v>
      </c>
      <c r="K11" s="14">
        <f t="shared" si="2"/>
        <v>16074.16</v>
      </c>
      <c r="L11" s="15">
        <f t="shared" si="0"/>
        <v>10834.553521599999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20.62</v>
      </c>
      <c r="E12" s="14">
        <v>0.32</v>
      </c>
      <c r="F12" s="14">
        <v>0</v>
      </c>
      <c r="G12" s="14">
        <v>0</v>
      </c>
      <c r="H12" s="15">
        <f>D12+F12+'01-09-20'!H12</f>
        <v>911.99</v>
      </c>
      <c r="I12" s="15">
        <f>E12+G12+'01-09-20'!I12</f>
        <v>14.490000000000002</v>
      </c>
      <c r="J12" s="15">
        <f t="shared" si="1"/>
        <v>926.48</v>
      </c>
      <c r="K12" s="14">
        <f t="shared" si="2"/>
        <v>5073.5200000000004</v>
      </c>
      <c r="L12" s="15">
        <f t="shared" si="0"/>
        <v>4389.6912885333331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5020.53</v>
      </c>
      <c r="E13" s="15">
        <f t="shared" si="3"/>
        <v>80.28</v>
      </c>
      <c r="F13" s="15">
        <f t="shared" si="3"/>
        <v>864</v>
      </c>
      <c r="G13" s="15">
        <f t="shared" si="3"/>
        <v>49.24</v>
      </c>
      <c r="H13" s="15">
        <f t="shared" si="3"/>
        <v>83503.38</v>
      </c>
      <c r="I13" s="15">
        <f t="shared" si="3"/>
        <v>1623.3799999999999</v>
      </c>
      <c r="J13" s="14">
        <f t="shared" si="3"/>
        <v>85126.76</v>
      </c>
      <c r="K13" s="14">
        <f t="shared" si="3"/>
        <v>108943.24</v>
      </c>
      <c r="L13" s="15">
        <f t="shared" si="3"/>
        <v>46111.74595573332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D16+F16+'01-09-20'!H16</f>
        <v>0</v>
      </c>
      <c r="I16" s="15">
        <f>E16+G16+'01-09-20'!I16</f>
        <v>0</v>
      </c>
      <c r="J16" s="15">
        <f>H16+I16</f>
        <v>0</v>
      </c>
      <c r="K16" s="14">
        <f>C16-J16</f>
        <v>26923</v>
      </c>
      <c r="L16" s="15">
        <f t="shared" ref="L16:L18" si="4">C16-((J16/15)*26.0714)</f>
        <v>26923</v>
      </c>
    </row>
    <row r="17" spans="1:13" ht="11.45" customHeight="1" x14ac:dyDescent="0.25">
      <c r="A17" s="12" t="s">
        <v>16</v>
      </c>
      <c r="B17" s="13">
        <v>55160100</v>
      </c>
      <c r="C17" s="95">
        <v>16062</v>
      </c>
      <c r="D17" s="15">
        <v>198.95</v>
      </c>
      <c r="E17" s="15">
        <v>3.18</v>
      </c>
      <c r="F17" s="14">
        <v>0</v>
      </c>
      <c r="G17" s="14">
        <v>0</v>
      </c>
      <c r="H17" s="15">
        <f>D17+F17+'01-09-20'!H17</f>
        <v>3378.93</v>
      </c>
      <c r="I17" s="15">
        <f>E17+G17+'01-09-20'!I17</f>
        <v>71.13000000000001</v>
      </c>
      <c r="J17" s="15">
        <f>H17+I17</f>
        <v>3450.06</v>
      </c>
      <c r="K17" s="14">
        <f>C17-J17</f>
        <v>12611.94</v>
      </c>
      <c r="L17" s="15">
        <f t="shared" si="4"/>
        <v>10065.473714399999</v>
      </c>
    </row>
    <row r="18" spans="1:13" ht="11.45" customHeight="1" x14ac:dyDescent="0.25">
      <c r="A18" s="40" t="s">
        <v>17</v>
      </c>
      <c r="B18" s="41">
        <v>55100100</v>
      </c>
      <c r="C18" s="95">
        <v>2026</v>
      </c>
      <c r="D18" s="14">
        <v>47.08</v>
      </c>
      <c r="E18" s="14">
        <v>0.75</v>
      </c>
      <c r="F18" s="14">
        <v>0</v>
      </c>
      <c r="G18" s="14">
        <v>0</v>
      </c>
      <c r="H18" s="15">
        <f>D18+F18+'01-09-20'!H18</f>
        <v>939.63999999999987</v>
      </c>
      <c r="I18" s="15">
        <f>E18+G18+'01-09-20'!I18</f>
        <v>14.959999999999999</v>
      </c>
      <c r="J18" s="15">
        <f>H18+I18</f>
        <v>954.59999999999991</v>
      </c>
      <c r="K18" s="14">
        <f>C18-J18</f>
        <v>1071.4000000000001</v>
      </c>
      <c r="L18" s="15">
        <f t="shared" si="4"/>
        <v>366.81610400000022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246.02999999999997</v>
      </c>
      <c r="E19" s="15">
        <f t="shared" si="5"/>
        <v>3.93</v>
      </c>
      <c r="F19" s="15">
        <f t="shared" si="5"/>
        <v>0</v>
      </c>
      <c r="G19" s="15">
        <f t="shared" si="5"/>
        <v>0</v>
      </c>
      <c r="H19" s="15">
        <f t="shared" si="5"/>
        <v>4318.57</v>
      </c>
      <c r="I19" s="15">
        <f t="shared" si="5"/>
        <v>86.09</v>
      </c>
      <c r="J19" s="14">
        <f t="shared" si="5"/>
        <v>4404.66</v>
      </c>
      <c r="K19" s="15">
        <f t="shared" si="5"/>
        <v>40606.340000000004</v>
      </c>
      <c r="L19" s="15">
        <f t="shared" si="5"/>
        <v>37355.289818399993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40" t="s">
        <v>84</v>
      </c>
      <c r="B23" s="41">
        <v>55200000</v>
      </c>
      <c r="C23" s="95">
        <f>25000+150</f>
        <v>25150</v>
      </c>
      <c r="D23" s="14">
        <v>982.5</v>
      </c>
      <c r="E23" s="14">
        <v>15.72</v>
      </c>
      <c r="F23" s="14">
        <v>0</v>
      </c>
      <c r="G23" s="14">
        <v>0</v>
      </c>
      <c r="H23" s="15">
        <f>D23+F23+'01-09-20'!H23</f>
        <v>5617.5</v>
      </c>
      <c r="I23" s="15">
        <f>E23+G23+'01-09-20'!I23</f>
        <v>89.879999999999981</v>
      </c>
      <c r="J23" s="15">
        <f t="shared" si="7"/>
        <v>5707.38</v>
      </c>
      <c r="K23" s="14">
        <f t="shared" si="8"/>
        <v>19442.62</v>
      </c>
      <c r="L23" s="15">
        <f t="shared" ref="L23:L25" si="10">C23-((J23/15)*26.0714)</f>
        <v>15230.040871199999</v>
      </c>
      <c r="M23" s="44"/>
    </row>
    <row r="24" spans="1:13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493.15</v>
      </c>
      <c r="E24" s="48">
        <v>7.89</v>
      </c>
      <c r="F24" s="48">
        <v>0</v>
      </c>
      <c r="G24" s="48">
        <v>0</v>
      </c>
      <c r="H24" s="15">
        <f>D24+F24+'01-09-20'!H24</f>
        <v>6035.8499999999995</v>
      </c>
      <c r="I24" s="15">
        <f>E24+G24+'01-09-20'!I24</f>
        <v>118.35</v>
      </c>
      <c r="J24" s="15">
        <f t="shared" si="7"/>
        <v>6154.2</v>
      </c>
      <c r="K24" s="14">
        <f t="shared" si="8"/>
        <v>8345.7999999999993</v>
      </c>
      <c r="L24" s="15">
        <f t="shared" si="10"/>
        <v>3803.4260080000004</v>
      </c>
    </row>
    <row r="25" spans="1:13" s="43" customFormat="1" ht="10.9" customHeight="1" x14ac:dyDescent="0.25">
      <c r="A25" s="121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96</v>
      </c>
      <c r="G25" s="48">
        <v>5.47</v>
      </c>
      <c r="H25" s="15">
        <f>D25+F25+'01-09-20'!H25</f>
        <v>1968</v>
      </c>
      <c r="I25" s="15">
        <f>E25+G25+'01-09-20'!I25</f>
        <v>112.12</v>
      </c>
      <c r="J25" s="15">
        <f>H25+I25</f>
        <v>2080.12</v>
      </c>
      <c r="K25" s="14">
        <f>C25-J25</f>
        <v>3191.41</v>
      </c>
      <c r="L25" s="15">
        <f t="shared" si="10"/>
        <v>1656.0872954666665</v>
      </c>
    </row>
    <row r="26" spans="1:13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1475.65</v>
      </c>
      <c r="E26" s="49">
        <f t="shared" si="11"/>
        <v>23.61</v>
      </c>
      <c r="F26" s="49">
        <f t="shared" si="11"/>
        <v>96</v>
      </c>
      <c r="G26" s="49">
        <f t="shared" si="11"/>
        <v>5.47</v>
      </c>
      <c r="H26" s="49">
        <f t="shared" si="11"/>
        <v>13621.349999999999</v>
      </c>
      <c r="I26" s="49">
        <f t="shared" si="11"/>
        <v>320.34999999999997</v>
      </c>
      <c r="J26" s="49">
        <f t="shared" si="11"/>
        <v>13941.7</v>
      </c>
      <c r="K26" s="49">
        <f t="shared" si="11"/>
        <v>30979.829999999998</v>
      </c>
      <c r="L26" s="50">
        <f>SUM(L23:L25)</f>
        <v>20689.554174666668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6742.2099999999991</v>
      </c>
      <c r="E29" s="50">
        <f t="shared" si="12"/>
        <v>107.82000000000001</v>
      </c>
      <c r="F29" s="50">
        <f t="shared" si="12"/>
        <v>960</v>
      </c>
      <c r="G29" s="50">
        <f t="shared" si="12"/>
        <v>54.71</v>
      </c>
      <c r="H29" s="50">
        <f t="shared" si="12"/>
        <v>101443.30000000002</v>
      </c>
      <c r="I29" s="50">
        <f t="shared" si="12"/>
        <v>2029.8199999999997</v>
      </c>
      <c r="J29" s="50">
        <f t="shared" si="12"/>
        <v>103473.12</v>
      </c>
      <c r="K29" s="50">
        <f t="shared" si="12"/>
        <v>180529.41</v>
      </c>
      <c r="L29" s="50">
        <f t="shared" si="12"/>
        <v>104156.58994879998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21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D32+F32+'01-09-20'!H32</f>
        <v>0</v>
      </c>
      <c r="I32" s="15">
        <f>E32+G32+'01-09-20'!I32</f>
        <v>0</v>
      </c>
      <c r="J32" s="14">
        <f t="shared" ref="J32:J39" si="13">H32+I32</f>
        <v>0</v>
      </c>
      <c r="K32" s="14">
        <f t="shared" ref="K32:K39" si="14">C32-J32</f>
        <v>600.30999999999995</v>
      </c>
      <c r="L32" s="15">
        <f t="shared" ref="L32:L40" si="15">C32-((J32/15)*26.0714)</f>
        <v>600.30999999999995</v>
      </c>
    </row>
    <row r="33" spans="1:13" s="24" customFormat="1" ht="11.25" customHeight="1" x14ac:dyDescent="0.25">
      <c r="A33" s="98" t="s">
        <v>91</v>
      </c>
      <c r="B33" s="99" t="s">
        <v>66</v>
      </c>
      <c r="C33" s="14">
        <v>0</v>
      </c>
      <c r="D33" s="15">
        <v>53.75</v>
      </c>
      <c r="E33" s="15">
        <v>0.86</v>
      </c>
      <c r="F33" s="15">
        <v>0</v>
      </c>
      <c r="G33" s="15">
        <v>0</v>
      </c>
      <c r="H33" s="15">
        <f>D33+F33+'01-09-20'!H33</f>
        <v>312.5</v>
      </c>
      <c r="I33" s="15">
        <f>E33+G33+'01-09-20'!I33</f>
        <v>5.0000000000000009</v>
      </c>
      <c r="J33" s="14">
        <f t="shared" si="13"/>
        <v>317.5</v>
      </c>
      <c r="K33" s="15">
        <f t="shared" si="14"/>
        <v>-317.5</v>
      </c>
      <c r="L33" s="15">
        <f t="shared" si="15"/>
        <v>-551.84463333333338</v>
      </c>
      <c r="M33" s="25"/>
    </row>
    <row r="34" spans="1:13" s="123" customFormat="1" ht="11.25" customHeight="1" x14ac:dyDescent="0.25">
      <c r="A34" s="92" t="s">
        <v>90</v>
      </c>
      <c r="B34" s="91" t="s">
        <v>89</v>
      </c>
      <c r="C34" s="87">
        <v>12000</v>
      </c>
      <c r="D34" s="87"/>
      <c r="E34" s="87"/>
      <c r="F34" s="87"/>
      <c r="G34" s="87"/>
      <c r="H34" s="87">
        <f>D34+F34</f>
        <v>0</v>
      </c>
      <c r="I34" s="87">
        <f>E34+G34</f>
        <v>0</v>
      </c>
      <c r="J34" s="87">
        <f t="shared" ref="J34" si="16">H34+I34</f>
        <v>0</v>
      </c>
      <c r="K34" s="87">
        <f>C34-J34</f>
        <v>12000</v>
      </c>
      <c r="L34" s="87">
        <f>C34-((J34/15)*26.0714)</f>
        <v>12000</v>
      </c>
      <c r="M34" s="122"/>
    </row>
    <row r="35" spans="1:13" s="24" customFormat="1" ht="11.25" customHeight="1" x14ac:dyDescent="0.25">
      <c r="A35" s="108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D35+F35+'01-09-20'!H34</f>
        <v>277.20000000000005</v>
      </c>
      <c r="I35" s="15">
        <f>E35+G35+'01-09-20'!I34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256.09603426666655</v>
      </c>
    </row>
    <row r="36" spans="1:13" s="24" customFormat="1" ht="11.25" customHeight="1" x14ac:dyDescent="0.25">
      <c r="A36" s="108" t="s">
        <v>68</v>
      </c>
      <c r="B36" s="93" t="s">
        <v>66</v>
      </c>
      <c r="C36" s="15">
        <v>6353.85</v>
      </c>
      <c r="D36" s="15">
        <v>189.1</v>
      </c>
      <c r="E36" s="15">
        <v>3.02</v>
      </c>
      <c r="F36" s="15">
        <v>0</v>
      </c>
      <c r="G36" s="15">
        <v>0</v>
      </c>
      <c r="H36" s="15">
        <f>D36+F36+'01-09-20'!H35</f>
        <v>2412.81</v>
      </c>
      <c r="I36" s="15">
        <f>E36+G36+'01-09-20'!I35</f>
        <v>38.54</v>
      </c>
      <c r="J36" s="15">
        <f t="shared" si="13"/>
        <v>2451.35</v>
      </c>
      <c r="K36" s="15">
        <f t="shared" si="14"/>
        <v>3902.5000000000005</v>
      </c>
      <c r="L36" s="15">
        <f t="shared" si="15"/>
        <v>2093.174907333334</v>
      </c>
      <c r="M36" s="25"/>
    </row>
    <row r="37" spans="1:13" s="24" customFormat="1" ht="11.45" customHeight="1" x14ac:dyDescent="0.25">
      <c r="A37" s="94" t="s">
        <v>36</v>
      </c>
      <c r="B37" s="93" t="s">
        <v>75</v>
      </c>
      <c r="C37" s="95">
        <v>2043</v>
      </c>
      <c r="D37" s="14">
        <v>40</v>
      </c>
      <c r="E37" s="14">
        <v>0.64</v>
      </c>
      <c r="F37" s="14">
        <v>0</v>
      </c>
      <c r="G37" s="14">
        <v>0</v>
      </c>
      <c r="H37" s="15">
        <f>D37+F37+'01-09-20'!H36</f>
        <v>4197.79</v>
      </c>
      <c r="I37" s="15">
        <f>E37+G37+'01-09-20'!I36</f>
        <v>177.79</v>
      </c>
      <c r="J37" s="15">
        <f t="shared" si="13"/>
        <v>4375.58</v>
      </c>
      <c r="K37" s="117">
        <f t="shared" si="14"/>
        <v>-2332.58</v>
      </c>
      <c r="L37" s="15">
        <f t="shared" si="15"/>
        <v>-5562.1664274666664</v>
      </c>
    </row>
    <row r="38" spans="1:13" s="25" customFormat="1" ht="11.45" customHeight="1" x14ac:dyDescent="0.25">
      <c r="A38" s="12" t="s">
        <v>42</v>
      </c>
      <c r="B38" s="13" t="s">
        <v>43</v>
      </c>
      <c r="C38" s="95">
        <f>900+1850</f>
        <v>2750</v>
      </c>
      <c r="D38" s="14">
        <v>0</v>
      </c>
      <c r="E38" s="14">
        <v>0</v>
      </c>
      <c r="F38" s="14">
        <v>0</v>
      </c>
      <c r="G38" s="14">
        <v>0</v>
      </c>
      <c r="H38" s="15">
        <f>D38+F38+'01-09-20'!H37</f>
        <v>2324.0699999999997</v>
      </c>
      <c r="I38" s="15">
        <f>E38+G38+'01-09-20'!I37</f>
        <v>37.15</v>
      </c>
      <c r="J38" s="15">
        <f t="shared" si="13"/>
        <v>2361.2199999999998</v>
      </c>
      <c r="K38" s="14">
        <f t="shared" si="14"/>
        <v>388.7800000000002</v>
      </c>
      <c r="L38" s="15">
        <f t="shared" si="15"/>
        <v>-1354.0207405333331</v>
      </c>
    </row>
    <row r="39" spans="1:13" s="25" customFormat="1" ht="11.45" customHeight="1" x14ac:dyDescent="0.25">
      <c r="A39" s="12" t="s">
        <v>48</v>
      </c>
      <c r="B39" s="13" t="s">
        <v>49</v>
      </c>
      <c r="C39" s="95">
        <v>12366.9</v>
      </c>
      <c r="D39" s="15">
        <v>0</v>
      </c>
      <c r="E39" s="15">
        <v>0</v>
      </c>
      <c r="F39" s="15">
        <v>0</v>
      </c>
      <c r="G39" s="15">
        <v>0</v>
      </c>
      <c r="H39" s="15">
        <f>D39+F39+'01-09-20'!H38</f>
        <v>5628.75</v>
      </c>
      <c r="I39" s="15">
        <f>E39+G39+'01-09-20'!I38</f>
        <v>90.05</v>
      </c>
      <c r="J39" s="15">
        <f t="shared" si="13"/>
        <v>5718.8</v>
      </c>
      <c r="K39" s="15">
        <f t="shared" si="14"/>
        <v>6648.0999999999995</v>
      </c>
      <c r="L39" s="15">
        <f t="shared" si="15"/>
        <v>2427.0918453333325</v>
      </c>
    </row>
    <row r="40" spans="1:13" s="25" customFormat="1" ht="11.45" customHeight="1" x14ac:dyDescent="0.25">
      <c r="A40" s="40" t="s">
        <v>26</v>
      </c>
      <c r="B40" s="41" t="s">
        <v>47</v>
      </c>
      <c r="C40" s="66">
        <v>15220</v>
      </c>
      <c r="D40" s="15">
        <v>0</v>
      </c>
      <c r="E40" s="15">
        <v>0</v>
      </c>
      <c r="F40" s="15">
        <v>1080</v>
      </c>
      <c r="G40" s="15">
        <v>61.56</v>
      </c>
      <c r="H40" s="15">
        <f>D40+F40+'01-09-20'!H39</f>
        <v>3794.4</v>
      </c>
      <c r="I40" s="15">
        <f>E40+G40+'01-09-20'!I39</f>
        <v>216.25</v>
      </c>
      <c r="J40" s="15">
        <f>H40+I40</f>
        <v>4010.65</v>
      </c>
      <c r="K40" s="14">
        <f>C40-J40</f>
        <v>11209.35</v>
      </c>
      <c r="L40" s="15">
        <f t="shared" si="15"/>
        <v>8249.1159726666665</v>
      </c>
    </row>
    <row r="41" spans="1:13" ht="21.6" customHeight="1" x14ac:dyDescent="0.25">
      <c r="A41" s="206" t="s">
        <v>27</v>
      </c>
      <c r="B41" s="207"/>
      <c r="C41" s="15">
        <f>SUM(C32:C40)</f>
        <v>52099.4</v>
      </c>
      <c r="D41" s="15">
        <f>SUM(D32:D40)</f>
        <v>282.85000000000002</v>
      </c>
      <c r="E41" s="15">
        <f>SUM(E32:E40)</f>
        <v>4.5199999999999996</v>
      </c>
      <c r="F41" s="15">
        <f>SUM(F32:F40)</f>
        <v>1080</v>
      </c>
      <c r="G41" s="15">
        <f>SUM(G32:G40)</f>
        <v>61.56</v>
      </c>
      <c r="H41" s="15">
        <f>SUM(H32, H33:H40)</f>
        <v>18947.52</v>
      </c>
      <c r="I41" s="15">
        <f>SUM(I32, I33:I40)</f>
        <v>580.56999999999994</v>
      </c>
      <c r="J41" s="15">
        <f>SUM(J32, J33:J40)</f>
        <v>19528.09</v>
      </c>
      <c r="K41" s="15">
        <f>SUM(K32, K33:K40)</f>
        <v>32571.309999999998</v>
      </c>
      <c r="L41" s="15">
        <f>SUM(L32, L33:L40)</f>
        <v>18157.756958266669</v>
      </c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12" t="s">
        <v>28</v>
      </c>
      <c r="B44" s="13" t="s">
        <v>29</v>
      </c>
      <c r="C44" s="95">
        <f>61895+688</f>
        <v>62583</v>
      </c>
      <c r="D44" s="14">
        <v>728.91</v>
      </c>
      <c r="E44" s="14">
        <v>11.66</v>
      </c>
      <c r="F44" s="14">
        <v>697.34</v>
      </c>
      <c r="G44" s="14">
        <v>39.74</v>
      </c>
      <c r="H44" s="15">
        <f>D44+F44+'01-09-20'!H43</f>
        <v>24898.11</v>
      </c>
      <c r="I44" s="15">
        <f>E44+G44+'01-09-20'!I43</f>
        <v>888.55</v>
      </c>
      <c r="J44" s="15">
        <f>H44+I44</f>
        <v>25786.66</v>
      </c>
      <c r="K44" s="14">
        <f>C44-J44</f>
        <v>36796.339999999997</v>
      </c>
      <c r="L44" s="15">
        <f>C44-((J44/15)*26.0714)</f>
        <v>17763.378165066664</v>
      </c>
    </row>
    <row r="45" spans="1:13" ht="21.6" customHeight="1" x14ac:dyDescent="0.25">
      <c r="A45" s="57" t="s">
        <v>30</v>
      </c>
      <c r="B45" s="58"/>
      <c r="C45" s="59">
        <f>C44</f>
        <v>62583</v>
      </c>
      <c r="D45" s="59">
        <f t="shared" ref="D45:L45" si="17">D44</f>
        <v>728.91</v>
      </c>
      <c r="E45" s="59">
        <f t="shared" si="17"/>
        <v>11.66</v>
      </c>
      <c r="F45" s="59">
        <f t="shared" si="17"/>
        <v>697.34</v>
      </c>
      <c r="G45" s="59">
        <f t="shared" si="17"/>
        <v>39.74</v>
      </c>
      <c r="H45" s="59">
        <f t="shared" si="17"/>
        <v>24898.11</v>
      </c>
      <c r="I45" s="59">
        <f t="shared" si="17"/>
        <v>888.55</v>
      </c>
      <c r="J45" s="59">
        <f t="shared" si="17"/>
        <v>25786.66</v>
      </c>
      <c r="K45" s="59">
        <f t="shared" si="17"/>
        <v>36796.339999999997</v>
      </c>
      <c r="L45" s="59">
        <f t="shared" si="17"/>
        <v>17763.378165066664</v>
      </c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40" t="s">
        <v>31</v>
      </c>
      <c r="B48" s="41">
        <v>55180000</v>
      </c>
      <c r="C48" s="95">
        <v>37736</v>
      </c>
      <c r="D48" s="14">
        <v>0</v>
      </c>
      <c r="E48" s="14">
        <v>0</v>
      </c>
      <c r="F48" s="14">
        <v>380.12</v>
      </c>
      <c r="G48" s="14">
        <v>21.66</v>
      </c>
      <c r="H48" s="15">
        <f>D48+F48+'01-09-20'!H47</f>
        <v>5951.369999999999</v>
      </c>
      <c r="I48" s="15">
        <f>E48+G48+'01-09-20'!I47</f>
        <v>339.15000000000009</v>
      </c>
      <c r="J48" s="15">
        <f>H48+I48</f>
        <v>6290.5199999999986</v>
      </c>
      <c r="K48" s="14">
        <f>C48-J48</f>
        <v>31445.480000000003</v>
      </c>
      <c r="L48" s="15">
        <f>C48-((J48/15)*26.0714)</f>
        <v>26802.489124800002</v>
      </c>
    </row>
    <row r="49" spans="1:12" s="43" customFormat="1" ht="21.6" customHeight="1" x14ac:dyDescent="0.25">
      <c r="A49" s="206" t="s">
        <v>32</v>
      </c>
      <c r="B49" s="207"/>
      <c r="C49" s="15">
        <f>SUM(C48)</f>
        <v>37736</v>
      </c>
      <c r="D49" s="15">
        <f t="shared" ref="D49:L49" si="18">SUM(D48)</f>
        <v>0</v>
      </c>
      <c r="E49" s="15">
        <f t="shared" si="18"/>
        <v>0</v>
      </c>
      <c r="F49" s="15">
        <f t="shared" si="18"/>
        <v>380.12</v>
      </c>
      <c r="G49" s="15">
        <f t="shared" si="18"/>
        <v>21.66</v>
      </c>
      <c r="H49" s="15">
        <f t="shared" si="18"/>
        <v>5951.369999999999</v>
      </c>
      <c r="I49" s="15">
        <f t="shared" si="18"/>
        <v>339.15000000000009</v>
      </c>
      <c r="J49" s="15">
        <f t="shared" si="18"/>
        <v>6290.5199999999986</v>
      </c>
      <c r="K49" s="15">
        <f t="shared" si="18"/>
        <v>31445.480000000003</v>
      </c>
      <c r="L49" s="15">
        <f t="shared" si="18"/>
        <v>26802.489124800002</v>
      </c>
    </row>
    <row r="50" spans="1:12" s="43" customFormat="1" ht="11.25" customHeight="1" x14ac:dyDescent="0.25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s="26" customFormat="1" ht="10.9" customHeight="1" x14ac:dyDescent="0.25">
      <c r="A51" s="205" t="s">
        <v>51</v>
      </c>
      <c r="B51" s="205"/>
      <c r="C51" s="205"/>
      <c r="D51" s="205"/>
      <c r="E51" s="205"/>
      <c r="F51" s="205"/>
      <c r="G51" s="83">
        <v>688</v>
      </c>
    </row>
    <row r="52" spans="1:12" s="26" customFormat="1" ht="10.9" customHeight="1" x14ac:dyDescent="0.25">
      <c r="A52" s="205" t="s">
        <v>55</v>
      </c>
      <c r="B52" s="205"/>
      <c r="C52" s="205"/>
      <c r="D52" s="205"/>
      <c r="E52" s="205"/>
      <c r="F52" s="205"/>
      <c r="G52" s="83">
        <v>12000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2376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2624</v>
      </c>
    </row>
    <row r="55" spans="1:12" s="26" customFormat="1" ht="10.9" customHeight="1" x14ac:dyDescent="0.25">
      <c r="A55" s="205" t="s">
        <v>58</v>
      </c>
      <c r="B55" s="205"/>
      <c r="C55" s="205"/>
      <c r="D55" s="205"/>
      <c r="E55" s="205"/>
      <c r="F55" s="205"/>
      <c r="G55" s="116">
        <v>2624</v>
      </c>
    </row>
    <row r="56" spans="1:12" s="26" customFormat="1" ht="10.9" customHeight="1" x14ac:dyDescent="0.25">
      <c r="A56" s="205" t="s">
        <v>60</v>
      </c>
      <c r="B56" s="205"/>
      <c r="C56" s="205"/>
      <c r="D56" s="205"/>
      <c r="E56" s="205"/>
      <c r="F56" s="205"/>
      <c r="G56" s="83">
        <v>5271.53</v>
      </c>
    </row>
    <row r="57" spans="1:12" s="26" customFormat="1" ht="10.9" customHeight="1" x14ac:dyDescent="0.25">
      <c r="A57" s="205" t="s">
        <v>62</v>
      </c>
      <c r="B57" s="205"/>
      <c r="C57" s="205"/>
      <c r="D57" s="205"/>
      <c r="E57" s="205"/>
      <c r="F57" s="205"/>
      <c r="G57" s="83">
        <v>765.34</v>
      </c>
    </row>
    <row r="58" spans="1:12" s="26" customFormat="1" ht="10.9" customHeight="1" x14ac:dyDescent="0.25">
      <c r="A58" s="205" t="s">
        <v>67</v>
      </c>
      <c r="B58" s="205"/>
      <c r="C58" s="205"/>
      <c r="D58" s="205"/>
      <c r="E58" s="205"/>
      <c r="F58" s="205"/>
      <c r="G58" s="83">
        <v>6353.95</v>
      </c>
    </row>
    <row r="59" spans="1:12" s="26" customFormat="1" ht="10.9" customHeight="1" x14ac:dyDescent="0.25">
      <c r="A59" s="205" t="s">
        <v>69</v>
      </c>
      <c r="B59" s="205"/>
      <c r="C59" s="205"/>
      <c r="D59" s="205"/>
      <c r="E59" s="205"/>
      <c r="F59" s="205"/>
      <c r="G59" s="83">
        <v>15220</v>
      </c>
    </row>
    <row r="60" spans="1:12" s="26" customFormat="1" ht="10.5" customHeight="1" x14ac:dyDescent="0.25">
      <c r="A60" s="205" t="s">
        <v>73</v>
      </c>
      <c r="B60" s="205"/>
      <c r="C60" s="205"/>
      <c r="D60" s="205"/>
      <c r="E60" s="205"/>
      <c r="F60" s="205"/>
      <c r="G60" s="83">
        <v>1850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800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243.88</v>
      </c>
    </row>
    <row r="63" spans="1:12" ht="10.5" customHeight="1" x14ac:dyDescent="0.25">
      <c r="A63" s="205" t="s">
        <v>78</v>
      </c>
      <c r="B63" s="205"/>
      <c r="C63" s="205"/>
      <c r="D63" s="205"/>
      <c r="E63" s="205"/>
      <c r="F63" s="205"/>
      <c r="G63" s="83">
        <v>200</v>
      </c>
    </row>
    <row r="64" spans="1:12" ht="10.5" customHeight="1" x14ac:dyDescent="0.25">
      <c r="A64" s="205" t="s">
        <v>81</v>
      </c>
      <c r="B64" s="205"/>
      <c r="C64" s="205"/>
      <c r="D64" s="205"/>
      <c r="E64" s="205"/>
      <c r="F64" s="205"/>
      <c r="G64" s="83">
        <v>150</v>
      </c>
    </row>
    <row r="65" spans="1:7" ht="10.5" customHeight="1" x14ac:dyDescent="0.25">
      <c r="A65" s="205" t="s">
        <v>82</v>
      </c>
      <c r="B65" s="205"/>
      <c r="C65" s="205"/>
      <c r="D65" s="205"/>
      <c r="E65" s="205"/>
      <c r="F65" s="205"/>
      <c r="G65" s="83">
        <v>243.88</v>
      </c>
    </row>
    <row r="66" spans="1:7" ht="10.5" customHeight="1" x14ac:dyDescent="0.25">
      <c r="A66" s="205" t="s">
        <v>86</v>
      </c>
      <c r="B66" s="205"/>
      <c r="C66" s="205"/>
      <c r="D66" s="205"/>
      <c r="E66" s="205"/>
      <c r="F66" s="205"/>
      <c r="G66" s="83">
        <v>21.07</v>
      </c>
    </row>
    <row r="67" spans="1:7" ht="10.5" customHeight="1" x14ac:dyDescent="0.25"/>
    <row r="68" spans="1:7" ht="10.5" customHeight="1" x14ac:dyDescent="0.25"/>
    <row r="69" spans="1:7" ht="10.5" customHeight="1" x14ac:dyDescent="0.25"/>
    <row r="70" spans="1:7" ht="10.5" customHeight="1" x14ac:dyDescent="0.25"/>
    <row r="71" spans="1:7" ht="10.5" customHeight="1" x14ac:dyDescent="0.25"/>
    <row r="72" spans="1:7" ht="10.5" customHeight="1" x14ac:dyDescent="0.25"/>
    <row r="73" spans="1:7" ht="10.5" customHeight="1" x14ac:dyDescent="0.25"/>
    <row r="74" spans="1:7" ht="10.5" customHeight="1" x14ac:dyDescent="0.25"/>
  </sheetData>
  <mergeCells count="22">
    <mergeCell ref="A56:F56"/>
    <mergeCell ref="A13:B13"/>
    <mergeCell ref="A19:B19"/>
    <mergeCell ref="A26:B26"/>
    <mergeCell ref="A29:B29"/>
    <mergeCell ref="A41:B41"/>
    <mergeCell ref="A49:B49"/>
    <mergeCell ref="A51:F51"/>
    <mergeCell ref="A52:F52"/>
    <mergeCell ref="A53:F53"/>
    <mergeCell ref="A54:F54"/>
    <mergeCell ref="A55:F55"/>
    <mergeCell ref="A63:F63"/>
    <mergeCell ref="A64:F64"/>
    <mergeCell ref="A65:F65"/>
    <mergeCell ref="A66:F66"/>
    <mergeCell ref="A57:F57"/>
    <mergeCell ref="A58:F58"/>
    <mergeCell ref="A59:F59"/>
    <mergeCell ref="A60:F60"/>
    <mergeCell ref="A61:F61"/>
    <mergeCell ref="A62:F62"/>
  </mergeCells>
  <pageMargins left="0.25" right="0" top="0.4" bottom="0" header="0.3" footer="0"/>
  <pageSetup scale="91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160" zoomScaleNormal="160" workbookViewId="0">
      <pane ySplit="2" topLeftCell="A28" activePane="bottomLeft" state="frozen"/>
      <selection pane="bottomLeft" activeCell="M1" sqref="M1:M1048576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92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D3+F3+'01-23-20'!H3</f>
        <v>3483.6000000000004</v>
      </c>
      <c r="I3" s="15">
        <f>E3+G3+'01-23-20'!I3</f>
        <v>157.35</v>
      </c>
      <c r="J3" s="15">
        <f>H3+I3</f>
        <v>3640.9500000000003</v>
      </c>
      <c r="K3" s="15">
        <f>C3-J3</f>
        <v>0</v>
      </c>
      <c r="L3" s="15">
        <f>C3-((J3/16)*26.0714)</f>
        <v>-2291.841489375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D4+F4+'01-23-20'!H4</f>
        <v>0</v>
      </c>
      <c r="I4" s="15">
        <f>E4+G4+'01-23-20'!I4</f>
        <v>0</v>
      </c>
      <c r="J4" s="15">
        <f>H4+I4</f>
        <v>0</v>
      </c>
      <c r="K4" s="15">
        <f>C4-J4</f>
        <v>3229</v>
      </c>
      <c r="L4" s="15">
        <f t="shared" ref="L4:L12" si="0">C4-((J4/16)*26.0714)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v>446.77</v>
      </c>
      <c r="E5" s="21">
        <v>7.14</v>
      </c>
      <c r="F5" s="21">
        <v>0</v>
      </c>
      <c r="G5" s="21">
        <v>0</v>
      </c>
      <c r="H5" s="15">
        <f>D5+F5+'01-23-20'!H5</f>
        <v>7789.3799999999992</v>
      </c>
      <c r="I5" s="15">
        <f>E5+G5+'01-23-20'!I5</f>
        <v>142.63999999999999</v>
      </c>
      <c r="J5" s="15">
        <f t="shared" ref="J5:J12" si="1">H5+I5</f>
        <v>7932.0199999999995</v>
      </c>
      <c r="K5" s="14">
        <f t="shared" ref="K5:K12" si="2">C5-J5</f>
        <v>16716.98</v>
      </c>
      <c r="L5" s="15">
        <f t="shared" si="0"/>
        <v>11724.07086075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638.25</v>
      </c>
      <c r="E6" s="14">
        <v>10.210000000000001</v>
      </c>
      <c r="F6" s="14">
        <v>0</v>
      </c>
      <c r="G6" s="14">
        <v>0</v>
      </c>
      <c r="H6" s="15">
        <f>D6+F6+'01-23-20'!H6</f>
        <v>7536.6899999999987</v>
      </c>
      <c r="I6" s="15">
        <f>E6+G6+'01-23-20'!I6</f>
        <v>124.13</v>
      </c>
      <c r="J6" s="15">
        <f t="shared" si="1"/>
        <v>7660.8199999999988</v>
      </c>
      <c r="K6" s="14">
        <f t="shared" si="2"/>
        <v>10313.18</v>
      </c>
      <c r="L6" s="15">
        <f t="shared" si="0"/>
        <v>5490.9810907500014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v>616.91999999999996</v>
      </c>
      <c r="E7" s="14">
        <v>9.86</v>
      </c>
      <c r="F7" s="14">
        <v>0</v>
      </c>
      <c r="G7" s="14">
        <v>0</v>
      </c>
      <c r="H7" s="15">
        <f>D7+F7+'01-23-20'!H7</f>
        <v>9733.77</v>
      </c>
      <c r="I7" s="15">
        <f>E7+G7+'01-23-20'!I7</f>
        <v>155.57000000000005</v>
      </c>
      <c r="J7" s="15">
        <f t="shared" si="1"/>
        <v>9889.34</v>
      </c>
      <c r="K7" s="14">
        <f t="shared" si="2"/>
        <v>8084.66</v>
      </c>
      <c r="L7" s="15">
        <f t="shared" si="0"/>
        <v>1859.69132025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374.87</v>
      </c>
      <c r="E8" s="14">
        <v>5.99</v>
      </c>
      <c r="F8" s="14">
        <v>0</v>
      </c>
      <c r="G8" s="14">
        <v>0</v>
      </c>
      <c r="H8" s="15">
        <f>D8+F8+'01-23-20'!H8</f>
        <v>9590.8200000000033</v>
      </c>
      <c r="I8" s="15">
        <f>E8+G8+'01-23-20'!I8</f>
        <v>153.34</v>
      </c>
      <c r="J8" s="15">
        <f t="shared" si="1"/>
        <v>9744.1600000000035</v>
      </c>
      <c r="K8" s="14">
        <f t="shared" si="2"/>
        <v>14585.839999999997</v>
      </c>
      <c r="L8" s="15">
        <f t="shared" si="0"/>
        <v>8452.2566859999934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1002.37</v>
      </c>
      <c r="E9" s="14">
        <v>16.02</v>
      </c>
      <c r="F9" s="14">
        <f>-1056</f>
        <v>-1056</v>
      </c>
      <c r="G9" s="14">
        <f>-60.19</f>
        <v>-60.19</v>
      </c>
      <c r="H9" s="15">
        <f>D9+F9+'01-23-20'!H9</f>
        <v>16261.510000000002</v>
      </c>
      <c r="I9" s="15">
        <f>E9+G9+'01-23-20'!I9</f>
        <v>388.78</v>
      </c>
      <c r="J9" s="15">
        <f t="shared" si="1"/>
        <v>16650.29</v>
      </c>
      <c r="K9" s="14">
        <f t="shared" si="2"/>
        <v>17349.71</v>
      </c>
      <c r="L9" s="15">
        <f t="shared" si="0"/>
        <v>6868.976830874999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v>2694.9</v>
      </c>
      <c r="E10" s="14">
        <v>43.11</v>
      </c>
      <c r="F10" s="14">
        <v>0</v>
      </c>
      <c r="G10" s="14">
        <v>0</v>
      </c>
      <c r="H10" s="15">
        <f>D10+F10+'01-23-20'!H10</f>
        <v>29484.71</v>
      </c>
      <c r="I10" s="15">
        <f>E10+G10+'01-23-20'!I10</f>
        <v>490.31999999999994</v>
      </c>
      <c r="J10" s="15">
        <f t="shared" si="1"/>
        <v>29975.03</v>
      </c>
      <c r="K10" s="14">
        <f t="shared" si="2"/>
        <v>12765.970000000001</v>
      </c>
      <c r="L10" s="15">
        <f t="shared" si="0"/>
        <v>-6102.1873213750005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549.91999999999996</v>
      </c>
      <c r="E11" s="14">
        <v>8.7899999999999991</v>
      </c>
      <c r="F11" s="14">
        <v>0</v>
      </c>
      <c r="G11" s="14">
        <v>0</v>
      </c>
      <c r="H11" s="15">
        <f>D11+F11+'01-23-20'!H11</f>
        <v>7462.51</v>
      </c>
      <c r="I11" s="15">
        <f>E11+G11+'01-23-20'!I11</f>
        <v>195.04000000000002</v>
      </c>
      <c r="J11" s="15">
        <f t="shared" si="1"/>
        <v>7657.55</v>
      </c>
      <c r="K11" s="14">
        <f t="shared" si="2"/>
        <v>15515.45</v>
      </c>
      <c r="L11" s="15">
        <f t="shared" si="0"/>
        <v>10695.309433124999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83.44</v>
      </c>
      <c r="E12" s="14">
        <v>1.33</v>
      </c>
      <c r="F12" s="14">
        <v>0</v>
      </c>
      <c r="G12" s="14">
        <v>0</v>
      </c>
      <c r="H12" s="15">
        <f>D12+F12+'01-23-20'!H12</f>
        <v>995.43000000000006</v>
      </c>
      <c r="I12" s="15">
        <f>E12+G12+'01-23-20'!I12</f>
        <v>15.820000000000002</v>
      </c>
      <c r="J12" s="15">
        <f t="shared" si="1"/>
        <v>1011.2500000000001</v>
      </c>
      <c r="K12" s="14">
        <f t="shared" si="2"/>
        <v>4988.75</v>
      </c>
      <c r="L12" s="15">
        <f t="shared" si="0"/>
        <v>4352.2060468749996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6407.44</v>
      </c>
      <c r="E13" s="15">
        <f t="shared" si="3"/>
        <v>102.45</v>
      </c>
      <c r="F13" s="15">
        <f t="shared" si="3"/>
        <v>-1056</v>
      </c>
      <c r="G13" s="15">
        <f t="shared" si="3"/>
        <v>-60.19</v>
      </c>
      <c r="H13" s="15">
        <f t="shared" si="3"/>
        <v>88854.819999999992</v>
      </c>
      <c r="I13" s="15">
        <f t="shared" si="3"/>
        <v>1665.6399999999999</v>
      </c>
      <c r="J13" s="14">
        <f t="shared" si="3"/>
        <v>90520.46</v>
      </c>
      <c r="K13" s="14">
        <f t="shared" si="3"/>
        <v>103549.54</v>
      </c>
      <c r="L13" s="15">
        <f t="shared" si="3"/>
        <v>46570.304947249984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D16+F16+'01-23-20'!H16</f>
        <v>0</v>
      </c>
      <c r="I16" s="15">
        <f>E16+G16+'01-23-20'!I16</f>
        <v>0</v>
      </c>
      <c r="J16" s="15">
        <f>H16+I16</f>
        <v>0</v>
      </c>
      <c r="K16" s="14">
        <f>C16-J16</f>
        <v>26923</v>
      </c>
      <c r="L16" s="15">
        <f t="shared" ref="L16:L18" si="4">C16-((J16/16)*26.0714)</f>
        <v>26923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243.48</v>
      </c>
      <c r="E17" s="15">
        <v>3.89</v>
      </c>
      <c r="F17" s="14">
        <v>0</v>
      </c>
      <c r="G17" s="14">
        <v>0</v>
      </c>
      <c r="H17" s="15">
        <f>D17+F17+'01-23-20'!H17</f>
        <v>3622.41</v>
      </c>
      <c r="I17" s="15">
        <f>E17+G17+'01-23-20'!I17</f>
        <v>75.02000000000001</v>
      </c>
      <c r="J17" s="15">
        <f>H17+I17</f>
        <v>3697.43</v>
      </c>
      <c r="K17" s="14">
        <f>C17-J17</f>
        <v>12364.57</v>
      </c>
      <c r="L17" s="15">
        <f t="shared" si="4"/>
        <v>10037.176468624999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D18+F18+'01-23-20'!H18</f>
        <v>939.63999999999987</v>
      </c>
      <c r="I18" s="15">
        <f>E18+G18+'01-23-20'!I18</f>
        <v>14.959999999999999</v>
      </c>
      <c r="J18" s="15">
        <f>H18+I18</f>
        <v>954.59999999999991</v>
      </c>
      <c r="K18" s="14">
        <f>C18-J18</f>
        <v>1071.4000000000001</v>
      </c>
      <c r="L18" s="15">
        <f t="shared" si="4"/>
        <v>470.51509750000014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243.48</v>
      </c>
      <c r="E19" s="15">
        <f t="shared" si="5"/>
        <v>3.89</v>
      </c>
      <c r="F19" s="15">
        <f t="shared" si="5"/>
        <v>0</v>
      </c>
      <c r="G19" s="15">
        <f t="shared" si="5"/>
        <v>0</v>
      </c>
      <c r="H19" s="15">
        <f t="shared" si="5"/>
        <v>4562.0499999999993</v>
      </c>
      <c r="I19" s="15">
        <f t="shared" si="5"/>
        <v>89.98</v>
      </c>
      <c r="J19" s="14">
        <f t="shared" si="5"/>
        <v>4652.03</v>
      </c>
      <c r="K19" s="15">
        <f t="shared" si="5"/>
        <v>40358.97</v>
      </c>
      <c r="L19" s="15">
        <f t="shared" si="5"/>
        <v>37430.691566124995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</f>
        <v>25150</v>
      </c>
      <c r="D23" s="14">
        <v>900</v>
      </c>
      <c r="E23" s="14">
        <v>14.4</v>
      </c>
      <c r="F23" s="14">
        <v>0</v>
      </c>
      <c r="G23" s="14">
        <v>0</v>
      </c>
      <c r="H23" s="15">
        <f>D23+F23+'01-23-20'!H23</f>
        <v>6517.5</v>
      </c>
      <c r="I23" s="15">
        <f>E23+G23+'01-23-20'!I23</f>
        <v>104.27999999999999</v>
      </c>
      <c r="J23" s="15">
        <f t="shared" si="7"/>
        <v>6621.78</v>
      </c>
      <c r="K23" s="14">
        <f t="shared" si="8"/>
        <v>18528.22</v>
      </c>
      <c r="L23" s="15">
        <f t="shared" ref="L23:L25" si="10">C23-((J23/16)*26.0714)</f>
        <v>14360.057806750001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634.59</v>
      </c>
      <c r="E24" s="48">
        <v>10.15</v>
      </c>
      <c r="F24" s="48">
        <v>0</v>
      </c>
      <c r="G24" s="48">
        <v>0</v>
      </c>
      <c r="H24" s="15">
        <f>D24+F24+'01-23-20'!H24</f>
        <v>6670.44</v>
      </c>
      <c r="I24" s="15">
        <f>E24+G24+'01-23-20'!I24</f>
        <v>128.5</v>
      </c>
      <c r="J24" s="15">
        <f t="shared" si="7"/>
        <v>6798.94</v>
      </c>
      <c r="K24" s="14">
        <f t="shared" si="8"/>
        <v>7701.06</v>
      </c>
      <c r="L24" s="15">
        <f t="shared" si="10"/>
        <v>3421.3822302500012</v>
      </c>
    </row>
    <row r="25" spans="1:13" s="43" customFormat="1" ht="10.9" customHeight="1" x14ac:dyDescent="0.25">
      <c r="A25" s="126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D25+F25+'01-23-20'!H25</f>
        <v>1968</v>
      </c>
      <c r="I25" s="15">
        <f>E25+G25+'01-23-20'!I25</f>
        <v>112.12</v>
      </c>
      <c r="J25" s="15">
        <f>H25+I25</f>
        <v>2080.12</v>
      </c>
      <c r="K25" s="14">
        <f>C25-J25</f>
        <v>3191.41</v>
      </c>
      <c r="L25" s="15">
        <f t="shared" si="10"/>
        <v>1882.0524645</v>
      </c>
    </row>
    <row r="26" spans="1:13" ht="24.75" customHeight="1" thickBot="1" x14ac:dyDescent="0.3">
      <c r="A26" s="210" t="s">
        <v>22</v>
      </c>
      <c r="B26" s="211"/>
      <c r="C26" s="49">
        <f>SUM(C22:C24)</f>
        <v>39650</v>
      </c>
      <c r="D26" s="49">
        <f t="shared" ref="D26:K26" si="11">SUM(D22:D25)</f>
        <v>1534.5900000000001</v>
      </c>
      <c r="E26" s="49">
        <f t="shared" si="11"/>
        <v>24.55</v>
      </c>
      <c r="F26" s="49">
        <f t="shared" si="11"/>
        <v>0</v>
      </c>
      <c r="G26" s="49">
        <f t="shared" si="11"/>
        <v>0</v>
      </c>
      <c r="H26" s="49">
        <f t="shared" si="11"/>
        <v>15155.939999999999</v>
      </c>
      <c r="I26" s="49">
        <f t="shared" si="11"/>
        <v>344.9</v>
      </c>
      <c r="J26" s="49">
        <f t="shared" si="11"/>
        <v>15500.84</v>
      </c>
      <c r="K26" s="49">
        <f t="shared" si="11"/>
        <v>29420.690000000002</v>
      </c>
      <c r="L26" s="50">
        <f>SUM(L23:L25)</f>
        <v>19663.492501500001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278731</v>
      </c>
      <c r="D29" s="50">
        <f t="shared" si="12"/>
        <v>8185.5099999999993</v>
      </c>
      <c r="E29" s="50">
        <f t="shared" si="12"/>
        <v>130.89000000000001</v>
      </c>
      <c r="F29" s="50">
        <f t="shared" si="12"/>
        <v>-1056</v>
      </c>
      <c r="G29" s="50">
        <f t="shared" si="12"/>
        <v>-60.19</v>
      </c>
      <c r="H29" s="50">
        <f t="shared" si="12"/>
        <v>108572.81</v>
      </c>
      <c r="I29" s="50">
        <f t="shared" si="12"/>
        <v>2100.52</v>
      </c>
      <c r="J29" s="50">
        <f t="shared" si="12"/>
        <v>110673.33</v>
      </c>
      <c r="K29" s="50">
        <f t="shared" si="12"/>
        <v>173329.2</v>
      </c>
      <c r="L29" s="50">
        <f t="shared" si="12"/>
        <v>103664.48901487498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26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D32+F32+'01-23-20'!H32</f>
        <v>0</v>
      </c>
      <c r="I32" s="15">
        <f>E32+G32+'01-23-20'!I32</f>
        <v>0</v>
      </c>
      <c r="J32" s="14">
        <f t="shared" ref="J32:J39" si="13">H32+I32</f>
        <v>0</v>
      </c>
      <c r="K32" s="14">
        <f t="shared" ref="K32:K39" si="14">C32-J32</f>
        <v>600.30999999999995</v>
      </c>
      <c r="L32" s="15">
        <f t="shared" ref="L32:L40" si="15">C32-((J32/16)*26.0714)</f>
        <v>600.30999999999995</v>
      </c>
    </row>
    <row r="33" spans="1:13" s="24" customFormat="1" ht="11.25" hidden="1" customHeight="1" x14ac:dyDescent="0.25">
      <c r="A33" s="124" t="s">
        <v>91</v>
      </c>
      <c r="B33" s="99" t="s">
        <v>66</v>
      </c>
      <c r="C33" s="14">
        <v>0</v>
      </c>
      <c r="D33" s="15">
        <f>-312.5</f>
        <v>-312.5</v>
      </c>
      <c r="E33" s="15">
        <f>-5</f>
        <v>-5</v>
      </c>
      <c r="F33" s="15"/>
      <c r="G33" s="15"/>
      <c r="H33" s="15">
        <f>D33+F33+'01-23-20'!H33</f>
        <v>0</v>
      </c>
      <c r="I33" s="15">
        <f>E33+G33+'01-23-20'!I33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28" t="s">
        <v>90</v>
      </c>
      <c r="B34" s="99" t="s">
        <v>89</v>
      </c>
      <c r="C34" s="14">
        <v>12000</v>
      </c>
      <c r="D34" s="14">
        <f>312.5+60</f>
        <v>372.5</v>
      </c>
      <c r="E34" s="14">
        <f>5+0.95</f>
        <v>5.95</v>
      </c>
      <c r="F34" s="14">
        <f>1056+960</f>
        <v>2016</v>
      </c>
      <c r="G34" s="14">
        <f>60.19+54.71</f>
        <v>114.9</v>
      </c>
      <c r="H34" s="14">
        <f>D34+F34+'01-23-20'!H34</f>
        <v>2388.5</v>
      </c>
      <c r="I34" s="14">
        <f>E34+G34+'01-23-20'!I34</f>
        <v>120.85000000000001</v>
      </c>
      <c r="J34" s="14">
        <f t="shared" si="13"/>
        <v>2509.35</v>
      </c>
      <c r="K34" s="14">
        <f>C34-J34</f>
        <v>9490.65</v>
      </c>
      <c r="L34" s="14">
        <f t="shared" si="15"/>
        <v>7911.1082756249998</v>
      </c>
      <c r="M34" s="44"/>
    </row>
    <row r="35" spans="1:13" s="24" customFormat="1" ht="11.25" customHeight="1" x14ac:dyDescent="0.25">
      <c r="A35" s="126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D35+F35+'01-23-20'!H35</f>
        <v>277.20000000000005</v>
      </c>
      <c r="I35" s="15">
        <f>E35+G35+'01-23-20'!I35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287.92378212499989</v>
      </c>
    </row>
    <row r="36" spans="1:13" s="24" customFormat="1" ht="11.25" customHeight="1" x14ac:dyDescent="0.25">
      <c r="A36" s="126" t="s">
        <v>68</v>
      </c>
      <c r="B36" s="93" t="s">
        <v>66</v>
      </c>
      <c r="C36" s="15">
        <v>6353.85</v>
      </c>
      <c r="D36" s="15">
        <v>291.62</v>
      </c>
      <c r="E36" s="15">
        <v>4.66</v>
      </c>
      <c r="F36" s="15">
        <v>0</v>
      </c>
      <c r="G36" s="15">
        <v>0</v>
      </c>
      <c r="H36" s="15">
        <f>D36+F36+'01-23-20'!H36</f>
        <v>2704.43</v>
      </c>
      <c r="I36" s="15">
        <f>E36+G36+'01-23-20'!I36</f>
        <v>43.2</v>
      </c>
      <c r="J36" s="15">
        <f t="shared" si="13"/>
        <v>2747.6299999999997</v>
      </c>
      <c r="K36" s="15">
        <f t="shared" si="14"/>
        <v>3606.2200000000007</v>
      </c>
      <c r="L36" s="15">
        <f t="shared" si="15"/>
        <v>1876.6899511250012</v>
      </c>
      <c r="M36" s="25"/>
    </row>
    <row r="37" spans="1:13" s="24" customFormat="1" ht="11.45" customHeight="1" x14ac:dyDescent="0.25">
      <c r="A37" s="126" t="s">
        <v>36</v>
      </c>
      <c r="B37" s="93" t="s">
        <v>75</v>
      </c>
      <c r="C37" s="95">
        <v>2043</v>
      </c>
      <c r="D37" s="14">
        <v>315</v>
      </c>
      <c r="E37" s="14">
        <v>5.03</v>
      </c>
      <c r="F37" s="14">
        <v>0</v>
      </c>
      <c r="G37" s="14">
        <v>0</v>
      </c>
      <c r="H37" s="15">
        <f>D37+F37+'01-23-20'!H37</f>
        <v>4512.79</v>
      </c>
      <c r="I37" s="15">
        <f>E37+G37+'01-23-20'!I37</f>
        <v>182.82</v>
      </c>
      <c r="J37" s="15">
        <f t="shared" si="13"/>
        <v>4695.6099999999997</v>
      </c>
      <c r="K37" s="117">
        <f t="shared" si="14"/>
        <v>-2652.6099999999997</v>
      </c>
      <c r="L37" s="15">
        <f t="shared" si="15"/>
        <v>-5608.3204096249992</v>
      </c>
    </row>
    <row r="38" spans="1:13" s="25" customFormat="1" ht="11.45" customHeight="1" x14ac:dyDescent="0.25">
      <c r="A38" s="127" t="s">
        <v>42</v>
      </c>
      <c r="B38" s="13" t="s">
        <v>43</v>
      </c>
      <c r="C38" s="95">
        <f>900+1850</f>
        <v>2750</v>
      </c>
      <c r="D38" s="14">
        <v>0</v>
      </c>
      <c r="E38" s="14">
        <v>0</v>
      </c>
      <c r="F38" s="14">
        <v>0</v>
      </c>
      <c r="G38" s="14">
        <v>0</v>
      </c>
      <c r="H38" s="15">
        <f>D38+F38+'01-23-20'!H38</f>
        <v>2324.0699999999997</v>
      </c>
      <c r="I38" s="15">
        <f>E38+G38+'01-23-20'!I38</f>
        <v>37.15</v>
      </c>
      <c r="J38" s="15">
        <f t="shared" si="13"/>
        <v>2361.2199999999998</v>
      </c>
      <c r="K38" s="14">
        <f t="shared" si="14"/>
        <v>388.7800000000002</v>
      </c>
      <c r="L38" s="15">
        <f t="shared" si="15"/>
        <v>-1097.5194442499997</v>
      </c>
    </row>
    <row r="39" spans="1:13" s="25" customFormat="1" ht="11.45" customHeight="1" x14ac:dyDescent="0.25">
      <c r="A39" s="127" t="s">
        <v>48</v>
      </c>
      <c r="B39" s="13" t="s">
        <v>49</v>
      </c>
      <c r="C39" s="95">
        <v>12366.9</v>
      </c>
      <c r="D39" s="15">
        <v>0</v>
      </c>
      <c r="E39" s="15">
        <v>0</v>
      </c>
      <c r="F39" s="15">
        <v>0</v>
      </c>
      <c r="G39" s="15">
        <v>0</v>
      </c>
      <c r="H39" s="15">
        <f>D39+F39+'01-23-20'!H39</f>
        <v>5628.75</v>
      </c>
      <c r="I39" s="15">
        <f>E39+G39+'01-23-20'!I39</f>
        <v>90.05</v>
      </c>
      <c r="J39" s="15">
        <f t="shared" si="13"/>
        <v>5718.8</v>
      </c>
      <c r="K39" s="15">
        <f t="shared" si="14"/>
        <v>6648.0999999999995</v>
      </c>
      <c r="L39" s="15">
        <f t="shared" si="15"/>
        <v>3048.329855</v>
      </c>
    </row>
    <row r="40" spans="1:13" s="25" customFormat="1" ht="11.45" customHeight="1" x14ac:dyDescent="0.25">
      <c r="A40" s="125" t="s">
        <v>26</v>
      </c>
      <c r="B40" s="41" t="s">
        <v>47</v>
      </c>
      <c r="C40" s="66">
        <v>15220</v>
      </c>
      <c r="D40" s="15">
        <v>0</v>
      </c>
      <c r="E40" s="15">
        <v>0</v>
      </c>
      <c r="F40" s="15">
        <v>750</v>
      </c>
      <c r="G40" s="15">
        <v>42.75</v>
      </c>
      <c r="H40" s="15">
        <f>D40+F40+'01-23-20'!H40</f>
        <v>4544.3999999999996</v>
      </c>
      <c r="I40" s="15">
        <f>E40+G40+'01-23-20'!I40</f>
        <v>259</v>
      </c>
      <c r="J40" s="15">
        <f>H40+I40</f>
        <v>4803.3999999999996</v>
      </c>
      <c r="K40" s="14">
        <f>C40-J40</f>
        <v>10416.6</v>
      </c>
      <c r="L40" s="15">
        <f t="shared" si="15"/>
        <v>7393.0398275000007</v>
      </c>
    </row>
    <row r="41" spans="1:13" ht="21.6" customHeight="1" x14ac:dyDescent="0.25">
      <c r="A41" s="206" t="s">
        <v>27</v>
      </c>
      <c r="B41" s="207"/>
      <c r="C41" s="15">
        <f>SUM(C32:C40)</f>
        <v>52099.4</v>
      </c>
      <c r="D41" s="15">
        <f>SUM(D32:D40)</f>
        <v>666.62</v>
      </c>
      <c r="E41" s="15">
        <f>SUM(E32:E40)</f>
        <v>10.64</v>
      </c>
      <c r="F41" s="15">
        <f>SUM(F32:F40)</f>
        <v>2766</v>
      </c>
      <c r="G41" s="15">
        <f>SUM(G32:G40)</f>
        <v>157.65</v>
      </c>
      <c r="H41" s="15">
        <f>SUM(H32, H33:H40)</f>
        <v>22380.14</v>
      </c>
      <c r="I41" s="15">
        <f>SUM(I32, I33:I40)</f>
        <v>748.86</v>
      </c>
      <c r="J41" s="15">
        <f>SUM(J32, J33:J40)</f>
        <v>23129</v>
      </c>
      <c r="K41" s="15">
        <f>SUM(K32, K33:K40)</f>
        <v>28970.400000000001</v>
      </c>
      <c r="L41" s="15">
        <f>SUM(L32, L33:L40)</f>
        <v>14411.561837500003</v>
      </c>
    </row>
    <row r="42" spans="1:13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130" t="s">
        <v>28</v>
      </c>
      <c r="B44" s="13" t="s">
        <v>29</v>
      </c>
      <c r="C44" s="95">
        <f>61895+688</f>
        <v>62583</v>
      </c>
      <c r="D44" s="14">
        <v>1344.16</v>
      </c>
      <c r="E44" s="14">
        <v>21.5</v>
      </c>
      <c r="F44" s="14">
        <v>440</v>
      </c>
      <c r="G44" s="14">
        <v>25.07</v>
      </c>
      <c r="H44" s="15">
        <f>D44+F44+'01-23-20'!H44</f>
        <v>26682.27</v>
      </c>
      <c r="I44" s="15">
        <f>E44+G44+'01-23-20'!I44</f>
        <v>935.12</v>
      </c>
      <c r="J44" s="15">
        <f>H44+I44</f>
        <v>27617.39</v>
      </c>
      <c r="K44" s="14">
        <f>C44-J44</f>
        <v>34965.61</v>
      </c>
      <c r="L44" s="15">
        <f>C44-((J44/16)*26.0714)</f>
        <v>17581.498647125001</v>
      </c>
    </row>
    <row r="45" spans="1:13" ht="21.6" customHeight="1" x14ac:dyDescent="0.25">
      <c r="A45" s="57" t="s">
        <v>30</v>
      </c>
      <c r="B45" s="58"/>
      <c r="C45" s="59">
        <f>C44</f>
        <v>62583</v>
      </c>
      <c r="D45" s="59">
        <f t="shared" ref="D45:L45" si="16">D44</f>
        <v>1344.16</v>
      </c>
      <c r="E45" s="59">
        <f t="shared" si="16"/>
        <v>21.5</v>
      </c>
      <c r="F45" s="59">
        <f t="shared" si="16"/>
        <v>440</v>
      </c>
      <c r="G45" s="59">
        <f t="shared" si="16"/>
        <v>25.07</v>
      </c>
      <c r="H45" s="59">
        <f t="shared" si="16"/>
        <v>26682.27</v>
      </c>
      <c r="I45" s="59">
        <f t="shared" si="16"/>
        <v>935.12</v>
      </c>
      <c r="J45" s="59">
        <f t="shared" si="16"/>
        <v>27617.39</v>
      </c>
      <c r="K45" s="59">
        <f t="shared" si="16"/>
        <v>34965.61</v>
      </c>
      <c r="L45" s="59">
        <f t="shared" si="16"/>
        <v>17581.498647125001</v>
      </c>
    </row>
    <row r="46" spans="1:13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129" t="s">
        <v>31</v>
      </c>
      <c r="B48" s="41">
        <v>55180000</v>
      </c>
      <c r="C48" s="95">
        <v>37736</v>
      </c>
      <c r="D48" s="14">
        <v>0</v>
      </c>
      <c r="E48" s="14">
        <v>0</v>
      </c>
      <c r="F48" s="14">
        <v>423.98</v>
      </c>
      <c r="G48" s="14">
        <v>24.16</v>
      </c>
      <c r="H48" s="15">
        <f>D48+F48+'01-23-20'!H48</f>
        <v>6375.3499999999985</v>
      </c>
      <c r="I48" s="15">
        <f>E48+G48+'01-23-20'!I48</f>
        <v>363.31000000000012</v>
      </c>
      <c r="J48" s="15">
        <f>H48+I48</f>
        <v>6738.6599999999989</v>
      </c>
      <c r="K48" s="14">
        <f>C48-J48</f>
        <v>30997.34</v>
      </c>
      <c r="L48" s="15">
        <f>C48-((J48/16)*26.0714)</f>
        <v>26755.606229750003</v>
      </c>
    </row>
    <row r="49" spans="1:12" s="43" customFormat="1" ht="21.6" customHeight="1" x14ac:dyDescent="0.25">
      <c r="A49" s="206" t="s">
        <v>32</v>
      </c>
      <c r="B49" s="207"/>
      <c r="C49" s="15">
        <f>SUM(C48)</f>
        <v>37736</v>
      </c>
      <c r="D49" s="15">
        <f t="shared" ref="D49:L49" si="17">SUM(D48)</f>
        <v>0</v>
      </c>
      <c r="E49" s="15">
        <f t="shared" si="17"/>
        <v>0</v>
      </c>
      <c r="F49" s="15">
        <f t="shared" si="17"/>
        <v>423.98</v>
      </c>
      <c r="G49" s="15">
        <f t="shared" si="17"/>
        <v>24.16</v>
      </c>
      <c r="H49" s="15">
        <f t="shared" si="17"/>
        <v>6375.3499999999985</v>
      </c>
      <c r="I49" s="15">
        <f t="shared" si="17"/>
        <v>363.31000000000012</v>
      </c>
      <c r="J49" s="15">
        <f t="shared" si="17"/>
        <v>6738.6599999999989</v>
      </c>
      <c r="K49" s="15">
        <f t="shared" si="17"/>
        <v>30997.34</v>
      </c>
      <c r="L49" s="15">
        <f t="shared" si="17"/>
        <v>26755.606229750003</v>
      </c>
    </row>
    <row r="50" spans="1:12" s="43" customFormat="1" ht="11.25" customHeight="1" x14ac:dyDescent="0.25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s="26" customFormat="1" ht="10.9" customHeight="1" x14ac:dyDescent="0.25">
      <c r="A51" s="205" t="s">
        <v>51</v>
      </c>
      <c r="B51" s="205"/>
      <c r="C51" s="205"/>
      <c r="D51" s="205"/>
      <c r="E51" s="205"/>
      <c r="F51" s="205"/>
      <c r="G51" s="83">
        <v>688</v>
      </c>
    </row>
    <row r="52" spans="1:12" s="26" customFormat="1" ht="10.9" customHeight="1" x14ac:dyDescent="0.25">
      <c r="A52" s="205" t="s">
        <v>55</v>
      </c>
      <c r="B52" s="205"/>
      <c r="C52" s="205"/>
      <c r="D52" s="205"/>
      <c r="E52" s="205"/>
      <c r="F52" s="205"/>
      <c r="G52" s="83">
        <v>12000</v>
      </c>
    </row>
    <row r="53" spans="1:12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2376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2624</v>
      </c>
    </row>
    <row r="55" spans="1:12" s="26" customFormat="1" ht="10.9" customHeight="1" x14ac:dyDescent="0.25">
      <c r="A55" s="205" t="s">
        <v>58</v>
      </c>
      <c r="B55" s="205"/>
      <c r="C55" s="205"/>
      <c r="D55" s="205"/>
      <c r="E55" s="205"/>
      <c r="F55" s="205"/>
      <c r="G55" s="116">
        <v>2624</v>
      </c>
    </row>
    <row r="56" spans="1:12" s="26" customFormat="1" ht="10.9" customHeight="1" x14ac:dyDescent="0.25">
      <c r="A56" s="205" t="s">
        <v>60</v>
      </c>
      <c r="B56" s="205"/>
      <c r="C56" s="205"/>
      <c r="D56" s="205"/>
      <c r="E56" s="205"/>
      <c r="F56" s="205"/>
      <c r="G56" s="83">
        <v>5271.53</v>
      </c>
    </row>
    <row r="57" spans="1:12" s="26" customFormat="1" ht="10.9" customHeight="1" x14ac:dyDescent="0.25">
      <c r="A57" s="205" t="s">
        <v>62</v>
      </c>
      <c r="B57" s="205"/>
      <c r="C57" s="205"/>
      <c r="D57" s="205"/>
      <c r="E57" s="205"/>
      <c r="F57" s="205"/>
      <c r="G57" s="83">
        <v>765.34</v>
      </c>
    </row>
    <row r="58" spans="1:12" s="26" customFormat="1" ht="10.9" customHeight="1" x14ac:dyDescent="0.25">
      <c r="A58" s="205" t="s">
        <v>67</v>
      </c>
      <c r="B58" s="205"/>
      <c r="C58" s="205"/>
      <c r="D58" s="205"/>
      <c r="E58" s="205"/>
      <c r="F58" s="205"/>
      <c r="G58" s="83">
        <v>6353.95</v>
      </c>
    </row>
    <row r="59" spans="1:12" s="26" customFormat="1" ht="10.9" customHeight="1" x14ac:dyDescent="0.25">
      <c r="A59" s="205" t="s">
        <v>69</v>
      </c>
      <c r="B59" s="205"/>
      <c r="C59" s="205"/>
      <c r="D59" s="205"/>
      <c r="E59" s="205"/>
      <c r="F59" s="205"/>
      <c r="G59" s="83">
        <v>15220</v>
      </c>
    </row>
    <row r="60" spans="1:12" s="26" customFormat="1" ht="10.5" customHeight="1" x14ac:dyDescent="0.25">
      <c r="A60" s="205" t="s">
        <v>73</v>
      </c>
      <c r="B60" s="205"/>
      <c r="C60" s="205"/>
      <c r="D60" s="205"/>
      <c r="E60" s="205"/>
      <c r="F60" s="205"/>
      <c r="G60" s="83">
        <v>1850</v>
      </c>
    </row>
    <row r="61" spans="1:12" ht="10.5" customHeight="1" x14ac:dyDescent="0.25">
      <c r="A61" s="205" t="s">
        <v>77</v>
      </c>
      <c r="B61" s="205"/>
      <c r="C61" s="205"/>
      <c r="D61" s="205"/>
      <c r="E61" s="205"/>
      <c r="F61" s="205"/>
      <c r="G61" s="83">
        <v>800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243.88</v>
      </c>
    </row>
    <row r="63" spans="1:12" ht="10.5" customHeight="1" x14ac:dyDescent="0.25">
      <c r="A63" s="205" t="s">
        <v>78</v>
      </c>
      <c r="B63" s="205"/>
      <c r="C63" s="205"/>
      <c r="D63" s="205"/>
      <c r="E63" s="205"/>
      <c r="F63" s="205"/>
      <c r="G63" s="83">
        <v>200</v>
      </c>
    </row>
    <row r="64" spans="1:12" ht="10.5" customHeight="1" x14ac:dyDescent="0.25">
      <c r="A64" s="205" t="s">
        <v>81</v>
      </c>
      <c r="B64" s="205"/>
      <c r="C64" s="205"/>
      <c r="D64" s="205"/>
      <c r="E64" s="205"/>
      <c r="F64" s="205"/>
      <c r="G64" s="83">
        <v>150</v>
      </c>
    </row>
    <row r="65" spans="1:7" ht="10.5" customHeight="1" x14ac:dyDescent="0.25">
      <c r="A65" s="205" t="s">
        <v>82</v>
      </c>
      <c r="B65" s="205"/>
      <c r="C65" s="205"/>
      <c r="D65" s="205"/>
      <c r="E65" s="205"/>
      <c r="F65" s="205"/>
      <c r="G65" s="83">
        <v>243.88</v>
      </c>
    </row>
    <row r="66" spans="1:7" ht="10.5" customHeight="1" x14ac:dyDescent="0.25">
      <c r="A66" s="205" t="s">
        <v>86</v>
      </c>
      <c r="B66" s="205"/>
      <c r="C66" s="205"/>
      <c r="D66" s="205"/>
      <c r="E66" s="205"/>
      <c r="F66" s="205"/>
      <c r="G66" s="83">
        <v>21.07</v>
      </c>
    </row>
    <row r="67" spans="1:7" ht="10.5" customHeight="1" x14ac:dyDescent="0.25"/>
    <row r="68" spans="1:7" ht="10.5" customHeight="1" x14ac:dyDescent="0.25"/>
    <row r="69" spans="1:7" ht="10.5" customHeight="1" x14ac:dyDescent="0.25"/>
    <row r="70" spans="1:7" ht="10.5" customHeight="1" x14ac:dyDescent="0.25"/>
    <row r="71" spans="1:7" ht="10.5" customHeight="1" x14ac:dyDescent="0.25"/>
    <row r="72" spans="1:7" ht="10.5" customHeight="1" x14ac:dyDescent="0.25"/>
    <row r="73" spans="1:7" ht="10.5" customHeight="1" x14ac:dyDescent="0.25"/>
    <row r="74" spans="1:7" ht="10.5" customHeight="1" x14ac:dyDescent="0.25"/>
  </sheetData>
  <mergeCells count="22">
    <mergeCell ref="A56:F56"/>
    <mergeCell ref="A13:B13"/>
    <mergeCell ref="A19:B19"/>
    <mergeCell ref="A26:B26"/>
    <mergeCell ref="A29:B29"/>
    <mergeCell ref="A41:B41"/>
    <mergeCell ref="A49:B49"/>
    <mergeCell ref="A51:F51"/>
    <mergeCell ref="A52:F52"/>
    <mergeCell ref="A53:F53"/>
    <mergeCell ref="A54:F54"/>
    <mergeCell ref="A55:F55"/>
    <mergeCell ref="A63:F63"/>
    <mergeCell ref="A64:F64"/>
    <mergeCell ref="A65:F65"/>
    <mergeCell ref="A66:F66"/>
    <mergeCell ref="A57:F57"/>
    <mergeCell ref="A58:F58"/>
    <mergeCell ref="A59:F59"/>
    <mergeCell ref="A60:F60"/>
    <mergeCell ref="A61:F61"/>
    <mergeCell ref="A62:F62"/>
  </mergeCells>
  <pageMargins left="0.25" right="0" top="0.4" bottom="0" header="0.3" footer="0"/>
  <pageSetup scale="91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opLeftCell="B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95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D3+F3+'02-06-20'!H3</f>
        <v>3483.6000000000004</v>
      </c>
      <c r="I3" s="15">
        <f>E3+G3+'02-06-20'!I3</f>
        <v>157.35</v>
      </c>
      <c r="J3" s="15">
        <f>H3+I3</f>
        <v>3640.9500000000003</v>
      </c>
      <c r="K3" s="15">
        <f>C3-J3</f>
        <v>0</v>
      </c>
      <c r="L3" s="15">
        <f>C3-((J3/17)*26.0714)</f>
        <v>-1942.8537547058827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D4+F4+'02-06-20'!H4</f>
        <v>0</v>
      </c>
      <c r="I4" s="15">
        <f>E4+G4+'02-06-20'!I4</f>
        <v>0</v>
      </c>
      <c r="J4" s="15">
        <f>H4+I4</f>
        <v>0</v>
      </c>
      <c r="K4" s="15">
        <f>C4-J4</f>
        <v>3229</v>
      </c>
      <c r="L4" s="15">
        <f t="shared" ref="L4:L12" si="0">C4-((J4/17)*26.0714)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v>415.73</v>
      </c>
      <c r="E5" s="21">
        <v>6.65</v>
      </c>
      <c r="F5" s="21">
        <v>0</v>
      </c>
      <c r="G5" s="21">
        <v>0</v>
      </c>
      <c r="H5" s="15">
        <f>D5+F5+'02-06-20'!H5</f>
        <v>8205.1099999999988</v>
      </c>
      <c r="I5" s="15">
        <f>E5+G5+'02-06-20'!I5</f>
        <v>149.29</v>
      </c>
      <c r="J5" s="15">
        <f t="shared" ref="J5:J12" si="1">H5+I5</f>
        <v>8354.4</v>
      </c>
      <c r="K5" s="14">
        <f t="shared" ref="K5:K12" si="2">C5-J5</f>
        <v>16294.6</v>
      </c>
      <c r="L5" s="15">
        <f t="shared" si="0"/>
        <v>11836.593872941176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629.11</v>
      </c>
      <c r="E6" s="14">
        <v>10.06</v>
      </c>
      <c r="F6" s="14">
        <v>0</v>
      </c>
      <c r="G6" s="14">
        <v>0</v>
      </c>
      <c r="H6" s="15">
        <f>D6+F6+'02-06-20'!H6</f>
        <v>8165.7999999999984</v>
      </c>
      <c r="I6" s="15">
        <f>E6+G6+'02-06-20'!I6</f>
        <v>134.19</v>
      </c>
      <c r="J6" s="15">
        <f t="shared" si="1"/>
        <v>8299.989999999998</v>
      </c>
      <c r="K6" s="14">
        <f t="shared" si="2"/>
        <v>9674.010000000002</v>
      </c>
      <c r="L6" s="15">
        <f t="shared" si="0"/>
        <v>5245.037689058825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v>690.56</v>
      </c>
      <c r="E7" s="14">
        <v>11.04</v>
      </c>
      <c r="F7" s="14">
        <v>0</v>
      </c>
      <c r="G7" s="14">
        <v>0</v>
      </c>
      <c r="H7" s="15">
        <f>D7+F7+'02-06-20'!H7</f>
        <v>10424.33</v>
      </c>
      <c r="I7" s="15">
        <f>E7+G7+'02-06-20'!I7</f>
        <v>166.61000000000004</v>
      </c>
      <c r="J7" s="15">
        <f t="shared" si="1"/>
        <v>10590.94</v>
      </c>
      <c r="K7" s="14">
        <f t="shared" si="2"/>
        <v>7383.0599999999995</v>
      </c>
      <c r="L7" s="15">
        <f t="shared" si="0"/>
        <v>1731.6098167058826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328.31</v>
      </c>
      <c r="E8" s="14">
        <v>5.25</v>
      </c>
      <c r="F8" s="14">
        <v>0</v>
      </c>
      <c r="G8" s="14">
        <v>0</v>
      </c>
      <c r="H8" s="15">
        <f>D8+F8+'02-06-20'!H8</f>
        <v>9919.1300000000028</v>
      </c>
      <c r="I8" s="15">
        <f>E8+G8+'02-06-20'!I8</f>
        <v>158.59</v>
      </c>
      <c r="J8" s="15">
        <f t="shared" si="1"/>
        <v>10077.720000000003</v>
      </c>
      <c r="K8" s="14">
        <f t="shared" si="2"/>
        <v>14252.279999999997</v>
      </c>
      <c r="L8" s="15">
        <f t="shared" si="0"/>
        <v>8874.69004658823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813.34</v>
      </c>
      <c r="E9" s="14">
        <v>13.01</v>
      </c>
      <c r="F9" s="14">
        <v>0</v>
      </c>
      <c r="G9" s="14">
        <v>0</v>
      </c>
      <c r="H9" s="15">
        <f>D9+F9+'02-06-20'!H9</f>
        <v>17074.850000000002</v>
      </c>
      <c r="I9" s="15">
        <f>E9+G9+'02-06-20'!I9</f>
        <v>401.78999999999996</v>
      </c>
      <c r="J9" s="15">
        <f t="shared" si="1"/>
        <v>17476.640000000003</v>
      </c>
      <c r="K9" s="14">
        <f t="shared" si="2"/>
        <v>16523.359999999997</v>
      </c>
      <c r="L9" s="15">
        <f t="shared" si="0"/>
        <v>7197.6192884705815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v>2317</v>
      </c>
      <c r="E10" s="14">
        <v>37.07</v>
      </c>
      <c r="F10" s="14">
        <v>0</v>
      </c>
      <c r="G10" s="14">
        <v>0</v>
      </c>
      <c r="H10" s="15">
        <f>D10+F10+'02-06-20'!H10</f>
        <v>31801.71</v>
      </c>
      <c r="I10" s="15">
        <f>E10+G10+'02-06-20'!I10</f>
        <v>527.39</v>
      </c>
      <c r="J10" s="15">
        <f t="shared" si="1"/>
        <v>32329.1</v>
      </c>
      <c r="K10" s="14">
        <f t="shared" si="2"/>
        <v>10411.900000000001</v>
      </c>
      <c r="L10" s="15">
        <f t="shared" si="0"/>
        <v>-6839.2881023529408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556.97</v>
      </c>
      <c r="E11" s="14">
        <v>8.91</v>
      </c>
      <c r="F11" s="14">
        <v>0</v>
      </c>
      <c r="G11" s="14">
        <v>0</v>
      </c>
      <c r="H11" s="15">
        <f>D11+F11+'02-06-20'!H11</f>
        <v>8019.4800000000005</v>
      </c>
      <c r="I11" s="15">
        <f>E11+G11+'02-06-20'!I11</f>
        <v>203.95000000000002</v>
      </c>
      <c r="J11" s="15">
        <f t="shared" si="1"/>
        <v>8223.43</v>
      </c>
      <c r="K11" s="14">
        <f t="shared" si="2"/>
        <v>14949.57</v>
      </c>
      <c r="L11" s="15">
        <f t="shared" si="0"/>
        <v>10561.451005764706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41.96</v>
      </c>
      <c r="E12" s="14">
        <v>0.67</v>
      </c>
      <c r="F12" s="14">
        <v>0</v>
      </c>
      <c r="G12" s="14">
        <v>0</v>
      </c>
      <c r="H12" s="15">
        <f>D12+F12+'02-06-20'!H12</f>
        <v>1037.3900000000001</v>
      </c>
      <c r="I12" s="15">
        <f>E12+G12+'02-06-20'!I12</f>
        <v>16.490000000000002</v>
      </c>
      <c r="J12" s="15">
        <f t="shared" si="1"/>
        <v>1053.8800000000001</v>
      </c>
      <c r="K12" s="14">
        <f t="shared" si="2"/>
        <v>4946.12</v>
      </c>
      <c r="L12" s="15">
        <f t="shared" si="0"/>
        <v>4383.7572334117649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5792.9800000000005</v>
      </c>
      <c r="E13" s="15">
        <f t="shared" si="3"/>
        <v>92.66</v>
      </c>
      <c r="F13" s="15">
        <f t="shared" si="3"/>
        <v>0</v>
      </c>
      <c r="G13" s="15">
        <f t="shared" si="3"/>
        <v>0</v>
      </c>
      <c r="H13" s="15">
        <f t="shared" si="3"/>
        <v>98131.4</v>
      </c>
      <c r="I13" s="15">
        <f t="shared" si="3"/>
        <v>1915.65</v>
      </c>
      <c r="J13" s="14">
        <f t="shared" si="3"/>
        <v>100047.04999999999</v>
      </c>
      <c r="K13" s="14">
        <f t="shared" si="3"/>
        <v>97663.9</v>
      </c>
      <c r="L13" s="15">
        <f t="shared" si="3"/>
        <v>44277.617095882342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196.88</v>
      </c>
      <c r="E16" s="14">
        <v>3.15</v>
      </c>
      <c r="F16" s="14">
        <v>0</v>
      </c>
      <c r="G16" s="14">
        <v>0</v>
      </c>
      <c r="H16" s="15">
        <f>D16+F16+'02-06-20'!H16</f>
        <v>196.88</v>
      </c>
      <c r="I16" s="15">
        <f>E16+G16+'02-06-20'!I16</f>
        <v>3.15</v>
      </c>
      <c r="J16" s="15">
        <f>H16+I16</f>
        <v>200.03</v>
      </c>
      <c r="K16" s="14">
        <f>C16-J16</f>
        <v>26722.97</v>
      </c>
      <c r="L16" s="15">
        <f t="shared" ref="L16:L18" si="4">C16-((J16/17)*26.0714)</f>
        <v>26616.231638705882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239.73</v>
      </c>
      <c r="E17" s="15">
        <v>3.83</v>
      </c>
      <c r="F17" s="14">
        <v>0</v>
      </c>
      <c r="G17" s="14">
        <v>0</v>
      </c>
      <c r="H17" s="15">
        <f>D17+F17+'02-06-20'!H17</f>
        <v>3862.14</v>
      </c>
      <c r="I17" s="15">
        <f>E17+G17+'02-06-20'!I17</f>
        <v>78.850000000000009</v>
      </c>
      <c r="J17" s="15">
        <f>H17+I17</f>
        <v>3940.99</v>
      </c>
      <c r="K17" s="14">
        <f>C17-J17</f>
        <v>12121.01</v>
      </c>
      <c r="L17" s="15">
        <f t="shared" si="4"/>
        <v>10018.051371411766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53.5</v>
      </c>
      <c r="E18" s="14">
        <v>0.85</v>
      </c>
      <c r="F18" s="14">
        <v>0</v>
      </c>
      <c r="G18" s="14">
        <v>0</v>
      </c>
      <c r="H18" s="15">
        <f>D18+F18+'02-06-20'!H18</f>
        <v>993.13999999999987</v>
      </c>
      <c r="I18" s="15">
        <f>E18+G18+'02-06-20'!I18</f>
        <v>15.809999999999999</v>
      </c>
      <c r="J18" s="15">
        <f>H18+I18</f>
        <v>1008.9499999999998</v>
      </c>
      <c r="K18" s="14">
        <f>C18-J18</f>
        <v>1017.0500000000002</v>
      </c>
      <c r="L18" s="15">
        <f t="shared" si="4"/>
        <v>478.66241000000036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490.11</v>
      </c>
      <c r="E19" s="15">
        <f t="shared" si="5"/>
        <v>7.83</v>
      </c>
      <c r="F19" s="15">
        <f t="shared" si="5"/>
        <v>0</v>
      </c>
      <c r="G19" s="15">
        <f t="shared" si="5"/>
        <v>0</v>
      </c>
      <c r="H19" s="15">
        <f t="shared" si="5"/>
        <v>5052.16</v>
      </c>
      <c r="I19" s="15">
        <f t="shared" si="5"/>
        <v>97.810000000000016</v>
      </c>
      <c r="J19" s="14">
        <f t="shared" si="5"/>
        <v>5149.9699999999993</v>
      </c>
      <c r="K19" s="15">
        <f t="shared" si="5"/>
        <v>39861.030000000006</v>
      </c>
      <c r="L19" s="15">
        <f t="shared" si="5"/>
        <v>37112.945420117649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1252.5</v>
      </c>
      <c r="E23" s="14">
        <v>20.04</v>
      </c>
      <c r="F23" s="14">
        <v>0</v>
      </c>
      <c r="G23" s="14">
        <v>0</v>
      </c>
      <c r="H23" s="15">
        <f>D23+F23+'02-06-20'!H23</f>
        <v>7770</v>
      </c>
      <c r="I23" s="15">
        <f>E23+G23+'02-06-20'!I23</f>
        <v>124.32</v>
      </c>
      <c r="J23" s="15">
        <f t="shared" si="7"/>
        <v>7894.32</v>
      </c>
      <c r="K23" s="14">
        <f t="shared" si="8"/>
        <v>19694.080000000002</v>
      </c>
      <c r="L23" s="15">
        <f t="shared" ref="L23:L25" si="10">C23-((J23/17)*26.0714)</f>
        <v>15481.577973647059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581.07000000000005</v>
      </c>
      <c r="E24" s="48">
        <v>9.2899999999999991</v>
      </c>
      <c r="F24" s="48">
        <v>0</v>
      </c>
      <c r="G24" s="48">
        <v>0</v>
      </c>
      <c r="H24" s="15">
        <f>D24+F24+'02-06-20'!H24</f>
        <v>7251.5099999999993</v>
      </c>
      <c r="I24" s="15">
        <f>E24+G24+'02-06-20'!I24</f>
        <v>137.79</v>
      </c>
      <c r="J24" s="15">
        <f t="shared" si="7"/>
        <v>7389.2999999999993</v>
      </c>
      <c r="K24" s="14">
        <f t="shared" si="8"/>
        <v>7110.7000000000007</v>
      </c>
      <c r="L24" s="15">
        <f t="shared" si="10"/>
        <v>3167.6825870588236</v>
      </c>
    </row>
    <row r="25" spans="1:13" s="43" customFormat="1" ht="10.9" customHeight="1" x14ac:dyDescent="0.25">
      <c r="A25" s="135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D25+F25+'02-06-20'!H25</f>
        <v>1968</v>
      </c>
      <c r="I25" s="15">
        <f>E25+G25+'02-06-20'!I25</f>
        <v>112.12</v>
      </c>
      <c r="J25" s="15">
        <f>H25+I25</f>
        <v>2080.12</v>
      </c>
      <c r="K25" s="14">
        <f>C25-J25</f>
        <v>3191.41</v>
      </c>
      <c r="L25" s="15">
        <f t="shared" si="10"/>
        <v>2081.4334959999996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1833.5700000000002</v>
      </c>
      <c r="E26" s="49">
        <f t="shared" si="11"/>
        <v>29.33</v>
      </c>
      <c r="F26" s="49">
        <f t="shared" si="11"/>
        <v>0</v>
      </c>
      <c r="G26" s="49">
        <f t="shared" si="11"/>
        <v>0</v>
      </c>
      <c r="H26" s="49">
        <f t="shared" si="11"/>
        <v>16989.509999999998</v>
      </c>
      <c r="I26" s="49">
        <f t="shared" si="11"/>
        <v>374.23</v>
      </c>
      <c r="J26" s="49">
        <f t="shared" si="11"/>
        <v>17363.739999999998</v>
      </c>
      <c r="K26" s="49">
        <f t="shared" si="11"/>
        <v>29996.190000000002</v>
      </c>
      <c r="L26" s="50">
        <f>SUM(L23:L25)</f>
        <v>20730.694056705885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8116.66</v>
      </c>
      <c r="E29" s="50">
        <f t="shared" si="12"/>
        <v>129.82</v>
      </c>
      <c r="F29" s="50">
        <f t="shared" si="12"/>
        <v>0</v>
      </c>
      <c r="G29" s="50">
        <f t="shared" si="12"/>
        <v>0</v>
      </c>
      <c r="H29" s="50">
        <f t="shared" si="12"/>
        <v>120173.06999999999</v>
      </c>
      <c r="I29" s="50">
        <f t="shared" si="12"/>
        <v>2387.69</v>
      </c>
      <c r="J29" s="50">
        <f t="shared" si="12"/>
        <v>122560.75999999998</v>
      </c>
      <c r="K29" s="50">
        <f t="shared" si="12"/>
        <v>167521.12</v>
      </c>
      <c r="L29" s="50">
        <f t="shared" si="12"/>
        <v>102121.25657270587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35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D32+F32+'02-06-20'!H32</f>
        <v>0</v>
      </c>
      <c r="I32" s="15">
        <f>E32+G32+'02-06-20'!I32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C32-((J32/17)*26.0714)</f>
        <v>600.30999999999995</v>
      </c>
    </row>
    <row r="33" spans="1:13" s="24" customFormat="1" ht="11.25" hidden="1" customHeight="1" x14ac:dyDescent="0.25">
      <c r="A33" s="133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D33+F33+'02-06-20'!H33</f>
        <v>0</v>
      </c>
      <c r="I33" s="15">
        <f>E33+G33+'02-06-20'!I33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33" t="s">
        <v>90</v>
      </c>
      <c r="B34" s="99" t="s">
        <v>89</v>
      </c>
      <c r="C34" s="14">
        <v>12000</v>
      </c>
      <c r="D34" s="14">
        <v>117.5</v>
      </c>
      <c r="E34" s="14">
        <v>1.88</v>
      </c>
      <c r="F34" s="14">
        <v>960</v>
      </c>
      <c r="G34" s="14">
        <v>54.72</v>
      </c>
      <c r="H34" s="15">
        <f>D34+F34+'02-06-20'!H34</f>
        <v>3466</v>
      </c>
      <c r="I34" s="15">
        <f>E34+G34+'02-06-20'!I34</f>
        <v>177.45000000000002</v>
      </c>
      <c r="J34" s="14">
        <f t="shared" si="13"/>
        <v>3643.45</v>
      </c>
      <c r="K34" s="14">
        <f>C34-J34</f>
        <v>8356.5499999999993</v>
      </c>
      <c r="L34" s="15">
        <f t="shared" si="15"/>
        <v>6412.3622158823528</v>
      </c>
      <c r="M34" s="44"/>
    </row>
    <row r="35" spans="1:13" s="24" customFormat="1" ht="11.25" customHeight="1" x14ac:dyDescent="0.25">
      <c r="A35" s="135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D35+F35+'02-06-20'!H35</f>
        <v>277.20000000000005</v>
      </c>
      <c r="I35" s="15">
        <f>E35+G35+'02-06-20'!I35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316.00708905882345</v>
      </c>
    </row>
    <row r="36" spans="1:13" s="24" customFormat="1" ht="11.25" customHeight="1" x14ac:dyDescent="0.25">
      <c r="A36" s="135" t="s">
        <v>68</v>
      </c>
      <c r="B36" s="93" t="s">
        <v>66</v>
      </c>
      <c r="C36" s="15">
        <v>6353.85</v>
      </c>
      <c r="D36" s="15">
        <v>243.52</v>
      </c>
      <c r="E36" s="15">
        <v>3.89</v>
      </c>
      <c r="F36" s="15">
        <v>0</v>
      </c>
      <c r="G36" s="15">
        <v>0</v>
      </c>
      <c r="H36" s="15">
        <f>D36+F36+'02-06-20'!H36</f>
        <v>2947.95</v>
      </c>
      <c r="I36" s="15">
        <f>E36+G36+'02-06-20'!I36</f>
        <v>47.09</v>
      </c>
      <c r="J36" s="15">
        <f t="shared" si="13"/>
        <v>2995.04</v>
      </c>
      <c r="K36" s="15">
        <f t="shared" si="14"/>
        <v>3358.8100000000004</v>
      </c>
      <c r="L36" s="15">
        <f t="shared" si="15"/>
        <v>1760.621420235294</v>
      </c>
      <c r="M36" s="25"/>
    </row>
    <row r="37" spans="1:13" s="24" customFormat="1" ht="11.25" customHeight="1" x14ac:dyDescent="0.25">
      <c r="A37" s="84" t="s">
        <v>96</v>
      </c>
      <c r="B37" s="91">
        <v>55110000</v>
      </c>
      <c r="C37" s="87">
        <v>2659</v>
      </c>
      <c r="D37" s="87">
        <v>0</v>
      </c>
      <c r="E37" s="87">
        <v>0</v>
      </c>
      <c r="F37" s="87">
        <v>0</v>
      </c>
      <c r="G37" s="87">
        <v>0</v>
      </c>
      <c r="H37" s="87">
        <f>D37+F37</f>
        <v>0</v>
      </c>
      <c r="I37" s="87">
        <f>E37+G37</f>
        <v>0</v>
      </c>
      <c r="J37" s="87">
        <f t="shared" ref="J37" si="16">H37+I37</f>
        <v>0</v>
      </c>
      <c r="K37" s="87">
        <f t="shared" ref="K37" si="17">C37-J37</f>
        <v>2659</v>
      </c>
      <c r="L37" s="87">
        <f t="shared" si="15"/>
        <v>2659</v>
      </c>
      <c r="M37" s="25"/>
    </row>
    <row r="38" spans="1:13" s="24" customFormat="1" ht="11.45" customHeight="1" x14ac:dyDescent="0.25">
      <c r="A38" s="135" t="s">
        <v>36</v>
      </c>
      <c r="B38" s="93" t="s">
        <v>75</v>
      </c>
      <c r="C38" s="95">
        <v>2043</v>
      </c>
      <c r="D38" s="14">
        <v>310</v>
      </c>
      <c r="E38" s="14">
        <v>4.96</v>
      </c>
      <c r="F38" s="14">
        <v>0</v>
      </c>
      <c r="G38" s="14">
        <v>0</v>
      </c>
      <c r="H38" s="15">
        <f>D38+F38+'02-06-20'!H37</f>
        <v>4822.79</v>
      </c>
      <c r="I38" s="15">
        <f>E38+G38+'02-06-20'!I37</f>
        <v>187.78</v>
      </c>
      <c r="J38" s="15">
        <f t="shared" si="13"/>
        <v>5010.57</v>
      </c>
      <c r="K38" s="117">
        <f t="shared" si="14"/>
        <v>-2967.5699999999997</v>
      </c>
      <c r="L38" s="15">
        <f t="shared" si="15"/>
        <v>-5641.2690998823537</v>
      </c>
    </row>
    <row r="39" spans="1:13" s="25" customFormat="1" ht="11.45" customHeight="1" x14ac:dyDescent="0.25">
      <c r="A39" s="136" t="s">
        <v>42</v>
      </c>
      <c r="B39" s="13" t="s">
        <v>43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D39+F39+'02-06-20'!H38</f>
        <v>2324.0699999999997</v>
      </c>
      <c r="I39" s="15">
        <f>E39+G39+'02-06-20'!I38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-871.19477105882333</v>
      </c>
    </row>
    <row r="40" spans="1:13" s="25" customFormat="1" ht="11.45" customHeight="1" x14ac:dyDescent="0.25">
      <c r="A40" s="136" t="s">
        <v>48</v>
      </c>
      <c r="B40" s="13" t="s">
        <v>49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D40+F40+'02-06-20'!H39</f>
        <v>5628.75</v>
      </c>
      <c r="I40" s="15">
        <f>E40+G40+'02-06-20'!I39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3596.4810399999988</v>
      </c>
    </row>
    <row r="41" spans="1:13" s="25" customFormat="1" ht="11.45" customHeight="1" x14ac:dyDescent="0.25">
      <c r="A41" s="134" t="s">
        <v>26</v>
      </c>
      <c r="B41" s="41" t="s">
        <v>47</v>
      </c>
      <c r="C41" s="66">
        <v>15220</v>
      </c>
      <c r="D41" s="15">
        <v>0</v>
      </c>
      <c r="E41" s="15">
        <v>0</v>
      </c>
      <c r="F41" s="15">
        <v>885</v>
      </c>
      <c r="G41" s="15">
        <v>50.44</v>
      </c>
      <c r="H41" s="15">
        <f>D41+F41+'02-06-20'!H40</f>
        <v>5429.4</v>
      </c>
      <c r="I41" s="15">
        <f>E41+G41+'02-06-20'!I40</f>
        <v>309.44</v>
      </c>
      <c r="J41" s="15">
        <f>H41+I41</f>
        <v>5738.8399999999992</v>
      </c>
      <c r="K41" s="14">
        <f>C41-J41</f>
        <v>9481.16</v>
      </c>
      <c r="L41" s="15">
        <f t="shared" si="15"/>
        <v>6418.8474602352962</v>
      </c>
    </row>
    <row r="42" spans="1:13" ht="21.6" customHeight="1" x14ac:dyDescent="0.25">
      <c r="A42" s="206" t="s">
        <v>27</v>
      </c>
      <c r="B42" s="207"/>
      <c r="C42" s="15">
        <f>SUM(C32:C41)</f>
        <v>54758.400000000001</v>
      </c>
      <c r="D42" s="15">
        <f>SUM(D32:D41)</f>
        <v>671.02</v>
      </c>
      <c r="E42" s="15">
        <f>SUM(E32:E41)</f>
        <v>10.73</v>
      </c>
      <c r="F42" s="15">
        <f>SUM(F32:F41)</f>
        <v>1845</v>
      </c>
      <c r="G42" s="15">
        <f>SUM(G32:G41)</f>
        <v>105.16</v>
      </c>
      <c r="H42" s="15">
        <f>SUM(H32, H33:H41)</f>
        <v>24896.159999999996</v>
      </c>
      <c r="I42" s="15">
        <f>SUM(I32, I33:I41)</f>
        <v>864.75</v>
      </c>
      <c r="J42" s="15">
        <f>SUM(J32, J33:J41)</f>
        <v>25760.91</v>
      </c>
      <c r="K42" s="15">
        <f>SUM(K32, K33:K41)</f>
        <v>28997.49</v>
      </c>
      <c r="L42" s="15">
        <f>SUM(L32, L33:L41)</f>
        <v>15251.165354470586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v>1259.3699999999999</v>
      </c>
      <c r="E45" s="14">
        <v>20.14</v>
      </c>
      <c r="F45" s="14">
        <v>440</v>
      </c>
      <c r="G45" s="14">
        <v>25.08</v>
      </c>
      <c r="H45" s="15">
        <f>D45+F45+'02-06-20'!H44</f>
        <v>28381.64</v>
      </c>
      <c r="I45" s="15">
        <f>E45+G45+'02-06-20'!I44</f>
        <v>980.34</v>
      </c>
      <c r="J45" s="15">
        <f>H45+I45</f>
        <v>29361.98</v>
      </c>
      <c r="K45" s="14">
        <f>C45-J45</f>
        <v>33221.020000000004</v>
      </c>
      <c r="L45" s="15">
        <f>C45-((J45/17)*26.0714)</f>
        <v>17553.122036941175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8">D45</f>
        <v>1259.3699999999999</v>
      </c>
      <c r="E46" s="59">
        <f t="shared" si="18"/>
        <v>20.14</v>
      </c>
      <c r="F46" s="59">
        <f t="shared" si="18"/>
        <v>440</v>
      </c>
      <c r="G46" s="59">
        <f t="shared" si="18"/>
        <v>25.08</v>
      </c>
      <c r="H46" s="59">
        <f t="shared" si="18"/>
        <v>28381.64</v>
      </c>
      <c r="I46" s="59">
        <f t="shared" si="18"/>
        <v>980.34</v>
      </c>
      <c r="J46" s="59">
        <f t="shared" si="18"/>
        <v>29361.98</v>
      </c>
      <c r="K46" s="59">
        <f t="shared" si="18"/>
        <v>33221.020000000004</v>
      </c>
      <c r="L46" s="59">
        <f t="shared" si="18"/>
        <v>17553.122036941175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438.6</v>
      </c>
      <c r="G49" s="14">
        <v>25</v>
      </c>
      <c r="H49" s="15">
        <f>D49+F49+'02-06-20'!H48</f>
        <v>6813.9499999999989</v>
      </c>
      <c r="I49" s="15">
        <f>E49+G49+'02-06-20'!I48</f>
        <v>388.31000000000012</v>
      </c>
      <c r="J49" s="15">
        <f>H49+I49</f>
        <v>7202.2599999999993</v>
      </c>
      <c r="K49" s="14">
        <f>C49-J49</f>
        <v>55533.74</v>
      </c>
      <c r="L49" s="15">
        <f>C49-((J49/17)*26.0714)</f>
        <v>51690.529331529411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9">SUM(D49)</f>
        <v>0</v>
      </c>
      <c r="E50" s="15">
        <f t="shared" si="19"/>
        <v>0</v>
      </c>
      <c r="F50" s="15">
        <f t="shared" si="19"/>
        <v>438.6</v>
      </c>
      <c r="G50" s="15">
        <f t="shared" si="19"/>
        <v>25</v>
      </c>
      <c r="H50" s="15">
        <f t="shared" si="19"/>
        <v>6813.9499999999989</v>
      </c>
      <c r="I50" s="15">
        <f t="shared" si="19"/>
        <v>388.31000000000012</v>
      </c>
      <c r="J50" s="15">
        <f t="shared" si="19"/>
        <v>7202.2599999999993</v>
      </c>
      <c r="K50" s="15">
        <f t="shared" si="19"/>
        <v>55533.74</v>
      </c>
      <c r="L50" s="15">
        <f t="shared" si="19"/>
        <v>51690.529331529411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5"/>
      <c r="B70" s="5"/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4"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  <mergeCell ref="A69:F69"/>
    <mergeCell ref="A67:F67"/>
    <mergeCell ref="A58:F58"/>
    <mergeCell ref="A59:F59"/>
    <mergeCell ref="A60:F60"/>
    <mergeCell ref="A61:F61"/>
    <mergeCell ref="A62:F62"/>
    <mergeCell ref="A63:F63"/>
    <mergeCell ref="A68:F68"/>
    <mergeCell ref="A64:F64"/>
    <mergeCell ref="A65:F65"/>
    <mergeCell ref="A66:F66"/>
  </mergeCells>
  <pageMargins left="0.25" right="0" top="0.4" bottom="0" header="0.3" footer="0"/>
  <pageSetup scale="91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opLeftCell="B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99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D3+F3+'02-20-20'!H3</f>
        <v>3483.6000000000004</v>
      </c>
      <c r="I3" s="15">
        <f>E3+G3+'02-20-20'!I3</f>
        <v>157.35</v>
      </c>
      <c r="J3" s="15">
        <f>H3+I3</f>
        <v>3640.9500000000003</v>
      </c>
      <c r="K3" s="15">
        <f>C3-J3</f>
        <v>0</v>
      </c>
      <c r="L3" s="15">
        <f>C3-((J3/18)*26.0714)</f>
        <v>-1632.6424350000002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D4+F4+'02-20-20'!H4</f>
        <v>0</v>
      </c>
      <c r="I4" s="15">
        <f>E4+G4+'02-20-20'!I4</f>
        <v>0</v>
      </c>
      <c r="J4" s="15">
        <f>H4+I4</f>
        <v>0</v>
      </c>
      <c r="K4" s="15">
        <f>C4-J4</f>
        <v>3229</v>
      </c>
      <c r="L4" s="15">
        <f t="shared" ref="L4:L12" si="0">C4-((J4/18)*26.0714)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f>-723.39+344.47</f>
        <v>-378.91999999999996</v>
      </c>
      <c r="E5" s="21">
        <f>-11.57+5.5</f>
        <v>-6.07</v>
      </c>
      <c r="F5" s="21">
        <v>0</v>
      </c>
      <c r="G5" s="21">
        <v>0</v>
      </c>
      <c r="H5" s="15">
        <f>D5+F5+'02-20-20'!H5</f>
        <v>7826.1899999999987</v>
      </c>
      <c r="I5" s="15">
        <f>E5+G5+'02-20-20'!I5</f>
        <v>143.22</v>
      </c>
      <c r="J5" s="15">
        <f t="shared" ref="J5:J12" si="1">H5+I5</f>
        <v>7969.4099999999989</v>
      </c>
      <c r="K5" s="14">
        <f t="shared" ref="K5:K12" si="2">C5-J5</f>
        <v>16679.59</v>
      </c>
      <c r="L5" s="15">
        <f t="shared" si="0"/>
        <v>13106.018007000001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548.15</v>
      </c>
      <c r="E6" s="14">
        <v>8.76</v>
      </c>
      <c r="F6" s="14">
        <v>0</v>
      </c>
      <c r="G6" s="14">
        <v>0</v>
      </c>
      <c r="H6" s="15">
        <f>D6+F6+'02-20-20'!H6</f>
        <v>8713.9499999999989</v>
      </c>
      <c r="I6" s="15">
        <f>E6+G6+'02-20-20'!I6</f>
        <v>142.94999999999999</v>
      </c>
      <c r="J6" s="15">
        <f t="shared" si="1"/>
        <v>8856.9</v>
      </c>
      <c r="K6" s="14">
        <f t="shared" si="2"/>
        <v>9117.1</v>
      </c>
      <c r="L6" s="15">
        <f t="shared" si="0"/>
        <v>5145.5676300000014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f>-1512.48+140.31</f>
        <v>-1372.17</v>
      </c>
      <c r="E7" s="14">
        <f>-24.19+2.24</f>
        <v>-21.950000000000003</v>
      </c>
      <c r="F7" s="14">
        <v>0</v>
      </c>
      <c r="G7" s="14">
        <v>0</v>
      </c>
      <c r="H7" s="15">
        <f>D7+F7+'02-20-20'!H7</f>
        <v>9052.16</v>
      </c>
      <c r="I7" s="15">
        <f>E7+G7+'02-20-20'!I7</f>
        <v>144.66000000000003</v>
      </c>
      <c r="J7" s="15">
        <f t="shared" si="1"/>
        <v>9196.82</v>
      </c>
      <c r="K7" s="14">
        <f t="shared" si="2"/>
        <v>8777.18</v>
      </c>
      <c r="L7" s="15">
        <f t="shared" si="0"/>
        <v>4653.223725111111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f>-477.84+139</f>
        <v>-338.84</v>
      </c>
      <c r="E8" s="14">
        <f>-7.64+2.21</f>
        <v>-5.43</v>
      </c>
      <c r="F8" s="14">
        <v>0</v>
      </c>
      <c r="G8" s="14">
        <v>0</v>
      </c>
      <c r="H8" s="15">
        <f>D8+F8+'02-20-20'!H8</f>
        <v>9580.2900000000027</v>
      </c>
      <c r="I8" s="15">
        <f>E8+G8+'02-20-20'!I8</f>
        <v>153.16</v>
      </c>
      <c r="J8" s="15">
        <f t="shared" si="1"/>
        <v>9733.4500000000025</v>
      </c>
      <c r="K8" s="14">
        <f t="shared" si="2"/>
        <v>14596.549999999997</v>
      </c>
      <c r="L8" s="15">
        <f t="shared" si="0"/>
        <v>10231.962870555551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f>-1364.03+290.1</f>
        <v>-1073.9299999999998</v>
      </c>
      <c r="E9" s="14">
        <f>-21.82+4.63</f>
        <v>-17.190000000000001</v>
      </c>
      <c r="F9" s="14">
        <v>0</v>
      </c>
      <c r="G9" s="14">
        <v>0</v>
      </c>
      <c r="H9" s="15">
        <f>D9+F9+'02-20-20'!H9</f>
        <v>16000.920000000002</v>
      </c>
      <c r="I9" s="15">
        <f>E9+G9+'02-20-20'!I9</f>
        <v>384.59999999999997</v>
      </c>
      <c r="J9" s="15">
        <f t="shared" si="1"/>
        <v>16385.52</v>
      </c>
      <c r="K9" s="14">
        <f t="shared" si="2"/>
        <v>17614.48</v>
      </c>
      <c r="L9" s="15">
        <f t="shared" si="0"/>
        <v>10267.030770666664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f>-2273.5+1591.63</f>
        <v>-681.86999999999989</v>
      </c>
      <c r="E10" s="14">
        <f>-36.37+25.46</f>
        <v>-10.909999999999997</v>
      </c>
      <c r="F10" s="14">
        <v>0</v>
      </c>
      <c r="G10" s="14">
        <v>0</v>
      </c>
      <c r="H10" s="15">
        <f>D10+F10+'02-20-20'!H10</f>
        <v>31119.84</v>
      </c>
      <c r="I10" s="15">
        <f>E10+G10+'02-20-20'!I10</f>
        <v>516.48</v>
      </c>
      <c r="J10" s="15">
        <f t="shared" si="1"/>
        <v>31636.32</v>
      </c>
      <c r="K10" s="14">
        <f t="shared" si="2"/>
        <v>11104.68</v>
      </c>
      <c r="L10" s="15">
        <f t="shared" si="0"/>
        <v>-3081.3974026666692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f>-286.71+340.02</f>
        <v>53.31</v>
      </c>
      <c r="E11" s="14">
        <f>-4.58+5.43</f>
        <v>0.84999999999999964</v>
      </c>
      <c r="F11" s="14">
        <v>0</v>
      </c>
      <c r="G11" s="14">
        <v>0</v>
      </c>
      <c r="H11" s="15">
        <f>D11+F11+'02-20-20'!H11</f>
        <v>8072.7900000000009</v>
      </c>
      <c r="I11" s="15">
        <f>E11+G11+'02-20-20'!I11</f>
        <v>204.8</v>
      </c>
      <c r="J11" s="15">
        <f t="shared" si="1"/>
        <v>8277.59</v>
      </c>
      <c r="K11" s="14">
        <f t="shared" si="2"/>
        <v>14895.41</v>
      </c>
      <c r="L11" s="15">
        <f t="shared" si="0"/>
        <v>11183.646670777776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156.72</v>
      </c>
      <c r="E12" s="14">
        <v>2.5</v>
      </c>
      <c r="F12" s="14">
        <v>0</v>
      </c>
      <c r="G12" s="14">
        <v>0</v>
      </c>
      <c r="H12" s="15">
        <f>D12+F12+'02-20-20'!H12</f>
        <v>1194.1100000000001</v>
      </c>
      <c r="I12" s="15">
        <f>E12+G12+'02-20-20'!I12</f>
        <v>18.990000000000002</v>
      </c>
      <c r="J12" s="15">
        <f t="shared" si="1"/>
        <v>1213.1000000000001</v>
      </c>
      <c r="K12" s="14">
        <f t="shared" si="2"/>
        <v>4786.8999999999996</v>
      </c>
      <c r="L12" s="15">
        <f t="shared" si="0"/>
        <v>4242.932481111111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-3087.55</v>
      </c>
      <c r="E13" s="15">
        <f t="shared" si="3"/>
        <v>-49.440000000000005</v>
      </c>
      <c r="F13" s="15">
        <f t="shared" si="3"/>
        <v>0</v>
      </c>
      <c r="G13" s="15">
        <f t="shared" si="3"/>
        <v>0</v>
      </c>
      <c r="H13" s="15">
        <f t="shared" si="3"/>
        <v>95043.849999999991</v>
      </c>
      <c r="I13" s="15">
        <f t="shared" si="3"/>
        <v>1866.21</v>
      </c>
      <c r="J13" s="14">
        <f t="shared" si="3"/>
        <v>96910.06</v>
      </c>
      <c r="K13" s="14">
        <f t="shared" si="3"/>
        <v>100800.88999999998</v>
      </c>
      <c r="L13" s="15">
        <f t="shared" si="3"/>
        <v>57345.342317555551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214</v>
      </c>
      <c r="E16" s="14">
        <v>3.41</v>
      </c>
      <c r="F16" s="14">
        <v>0</v>
      </c>
      <c r="G16" s="14">
        <v>0</v>
      </c>
      <c r="H16" s="15">
        <f>D16+F16+'02-20-20'!H16</f>
        <v>410.88</v>
      </c>
      <c r="I16" s="15">
        <f>E16+G16+'02-20-20'!I16</f>
        <v>6.5600000000000005</v>
      </c>
      <c r="J16" s="15">
        <f>H16+I16</f>
        <v>417.44</v>
      </c>
      <c r="K16" s="14">
        <f>C16-J16</f>
        <v>26505.56</v>
      </c>
      <c r="L16" s="15">
        <f t="shared" ref="L16:L18" si="4">C16-((J16/18)*26.0714)</f>
        <v>26318.375265777777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151.88</v>
      </c>
      <c r="E17" s="15">
        <v>2.42</v>
      </c>
      <c r="F17" s="14">
        <v>0</v>
      </c>
      <c r="G17" s="14">
        <v>0</v>
      </c>
      <c r="H17" s="15">
        <f>D17+F17+'02-20-20'!H17</f>
        <v>4014.02</v>
      </c>
      <c r="I17" s="15">
        <f>E17+G17+'02-20-20'!I17</f>
        <v>81.27000000000001</v>
      </c>
      <c r="J17" s="15">
        <f>H17+I17</f>
        <v>4095.29</v>
      </c>
      <c r="K17" s="14">
        <f>C17-J17</f>
        <v>11966.71</v>
      </c>
      <c r="L17" s="15">
        <f t="shared" si="4"/>
        <v>10130.336460777777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51.36</v>
      </c>
      <c r="E18" s="14">
        <v>0.82</v>
      </c>
      <c r="F18" s="14">
        <v>0</v>
      </c>
      <c r="G18" s="14">
        <v>0</v>
      </c>
      <c r="H18" s="15">
        <f>D18+F18+'02-20-20'!H18</f>
        <v>1044.4999999999998</v>
      </c>
      <c r="I18" s="15">
        <f>E18+G18+'02-20-20'!I18</f>
        <v>16.63</v>
      </c>
      <c r="J18" s="15">
        <f>H18+I18</f>
        <v>1061.1299999999999</v>
      </c>
      <c r="K18" s="14">
        <f>C18-J18</f>
        <v>964.87000000000012</v>
      </c>
      <c r="L18" s="15">
        <f t="shared" si="4"/>
        <v>489.04751766666686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417.24</v>
      </c>
      <c r="E19" s="15">
        <f t="shared" si="5"/>
        <v>6.65</v>
      </c>
      <c r="F19" s="15">
        <f t="shared" si="5"/>
        <v>0</v>
      </c>
      <c r="G19" s="15">
        <f t="shared" si="5"/>
        <v>0</v>
      </c>
      <c r="H19" s="15">
        <f t="shared" si="5"/>
        <v>5469.4</v>
      </c>
      <c r="I19" s="15">
        <f t="shared" si="5"/>
        <v>104.46000000000001</v>
      </c>
      <c r="J19" s="14">
        <f t="shared" si="5"/>
        <v>5573.86</v>
      </c>
      <c r="K19" s="15">
        <f t="shared" si="5"/>
        <v>39437.140000000007</v>
      </c>
      <c r="L19" s="15">
        <f t="shared" si="5"/>
        <v>36937.759244222223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f>127.5+926.25</f>
        <v>1053.75</v>
      </c>
      <c r="E23" s="14">
        <f>2.04+14.81</f>
        <v>16.850000000000001</v>
      </c>
      <c r="F23" s="14">
        <v>0</v>
      </c>
      <c r="G23" s="14">
        <v>0</v>
      </c>
      <c r="H23" s="15">
        <f>D23+F23+'02-20-20'!H23</f>
        <v>8823.75</v>
      </c>
      <c r="I23" s="15">
        <f>E23+G23+'02-20-20'!I23</f>
        <v>141.16999999999999</v>
      </c>
      <c r="J23" s="15">
        <f t="shared" si="7"/>
        <v>8964.92</v>
      </c>
      <c r="K23" s="14">
        <f t="shared" si="8"/>
        <v>18623.480000000003</v>
      </c>
      <c r="L23" s="15">
        <f t="shared" ref="L23:L25" si="10">C23-((J23/18)*26.0714)</f>
        <v>14603.510261777777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388.42</v>
      </c>
      <c r="E24" s="48">
        <v>6.21</v>
      </c>
      <c r="F24" s="48">
        <v>0</v>
      </c>
      <c r="G24" s="48">
        <v>0</v>
      </c>
      <c r="H24" s="15">
        <f>D24+F24+'02-20-20'!H24</f>
        <v>7639.9299999999994</v>
      </c>
      <c r="I24" s="15">
        <f>E24+G24+'02-20-20'!I24</f>
        <v>144</v>
      </c>
      <c r="J24" s="15">
        <f t="shared" si="7"/>
        <v>7783.9299999999994</v>
      </c>
      <c r="K24" s="14">
        <f t="shared" si="8"/>
        <v>6716.0700000000006</v>
      </c>
      <c r="L24" s="15">
        <f t="shared" si="10"/>
        <v>3225.6692998888884</v>
      </c>
    </row>
    <row r="25" spans="1:13" s="43" customFormat="1" ht="10.9" customHeight="1" x14ac:dyDescent="0.25">
      <c r="A25" s="139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D25+F25+'02-20-20'!H25</f>
        <v>1968</v>
      </c>
      <c r="I25" s="15">
        <f>E25+G25+'02-20-20'!I25</f>
        <v>112.12</v>
      </c>
      <c r="J25" s="15">
        <f>H25+I25</f>
        <v>2080.12</v>
      </c>
      <c r="K25" s="14">
        <f>C25-J25</f>
        <v>3191.41</v>
      </c>
      <c r="L25" s="15">
        <f t="shared" si="10"/>
        <v>2258.6610795555553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1442.17</v>
      </c>
      <c r="E26" s="49">
        <f t="shared" si="11"/>
        <v>23.060000000000002</v>
      </c>
      <c r="F26" s="49">
        <f t="shared" si="11"/>
        <v>0</v>
      </c>
      <c r="G26" s="49">
        <f t="shared" si="11"/>
        <v>0</v>
      </c>
      <c r="H26" s="49">
        <f t="shared" si="11"/>
        <v>18431.68</v>
      </c>
      <c r="I26" s="49">
        <f t="shared" si="11"/>
        <v>397.28999999999996</v>
      </c>
      <c r="J26" s="49">
        <f t="shared" si="11"/>
        <v>18828.969999999998</v>
      </c>
      <c r="K26" s="49">
        <f t="shared" si="11"/>
        <v>28530.960000000003</v>
      </c>
      <c r="L26" s="50">
        <f>SUM(L23:L25)</f>
        <v>20087.840641222218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-1228.1400000000003</v>
      </c>
      <c r="E29" s="50">
        <f t="shared" si="12"/>
        <v>-19.730000000000004</v>
      </c>
      <c r="F29" s="50">
        <f t="shared" si="12"/>
        <v>0</v>
      </c>
      <c r="G29" s="50">
        <f t="shared" si="12"/>
        <v>0</v>
      </c>
      <c r="H29" s="50">
        <f t="shared" si="12"/>
        <v>118944.93</v>
      </c>
      <c r="I29" s="50">
        <f t="shared" si="12"/>
        <v>2367.96</v>
      </c>
      <c r="J29" s="50">
        <f t="shared" si="12"/>
        <v>121312.89</v>
      </c>
      <c r="K29" s="50">
        <f t="shared" si="12"/>
        <v>168768.99</v>
      </c>
      <c r="L29" s="50">
        <f t="shared" si="12"/>
        <v>114370.94220299998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39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D32+F32+'02-20-20'!H32</f>
        <v>0</v>
      </c>
      <c r="I32" s="15">
        <f>E32+G32+'02-20-20'!I32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C32-((J32/18)*26.0714)</f>
        <v>600.30999999999995</v>
      </c>
    </row>
    <row r="33" spans="1:13" s="24" customFormat="1" ht="11.25" hidden="1" customHeight="1" x14ac:dyDescent="0.25">
      <c r="A33" s="137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D33+F33+'02-20-20'!H33</f>
        <v>0</v>
      </c>
      <c r="I33" s="15">
        <f>E33+G33+'02-20-20'!I33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37" t="s">
        <v>90</v>
      </c>
      <c r="B34" s="99" t="s">
        <v>89</v>
      </c>
      <c r="C34" s="14">
        <v>12000</v>
      </c>
      <c r="D34" s="14">
        <v>126.87</v>
      </c>
      <c r="E34" s="14">
        <v>2.02</v>
      </c>
      <c r="F34" s="14">
        <v>816</v>
      </c>
      <c r="G34" s="14">
        <v>46.51</v>
      </c>
      <c r="H34" s="15">
        <f>D34+F34+'02-20-20'!H34</f>
        <v>4408.87</v>
      </c>
      <c r="I34" s="15">
        <f>E34+G34+'02-20-20'!I34</f>
        <v>225.98000000000002</v>
      </c>
      <c r="J34" s="14">
        <f t="shared" si="13"/>
        <v>4634.8500000000004</v>
      </c>
      <c r="K34" s="14">
        <f>C34-J34</f>
        <v>7365.15</v>
      </c>
      <c r="L34" s="15">
        <f t="shared" si="15"/>
        <v>5286.8317616666664</v>
      </c>
      <c r="M34" s="44"/>
    </row>
    <row r="35" spans="1:13" s="24" customFormat="1" ht="11.25" customHeight="1" x14ac:dyDescent="0.25">
      <c r="A35" s="139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D35+F35+'02-20-20'!H35</f>
        <v>277.20000000000005</v>
      </c>
      <c r="I35" s="15">
        <f>E35+G35+'02-20-20'!I35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340.97002855555553</v>
      </c>
    </row>
    <row r="36" spans="1:13" s="24" customFormat="1" ht="11.25" customHeight="1" x14ac:dyDescent="0.25">
      <c r="A36" s="139" t="s">
        <v>68</v>
      </c>
      <c r="B36" s="93" t="s">
        <v>66</v>
      </c>
      <c r="C36" s="15">
        <v>6353.85</v>
      </c>
      <c r="D36" s="15">
        <f>425.47+89.48</f>
        <v>514.95000000000005</v>
      </c>
      <c r="E36" s="15">
        <f>6.8+1.43</f>
        <v>8.23</v>
      </c>
      <c r="F36" s="15">
        <v>0</v>
      </c>
      <c r="G36" s="15">
        <v>0</v>
      </c>
      <c r="H36" s="15">
        <f>D36+F36+'02-20-20'!H36</f>
        <v>3462.8999999999996</v>
      </c>
      <c r="I36" s="15">
        <f>E36+G36+'02-20-20'!I36</f>
        <v>55.320000000000007</v>
      </c>
      <c r="J36" s="15">
        <f t="shared" si="13"/>
        <v>3518.22</v>
      </c>
      <c r="K36" s="15">
        <f t="shared" si="14"/>
        <v>2835.6300000000006</v>
      </c>
      <c r="L36" s="15">
        <f t="shared" si="15"/>
        <v>1258.0210606666669</v>
      </c>
      <c r="M36" s="25"/>
    </row>
    <row r="37" spans="1:13" s="24" customFormat="1" ht="11.25" customHeight="1" x14ac:dyDescent="0.25">
      <c r="A37" s="84" t="s">
        <v>96</v>
      </c>
      <c r="B37" s="91">
        <v>55110000</v>
      </c>
      <c r="C37" s="87">
        <v>2659</v>
      </c>
      <c r="D37" s="87">
        <v>0</v>
      </c>
      <c r="E37" s="87">
        <v>0</v>
      </c>
      <c r="F37" s="87">
        <v>0</v>
      </c>
      <c r="G37" s="87">
        <v>0</v>
      </c>
      <c r="H37" s="87">
        <f>D37+F37+'02-20-20'!H37</f>
        <v>0</v>
      </c>
      <c r="I37" s="87">
        <f>E37+G37+'02-20-20'!I37</f>
        <v>0</v>
      </c>
      <c r="J37" s="87">
        <f t="shared" si="13"/>
        <v>0</v>
      </c>
      <c r="K37" s="87">
        <f t="shared" si="14"/>
        <v>2659</v>
      </c>
      <c r="L37" s="87">
        <f t="shared" si="15"/>
        <v>2659</v>
      </c>
      <c r="M37" s="25"/>
    </row>
    <row r="38" spans="1:13" s="24" customFormat="1" ht="11.45" customHeight="1" x14ac:dyDescent="0.25">
      <c r="A38" s="139" t="s">
        <v>36</v>
      </c>
      <c r="B38" s="93" t="s">
        <v>75</v>
      </c>
      <c r="C38" s="95">
        <v>2043</v>
      </c>
      <c r="D38" s="14">
        <v>0</v>
      </c>
      <c r="E38" s="14">
        <v>0</v>
      </c>
      <c r="F38" s="14">
        <v>0</v>
      </c>
      <c r="G38" s="14">
        <v>0</v>
      </c>
      <c r="H38" s="15">
        <f>D38+F38+'02-20-20'!H38</f>
        <v>4822.79</v>
      </c>
      <c r="I38" s="15">
        <f>E38+G38+'02-20-20'!I38</f>
        <v>187.78</v>
      </c>
      <c r="J38" s="15">
        <f t="shared" si="13"/>
        <v>5010.57</v>
      </c>
      <c r="K38" s="117">
        <f t="shared" si="14"/>
        <v>-2967.5699999999997</v>
      </c>
      <c r="L38" s="15">
        <f t="shared" si="15"/>
        <v>-5214.3652610000008</v>
      </c>
    </row>
    <row r="39" spans="1:13" s="25" customFormat="1" ht="11.45" customHeight="1" x14ac:dyDescent="0.25">
      <c r="A39" s="140" t="s">
        <v>42</v>
      </c>
      <c r="B39" s="13" t="s">
        <v>43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D39+F39+'02-20-20'!H39</f>
        <v>2324.0699999999997</v>
      </c>
      <c r="I39" s="15">
        <f>E39+G39+'02-20-20'!I39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-670.01728377777772</v>
      </c>
    </row>
    <row r="40" spans="1:13" s="25" customFormat="1" ht="11.45" customHeight="1" x14ac:dyDescent="0.25">
      <c r="A40" s="140" t="s">
        <v>48</v>
      </c>
      <c r="B40" s="13" t="s">
        <v>49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D40+F40+'02-20-20'!H40</f>
        <v>5628.75</v>
      </c>
      <c r="I40" s="15">
        <f>E40+G40+'02-20-20'!I40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4083.7265377777767</v>
      </c>
    </row>
    <row r="41" spans="1:13" s="25" customFormat="1" ht="11.45" customHeight="1" x14ac:dyDescent="0.25">
      <c r="A41" s="138" t="s">
        <v>26</v>
      </c>
      <c r="B41" s="41" t="s">
        <v>47</v>
      </c>
      <c r="C41" s="66">
        <v>15220</v>
      </c>
      <c r="D41" s="15">
        <v>0</v>
      </c>
      <c r="E41" s="15">
        <v>0</v>
      </c>
      <c r="F41" s="15">
        <v>1080</v>
      </c>
      <c r="G41" s="15">
        <v>61.56</v>
      </c>
      <c r="H41" s="15">
        <f>D41+F41+'02-20-20'!H41</f>
        <v>6509.4</v>
      </c>
      <c r="I41" s="15">
        <f>E41+G41+'02-20-20'!I41</f>
        <v>371</v>
      </c>
      <c r="J41" s="15">
        <f>H41+I41</f>
        <v>6880.4</v>
      </c>
      <c r="K41" s="14">
        <f>C41-J41</f>
        <v>8339.6</v>
      </c>
      <c r="L41" s="15">
        <f t="shared" si="15"/>
        <v>5254.3521911111111</v>
      </c>
    </row>
    <row r="42" spans="1:13" ht="21.6" customHeight="1" x14ac:dyDescent="0.25">
      <c r="A42" s="206" t="s">
        <v>27</v>
      </c>
      <c r="B42" s="207"/>
      <c r="C42" s="15">
        <f>SUM(C32:C41)</f>
        <v>54758.400000000001</v>
      </c>
      <c r="D42" s="15">
        <f>SUM(D32:D41)</f>
        <v>641.82000000000005</v>
      </c>
      <c r="E42" s="15">
        <f>SUM(E32:E41)</f>
        <v>10.25</v>
      </c>
      <c r="F42" s="15">
        <f>SUM(F32:F41)</f>
        <v>1896</v>
      </c>
      <c r="G42" s="15">
        <f>SUM(G32:G41)</f>
        <v>108.07</v>
      </c>
      <c r="H42" s="15">
        <f>SUM(H32, H33:H41)</f>
        <v>27433.979999999996</v>
      </c>
      <c r="I42" s="15">
        <f>SUM(I32, I33:I41)</f>
        <v>983.06999999999994</v>
      </c>
      <c r="J42" s="15">
        <f>SUM(J32, J33:J41)</f>
        <v>28417.049999999996</v>
      </c>
      <c r="K42" s="15">
        <f>SUM(K32, K33:K41)</f>
        <v>26341.35</v>
      </c>
      <c r="L42" s="15">
        <f>SUM(L32, L33:L41)</f>
        <v>13598.829034999997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f>-846.33+704.66</f>
        <v>-141.67000000000007</v>
      </c>
      <c r="E45" s="14">
        <f>-13.54+11.26</f>
        <v>-2.2799999999999994</v>
      </c>
      <c r="F45" s="14">
        <v>440</v>
      </c>
      <c r="G45" s="14">
        <v>25.07</v>
      </c>
      <c r="H45" s="15">
        <f>D45+F45+'02-20-20'!H45</f>
        <v>28679.97</v>
      </c>
      <c r="I45" s="15">
        <f>E45+G45+'02-20-20'!I45</f>
        <v>1003.13</v>
      </c>
      <c r="J45" s="15">
        <f>H45+I45</f>
        <v>29683.100000000002</v>
      </c>
      <c r="K45" s="14">
        <f>C45-J45</f>
        <v>32899.899999999994</v>
      </c>
      <c r="L45" s="15">
        <f>C45-((J45/18)*26.0714)</f>
        <v>19589.668147777775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-141.67000000000007</v>
      </c>
      <c r="E46" s="59">
        <f t="shared" si="16"/>
        <v>-2.2799999999999994</v>
      </c>
      <c r="F46" s="59">
        <f t="shared" si="16"/>
        <v>440</v>
      </c>
      <c r="G46" s="59">
        <f t="shared" si="16"/>
        <v>25.07</v>
      </c>
      <c r="H46" s="59">
        <f t="shared" si="16"/>
        <v>28679.97</v>
      </c>
      <c r="I46" s="59">
        <f t="shared" si="16"/>
        <v>1003.13</v>
      </c>
      <c r="J46" s="59">
        <f t="shared" si="16"/>
        <v>29683.100000000002</v>
      </c>
      <c r="K46" s="59">
        <f t="shared" si="16"/>
        <v>32899.899999999994</v>
      </c>
      <c r="L46" s="59">
        <f t="shared" si="16"/>
        <v>19589.668147777775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423.98</v>
      </c>
      <c r="G49" s="14">
        <v>24.16</v>
      </c>
      <c r="H49" s="15">
        <f>D49+F49+'02-20-20'!H49</f>
        <v>7237.9299999999985</v>
      </c>
      <c r="I49" s="15">
        <f>E49+G49+'02-20-20'!I49</f>
        <v>412.47000000000014</v>
      </c>
      <c r="J49" s="15">
        <f>H49+I49</f>
        <v>7650.3999999999987</v>
      </c>
      <c r="K49" s="14">
        <f>C49-J49</f>
        <v>55085.599999999999</v>
      </c>
      <c r="L49" s="15">
        <f>C49-((J49/18)*26.0714)</f>
        <v>51655.075635555557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423.98</v>
      </c>
      <c r="G50" s="15">
        <f t="shared" si="17"/>
        <v>24.16</v>
      </c>
      <c r="H50" s="15">
        <f t="shared" si="17"/>
        <v>7237.9299999999985</v>
      </c>
      <c r="I50" s="15">
        <f t="shared" si="17"/>
        <v>412.47000000000014</v>
      </c>
      <c r="J50" s="15">
        <f t="shared" si="17"/>
        <v>7650.3999999999987</v>
      </c>
      <c r="K50" s="15">
        <f t="shared" si="17"/>
        <v>55085.599999999999</v>
      </c>
      <c r="L50" s="15">
        <f t="shared" si="17"/>
        <v>51655.075635555557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5"/>
      <c r="B70" s="5"/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4">
    <mergeCell ref="A69:F69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</mergeCells>
  <pageMargins left="0.25" right="0" top="0.4" bottom="0" header="0.3" footer="0"/>
  <pageSetup scale="91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130" zoomScaleNormal="13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100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D3+F3+'03-05-20'!H3</f>
        <v>3483.6000000000004</v>
      </c>
      <c r="I3" s="15">
        <f>E3+G3+'03-05-20'!I3</f>
        <v>157.35</v>
      </c>
      <c r="J3" s="15">
        <f>H3+I3</f>
        <v>3640.9500000000003</v>
      </c>
      <c r="K3" s="15">
        <f>C3-J3</f>
        <v>0</v>
      </c>
      <c r="L3" s="15">
        <f>C3-((J3/19)*26.0714)</f>
        <v>-1355.0849384210528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D4+F4+'03-05-20'!H4</f>
        <v>0</v>
      </c>
      <c r="I4" s="15">
        <f>E4+G4+'03-05-20'!I4</f>
        <v>0</v>
      </c>
      <c r="J4" s="15">
        <f>H4+I4</f>
        <v>0</v>
      </c>
      <c r="K4" s="15">
        <f>C4-J4</f>
        <v>3229</v>
      </c>
      <c r="L4" s="15">
        <f t="shared" ref="L4:L12" si="0">C4-((J4/19)*26.0714)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v>416.05</v>
      </c>
      <c r="E5" s="21">
        <v>6.65</v>
      </c>
      <c r="F5" s="21">
        <v>0</v>
      </c>
      <c r="G5" s="21">
        <v>0</v>
      </c>
      <c r="H5" s="15">
        <f>D5+F5+'03-05-20'!H5</f>
        <v>8242.239999999998</v>
      </c>
      <c r="I5" s="15">
        <f>E5+G5+'03-05-20'!I5</f>
        <v>149.87</v>
      </c>
      <c r="J5" s="15">
        <f t="shared" ref="J5:J12" si="1">H5+I5</f>
        <v>8392.1099999999988</v>
      </c>
      <c r="K5" s="14">
        <f t="shared" ref="K5:K12" si="2">C5-J5</f>
        <v>16256.890000000001</v>
      </c>
      <c r="L5" s="15">
        <f t="shared" si="0"/>
        <v>13133.523334000001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883.09</v>
      </c>
      <c r="E6" s="14">
        <v>14.12</v>
      </c>
      <c r="F6" s="14">
        <v>0</v>
      </c>
      <c r="G6" s="14">
        <v>0</v>
      </c>
      <c r="H6" s="15">
        <f>D6+F6+'03-05-20'!H6</f>
        <v>9597.0399999999991</v>
      </c>
      <c r="I6" s="15">
        <f>E6+G6+'03-05-20'!I6</f>
        <v>157.07</v>
      </c>
      <c r="J6" s="15">
        <f t="shared" si="1"/>
        <v>9754.1099999999988</v>
      </c>
      <c r="K6" s="14">
        <f t="shared" si="2"/>
        <v>8219.8900000000012</v>
      </c>
      <c r="L6" s="15">
        <f t="shared" si="0"/>
        <v>4589.6156076842108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v>184.57</v>
      </c>
      <c r="E7" s="14">
        <v>2.95</v>
      </c>
      <c r="F7" s="14">
        <v>0</v>
      </c>
      <c r="G7" s="14">
        <v>0</v>
      </c>
      <c r="H7" s="15">
        <f>D7+F7+'03-05-20'!H7</f>
        <v>9236.73</v>
      </c>
      <c r="I7" s="15">
        <f>E7+G7+'03-05-20'!I7</f>
        <v>147.61000000000001</v>
      </c>
      <c r="J7" s="15">
        <f t="shared" si="1"/>
        <v>9384.34</v>
      </c>
      <c r="K7" s="14">
        <f t="shared" si="2"/>
        <v>8589.66</v>
      </c>
      <c r="L7" s="15">
        <f t="shared" si="0"/>
        <v>5097.0062170526307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193.16</v>
      </c>
      <c r="E8" s="14">
        <v>3.09</v>
      </c>
      <c r="F8" s="14">
        <v>0</v>
      </c>
      <c r="G8" s="14">
        <v>0</v>
      </c>
      <c r="H8" s="15">
        <f>D8+F8+'03-05-20'!H8</f>
        <v>9773.4500000000025</v>
      </c>
      <c r="I8" s="15">
        <f>E8+G8+'03-05-20'!I8</f>
        <v>156.25</v>
      </c>
      <c r="J8" s="15">
        <f t="shared" si="1"/>
        <v>9929.7000000000025</v>
      </c>
      <c r="K8" s="14">
        <f t="shared" si="2"/>
        <v>14400.299999999997</v>
      </c>
      <c r="L8" s="15">
        <f t="shared" si="0"/>
        <v>10704.674706315785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259.01</v>
      </c>
      <c r="E9" s="14">
        <v>4.1399999999999997</v>
      </c>
      <c r="F9" s="14">
        <v>0</v>
      </c>
      <c r="G9" s="14">
        <v>0</v>
      </c>
      <c r="H9" s="15">
        <f>D9+F9+'03-05-20'!H9</f>
        <v>16259.930000000002</v>
      </c>
      <c r="I9" s="15">
        <f>E9+G9+'03-05-20'!I9</f>
        <v>388.73999999999995</v>
      </c>
      <c r="J9" s="15">
        <f t="shared" si="1"/>
        <v>16648.670000000002</v>
      </c>
      <c r="K9" s="14">
        <f t="shared" si="2"/>
        <v>17351.329999999998</v>
      </c>
      <c r="L9" s="15">
        <f t="shared" si="0"/>
        <v>11155.045524315785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v>1556.33</v>
      </c>
      <c r="E10" s="14">
        <v>24.9</v>
      </c>
      <c r="F10" s="14">
        <v>0</v>
      </c>
      <c r="G10" s="14">
        <v>0</v>
      </c>
      <c r="H10" s="15">
        <f>D10+F10+'03-05-20'!H10</f>
        <v>32676.17</v>
      </c>
      <c r="I10" s="15">
        <f>E10+G10+'03-05-20'!I10</f>
        <v>541.38</v>
      </c>
      <c r="J10" s="15">
        <f t="shared" si="1"/>
        <v>33217.549999999996</v>
      </c>
      <c r="K10" s="14">
        <f t="shared" si="2"/>
        <v>9523.4500000000044</v>
      </c>
      <c r="L10" s="15">
        <f t="shared" si="0"/>
        <v>-2839.4227931578935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391.65</v>
      </c>
      <c r="E11" s="14">
        <v>6.26</v>
      </c>
      <c r="F11" s="14">
        <v>0</v>
      </c>
      <c r="G11" s="14">
        <v>0</v>
      </c>
      <c r="H11" s="15">
        <f>D11+F11+'03-05-20'!H11</f>
        <v>8464.44</v>
      </c>
      <c r="I11" s="15">
        <f>E11+G11+'03-05-20'!I11</f>
        <v>211.06</v>
      </c>
      <c r="J11" s="15">
        <f t="shared" si="1"/>
        <v>8675.5</v>
      </c>
      <c r="K11" s="14">
        <f t="shared" si="2"/>
        <v>14497.5</v>
      </c>
      <c r="L11" s="15">
        <f t="shared" si="0"/>
        <v>11268.661542105263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f>1332.91+159.22</f>
        <v>1492.13</v>
      </c>
      <c r="E12" s="14">
        <f>21.32+2.5</f>
        <v>23.82</v>
      </c>
      <c r="F12" s="14">
        <v>0</v>
      </c>
      <c r="G12" s="14">
        <v>0</v>
      </c>
      <c r="H12" s="15">
        <f>D12+F12+'03-05-20'!H12</f>
        <v>2686.2400000000002</v>
      </c>
      <c r="I12" s="15">
        <f>E12+G12+'03-05-20'!I12</f>
        <v>42.81</v>
      </c>
      <c r="J12" s="15">
        <f t="shared" si="1"/>
        <v>2729.05</v>
      </c>
      <c r="K12" s="14">
        <f t="shared" si="2"/>
        <v>3270.95</v>
      </c>
      <c r="L12" s="15">
        <f t="shared" si="0"/>
        <v>2255.2550436842102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5375.99</v>
      </c>
      <c r="E13" s="15">
        <f t="shared" si="3"/>
        <v>85.929999999999993</v>
      </c>
      <c r="F13" s="15">
        <f t="shared" si="3"/>
        <v>0</v>
      </c>
      <c r="G13" s="15">
        <f t="shared" si="3"/>
        <v>0</v>
      </c>
      <c r="H13" s="15">
        <f t="shared" si="3"/>
        <v>100419.84000000001</v>
      </c>
      <c r="I13" s="15">
        <f t="shared" si="3"/>
        <v>1952.1399999999999</v>
      </c>
      <c r="J13" s="14">
        <f t="shared" si="3"/>
        <v>102371.98</v>
      </c>
      <c r="K13" s="14">
        <f t="shared" si="3"/>
        <v>95338.969999999987</v>
      </c>
      <c r="L13" s="15">
        <f t="shared" si="3"/>
        <v>57238.274243578941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299.60000000000002</v>
      </c>
      <c r="E16" s="14">
        <v>4.79</v>
      </c>
      <c r="F16" s="14">
        <v>0</v>
      </c>
      <c r="G16" s="14">
        <v>0</v>
      </c>
      <c r="H16" s="15">
        <f>D16+F16+'03-05-20'!H16</f>
        <v>710.48</v>
      </c>
      <c r="I16" s="15">
        <f>E16+G16+'03-05-20'!I16</f>
        <v>11.350000000000001</v>
      </c>
      <c r="J16" s="15">
        <f>H16+I16</f>
        <v>721.83</v>
      </c>
      <c r="K16" s="14">
        <f>C16-J16</f>
        <v>26201.17</v>
      </c>
      <c r="L16" s="15">
        <f t="shared" ref="L16:L18" si="4">C16-((J16/19)*26.0714)</f>
        <v>25932.520070421051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162.93</v>
      </c>
      <c r="E17" s="15">
        <v>2.6</v>
      </c>
      <c r="F17" s="14">
        <v>0</v>
      </c>
      <c r="G17" s="14">
        <v>0</v>
      </c>
      <c r="H17" s="15">
        <f>D17+F17+'03-05-20'!H17</f>
        <v>4176.95</v>
      </c>
      <c r="I17" s="15">
        <f>E17+G17+'03-05-20'!I17</f>
        <v>83.87</v>
      </c>
      <c r="J17" s="15">
        <f>H17+I17</f>
        <v>4260.82</v>
      </c>
      <c r="K17" s="14">
        <f>C17-J17</f>
        <v>11801.18</v>
      </c>
      <c r="L17" s="15">
        <f t="shared" si="4"/>
        <v>10215.392497473684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111.28</v>
      </c>
      <c r="E18" s="14">
        <v>1.78</v>
      </c>
      <c r="F18" s="14">
        <v>0</v>
      </c>
      <c r="G18" s="14">
        <v>0</v>
      </c>
      <c r="H18" s="15">
        <f>D18+F18+'03-05-20'!H18</f>
        <v>1155.7799999999997</v>
      </c>
      <c r="I18" s="15">
        <f>E18+G18+'03-05-20'!I18</f>
        <v>18.41</v>
      </c>
      <c r="J18" s="15">
        <f>H18+I18</f>
        <v>1174.1899999999998</v>
      </c>
      <c r="K18" s="14">
        <f>C18-J18</f>
        <v>851.81000000000017</v>
      </c>
      <c r="L18" s="15">
        <f t="shared" si="4"/>
        <v>414.80120178947391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573.81000000000006</v>
      </c>
      <c r="E19" s="15">
        <f t="shared" si="5"/>
        <v>9.17</v>
      </c>
      <c r="F19" s="15">
        <f t="shared" si="5"/>
        <v>0</v>
      </c>
      <c r="G19" s="15">
        <f t="shared" si="5"/>
        <v>0</v>
      </c>
      <c r="H19" s="15">
        <f t="shared" si="5"/>
        <v>6043.21</v>
      </c>
      <c r="I19" s="15">
        <f t="shared" si="5"/>
        <v>113.63</v>
      </c>
      <c r="J19" s="14">
        <f t="shared" si="5"/>
        <v>6156.8399999999992</v>
      </c>
      <c r="K19" s="15">
        <f t="shared" si="5"/>
        <v>38854.159999999996</v>
      </c>
      <c r="L19" s="15">
        <f t="shared" si="5"/>
        <v>36562.713769684204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1346.25</v>
      </c>
      <c r="E23" s="14">
        <v>21.54</v>
      </c>
      <c r="F23" s="14">
        <v>0</v>
      </c>
      <c r="G23" s="14">
        <v>0</v>
      </c>
      <c r="H23" s="15">
        <f>D23+F23+'03-05-20'!H23</f>
        <v>10170</v>
      </c>
      <c r="I23" s="15">
        <f>E23+G23+'03-05-20'!I23</f>
        <v>162.70999999999998</v>
      </c>
      <c r="J23" s="15">
        <f t="shared" si="7"/>
        <v>10332.709999999999</v>
      </c>
      <c r="K23" s="14">
        <f t="shared" si="8"/>
        <v>17255.690000000002</v>
      </c>
      <c r="L23" s="15">
        <f t="shared" ref="L23:L25" si="10">C23-((J23/19)*26.0714)</f>
        <v>13410.072868736843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294.54000000000002</v>
      </c>
      <c r="E24" s="48">
        <v>4.71</v>
      </c>
      <c r="F24" s="48">
        <v>0</v>
      </c>
      <c r="G24" s="48">
        <v>0</v>
      </c>
      <c r="H24" s="15">
        <f>D24+F24+'03-05-20'!H24</f>
        <v>7934.4699999999993</v>
      </c>
      <c r="I24" s="15">
        <f>E24+G24+'03-05-20'!I24</f>
        <v>148.71</v>
      </c>
      <c r="J24" s="15">
        <f t="shared" si="7"/>
        <v>8083.1799999999994</v>
      </c>
      <c r="K24" s="14">
        <f t="shared" si="8"/>
        <v>6416.8200000000006</v>
      </c>
      <c r="L24" s="15">
        <f t="shared" si="10"/>
        <v>3408.4305762105269</v>
      </c>
    </row>
    <row r="25" spans="1:13" s="43" customFormat="1" ht="10.9" customHeight="1" x14ac:dyDescent="0.25">
      <c r="A25" s="143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D25+F25+'03-05-20'!H25</f>
        <v>1968</v>
      </c>
      <c r="I25" s="15">
        <f>E25+G25+'03-05-20'!I25</f>
        <v>112.12</v>
      </c>
      <c r="J25" s="15">
        <f>H25+I25</f>
        <v>2080.12</v>
      </c>
      <c r="K25" s="14">
        <f>C25-J25</f>
        <v>3191.41</v>
      </c>
      <c r="L25" s="15">
        <f t="shared" si="10"/>
        <v>2417.2331279999999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1640.79</v>
      </c>
      <c r="E26" s="49">
        <f t="shared" si="11"/>
        <v>26.25</v>
      </c>
      <c r="F26" s="49">
        <f t="shared" si="11"/>
        <v>0</v>
      </c>
      <c r="G26" s="49">
        <f t="shared" si="11"/>
        <v>0</v>
      </c>
      <c r="H26" s="49">
        <f t="shared" si="11"/>
        <v>20072.47</v>
      </c>
      <c r="I26" s="49">
        <f t="shared" si="11"/>
        <v>423.53999999999996</v>
      </c>
      <c r="J26" s="49">
        <f t="shared" si="11"/>
        <v>20496.009999999998</v>
      </c>
      <c r="K26" s="49">
        <f t="shared" si="11"/>
        <v>26863.920000000002</v>
      </c>
      <c r="L26" s="50">
        <f>SUM(L23:L25)</f>
        <v>19235.736572947368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7590.59</v>
      </c>
      <c r="E29" s="50">
        <f t="shared" si="12"/>
        <v>121.35</v>
      </c>
      <c r="F29" s="50">
        <f t="shared" si="12"/>
        <v>0</v>
      </c>
      <c r="G29" s="50">
        <f t="shared" si="12"/>
        <v>0</v>
      </c>
      <c r="H29" s="50">
        <f t="shared" si="12"/>
        <v>126535.52000000002</v>
      </c>
      <c r="I29" s="50">
        <f t="shared" si="12"/>
        <v>2489.31</v>
      </c>
      <c r="J29" s="50">
        <f t="shared" si="12"/>
        <v>129024.82999999999</v>
      </c>
      <c r="K29" s="50">
        <f t="shared" si="12"/>
        <v>161057.04999999999</v>
      </c>
      <c r="L29" s="50">
        <f t="shared" si="12"/>
        <v>113036.72458621052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43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D32+F32+'03-05-20'!H32</f>
        <v>0</v>
      </c>
      <c r="I32" s="15">
        <f>E32+G32+'03-05-20'!I32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C32-((J32/19)*26.0714)</f>
        <v>600.30999999999995</v>
      </c>
    </row>
    <row r="33" spans="1:13" s="24" customFormat="1" ht="11.25" hidden="1" customHeight="1" x14ac:dyDescent="0.25">
      <c r="A33" s="141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D33+F33+'03-05-20'!H33</f>
        <v>0</v>
      </c>
      <c r="I33" s="15">
        <f>E33+G33+'03-05-20'!I33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41" t="s">
        <v>90</v>
      </c>
      <c r="B34" s="151" t="s">
        <v>104</v>
      </c>
      <c r="C34" s="14">
        <v>12000</v>
      </c>
      <c r="D34" s="14">
        <v>64.37</v>
      </c>
      <c r="E34" s="14">
        <v>1.02</v>
      </c>
      <c r="F34" s="14">
        <v>942</v>
      </c>
      <c r="G34" s="14">
        <v>53.69</v>
      </c>
      <c r="H34" s="15">
        <f>D34+F34+'03-05-20'!H34</f>
        <v>5415.24</v>
      </c>
      <c r="I34" s="15">
        <f>E34+G34+'03-05-20'!I34</f>
        <v>280.69</v>
      </c>
      <c r="J34" s="14">
        <f t="shared" si="13"/>
        <v>5695.9299999999994</v>
      </c>
      <c r="K34" s="14">
        <f>C34-J34</f>
        <v>6304.0700000000006</v>
      </c>
      <c r="L34" s="15">
        <f t="shared" si="15"/>
        <v>4184.1647683157898</v>
      </c>
      <c r="M34" s="44"/>
    </row>
    <row r="35" spans="1:13" s="24" customFormat="1" ht="11.25" customHeight="1" x14ac:dyDescent="0.25">
      <c r="A35" s="143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D35+F35+'03-05-20'!H35</f>
        <v>277.20000000000005</v>
      </c>
      <c r="I35" s="15">
        <f>E35+G35+'03-05-20'!I35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363.30529021052627</v>
      </c>
    </row>
    <row r="36" spans="1:13" s="24" customFormat="1" ht="11.25" customHeight="1" x14ac:dyDescent="0.25">
      <c r="A36" s="143" t="s">
        <v>68</v>
      </c>
      <c r="B36" s="93" t="s">
        <v>66</v>
      </c>
      <c r="C36" s="15">
        <v>6353.85</v>
      </c>
      <c r="D36" s="15">
        <v>872.58</v>
      </c>
      <c r="E36" s="15">
        <v>13.96</v>
      </c>
      <c r="F36" s="15">
        <v>0</v>
      </c>
      <c r="G36" s="15">
        <v>0</v>
      </c>
      <c r="H36" s="15">
        <f>D36+F36+'03-05-20'!H36</f>
        <v>4335.4799999999996</v>
      </c>
      <c r="I36" s="15">
        <f>E36+G36+'03-05-20'!I36</f>
        <v>69.28</v>
      </c>
      <c r="J36" s="15">
        <f t="shared" si="13"/>
        <v>4404.7599999999993</v>
      </c>
      <c r="K36" s="15">
        <f t="shared" si="14"/>
        <v>1949.0900000000011</v>
      </c>
      <c r="L36" s="15">
        <f t="shared" si="15"/>
        <v>309.73105978947478</v>
      </c>
      <c r="M36" s="25"/>
    </row>
    <row r="37" spans="1:13" s="24" customFormat="1" ht="11.25" customHeight="1" x14ac:dyDescent="0.25">
      <c r="A37" s="143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D37+F37+'03-05-20'!H37</f>
        <v>0</v>
      </c>
      <c r="I37" s="15">
        <f>E37+G37+'03-05-20'!I37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43" t="s">
        <v>36</v>
      </c>
      <c r="B38" s="151" t="s">
        <v>103</v>
      </c>
      <c r="C38" s="95">
        <v>2043</v>
      </c>
      <c r="D38" s="14">
        <f>-1332.91</f>
        <v>-1332.91</v>
      </c>
      <c r="E38" s="14">
        <f>-21.32</f>
        <v>-21.32</v>
      </c>
      <c r="F38" s="14">
        <v>0</v>
      </c>
      <c r="G38" s="14">
        <v>0</v>
      </c>
      <c r="H38" s="15">
        <f>D38+F38+'03-05-20'!H38</f>
        <v>3489.88</v>
      </c>
      <c r="I38" s="15">
        <f>E38+G38+'03-05-20'!I38</f>
        <v>166.46</v>
      </c>
      <c r="J38" s="15">
        <f t="shared" si="13"/>
        <v>3656.34</v>
      </c>
      <c r="K38" s="117">
        <f t="shared" si="14"/>
        <v>-1613.3400000000001</v>
      </c>
      <c r="L38" s="15">
        <f t="shared" si="15"/>
        <v>-2974.1527724210528</v>
      </c>
    </row>
    <row r="39" spans="1:13" s="25" customFormat="1" ht="11.45" customHeight="1" x14ac:dyDescent="0.25">
      <c r="A39" s="144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D39+F39+'03-05-20'!H39</f>
        <v>2324.0699999999997</v>
      </c>
      <c r="I39" s="15">
        <f>E39+G39+'03-05-20'!I39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-490.01637410526291</v>
      </c>
    </row>
    <row r="40" spans="1:13" s="25" customFormat="1" ht="11.45" customHeight="1" x14ac:dyDescent="0.25">
      <c r="A40" s="144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D40+F40+'03-05-20'!H40</f>
        <v>5628.75</v>
      </c>
      <c r="I40" s="15">
        <f>E40+G40+'03-05-20'!I40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4519.6830357894733</v>
      </c>
    </row>
    <row r="41" spans="1:13" s="25" customFormat="1" ht="11.45" customHeight="1" x14ac:dyDescent="0.25">
      <c r="A41" s="142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1080</v>
      </c>
      <c r="G41" s="15">
        <v>61.56</v>
      </c>
      <c r="H41" s="15">
        <f>D41+F41+'03-05-20'!H41</f>
        <v>7589.4</v>
      </c>
      <c r="I41" s="15">
        <f>E41+G41+'03-05-20'!I41</f>
        <v>432.56</v>
      </c>
      <c r="J41" s="15">
        <f>H41+I41</f>
        <v>8021.96</v>
      </c>
      <c r="K41" s="14">
        <f>C41-J41</f>
        <v>7198.04</v>
      </c>
      <c r="L41" s="15">
        <f t="shared" si="15"/>
        <v>4212.4353713684213</v>
      </c>
    </row>
    <row r="42" spans="1:13" ht="21.6" customHeight="1" x14ac:dyDescent="0.25">
      <c r="A42" s="206" t="s">
        <v>27</v>
      </c>
      <c r="B42" s="207"/>
      <c r="C42" s="15">
        <f>SUM(C32:C41)</f>
        <v>54758.400000000001</v>
      </c>
      <c r="D42" s="15">
        <f>SUM(D32:D41)</f>
        <v>-395.96000000000004</v>
      </c>
      <c r="E42" s="15">
        <f>SUM(E32:E41)</f>
        <v>-6.34</v>
      </c>
      <c r="F42" s="15">
        <f>SUM(F32:F41)</f>
        <v>2022</v>
      </c>
      <c r="G42" s="15">
        <f>SUM(G32:G41)</f>
        <v>115.25</v>
      </c>
      <c r="H42" s="15">
        <f>SUM(H32, H33:H41)</f>
        <v>29060.019999999997</v>
      </c>
      <c r="I42" s="15">
        <f>SUM(I32, I33:I41)</f>
        <v>1091.98</v>
      </c>
      <c r="J42" s="15">
        <f>SUM(J32, J33:J41)</f>
        <v>30151.999999999996</v>
      </c>
      <c r="K42" s="15">
        <f>SUM(K32, K33:K41)</f>
        <v>24606.400000000005</v>
      </c>
      <c r="L42" s="15">
        <f>SUM(L32, L33:L41)</f>
        <v>13384.460378947369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v>581.66</v>
      </c>
      <c r="E45" s="14">
        <v>9.3000000000000007</v>
      </c>
      <c r="F45" s="14">
        <v>440</v>
      </c>
      <c r="G45" s="14">
        <v>25.08</v>
      </c>
      <c r="H45" s="15">
        <f>D45+F45+'03-05-20'!H45</f>
        <v>29701.63</v>
      </c>
      <c r="I45" s="15">
        <f>E45+G45+'03-05-20'!I45</f>
        <v>1037.51</v>
      </c>
      <c r="J45" s="15">
        <f>H45+I45</f>
        <v>30739.14</v>
      </c>
      <c r="K45" s="14">
        <f>C45-J45</f>
        <v>31843.86</v>
      </c>
      <c r="L45" s="15">
        <f>C45-((J45/19)*26.0714)</f>
        <v>20403.399231789474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581.66</v>
      </c>
      <c r="E46" s="59">
        <f t="shared" si="16"/>
        <v>9.3000000000000007</v>
      </c>
      <c r="F46" s="59">
        <f t="shared" si="16"/>
        <v>440</v>
      </c>
      <c r="G46" s="59">
        <f t="shared" si="16"/>
        <v>25.08</v>
      </c>
      <c r="H46" s="59">
        <f t="shared" si="16"/>
        <v>29701.63</v>
      </c>
      <c r="I46" s="59">
        <f t="shared" si="16"/>
        <v>1037.51</v>
      </c>
      <c r="J46" s="59">
        <f t="shared" si="16"/>
        <v>30739.14</v>
      </c>
      <c r="K46" s="59">
        <f t="shared" si="16"/>
        <v>31843.86</v>
      </c>
      <c r="L46" s="59">
        <f t="shared" si="16"/>
        <v>20403.399231789474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292.39999999999998</v>
      </c>
      <c r="G49" s="14">
        <v>16.66</v>
      </c>
      <c r="H49" s="15">
        <f>D49+F49+'03-05-20'!H49</f>
        <v>7530.3299999999981</v>
      </c>
      <c r="I49" s="15">
        <f>E49+G49+'03-05-20'!I49</f>
        <v>429.13000000000017</v>
      </c>
      <c r="J49" s="15">
        <f>H49+I49</f>
        <v>7959.4599999999982</v>
      </c>
      <c r="K49" s="14">
        <f>C49-J49</f>
        <v>54776.54</v>
      </c>
      <c r="L49" s="15">
        <f>C49-((J49/19)*26.0714)</f>
        <v>51814.19655557895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292.39999999999998</v>
      </c>
      <c r="G50" s="15">
        <f t="shared" si="17"/>
        <v>16.66</v>
      </c>
      <c r="H50" s="15">
        <f t="shared" si="17"/>
        <v>7530.3299999999981</v>
      </c>
      <c r="I50" s="15">
        <f t="shared" si="17"/>
        <v>429.13000000000017</v>
      </c>
      <c r="J50" s="15">
        <f t="shared" si="17"/>
        <v>7959.4599999999982</v>
      </c>
      <c r="K50" s="15">
        <f t="shared" si="17"/>
        <v>54776.54</v>
      </c>
      <c r="L50" s="15">
        <f t="shared" si="17"/>
        <v>51814.19655557895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5"/>
      <c r="B70" s="5"/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4"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  <mergeCell ref="A69:F69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</mergeCells>
  <pageMargins left="0.25" right="0" top="0.4" bottom="0" header="0.3" footer="0"/>
  <pageSetup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145" zoomScaleNormal="145" workbookViewId="0">
      <pane ySplit="2" topLeftCell="A3" activePane="bottomLeft" state="frozen"/>
      <selection pane="bottomLeft" activeCell="J9" sqref="J9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54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8" customFormat="1" ht="10.9" customHeight="1" x14ac:dyDescent="0.25">
      <c r="A3" s="12" t="s">
        <v>9</v>
      </c>
      <c r="B3" s="13">
        <v>55010500</v>
      </c>
      <c r="C3" s="95">
        <v>3229</v>
      </c>
      <c r="D3" s="14">
        <v>0</v>
      </c>
      <c r="E3" s="14">
        <v>0</v>
      </c>
      <c r="F3" s="14">
        <v>0</v>
      </c>
      <c r="G3" s="14">
        <v>0</v>
      </c>
      <c r="H3" s="15">
        <f>D3+F3+'7-11-19'!H3</f>
        <v>0</v>
      </c>
      <c r="I3" s="15">
        <f>E3+G3+'7-11-19'!I3</f>
        <v>0</v>
      </c>
      <c r="J3" s="15">
        <f>H3+I3</f>
        <v>0</v>
      </c>
      <c r="K3" s="15">
        <f>C3-J3</f>
        <v>3229</v>
      </c>
      <c r="L3" s="15">
        <f>C3-((J3/2)*26.0714)</f>
        <v>3229</v>
      </c>
      <c r="M3" s="16"/>
      <c r="N3" s="17"/>
    </row>
    <row r="4" spans="1:15" ht="11.25" customHeight="1" x14ac:dyDescent="0.25">
      <c r="A4" s="19" t="s">
        <v>45</v>
      </c>
      <c r="B4" s="20">
        <v>55020200</v>
      </c>
      <c r="C4" s="102">
        <v>24649</v>
      </c>
      <c r="D4" s="21">
        <v>996.08</v>
      </c>
      <c r="E4" s="21">
        <v>15.93</v>
      </c>
      <c r="F4" s="21">
        <v>67.28</v>
      </c>
      <c r="G4" s="21">
        <v>3.83</v>
      </c>
      <c r="H4" s="15">
        <f>D4+F4+'7-11-19'!H4</f>
        <v>2488.36</v>
      </c>
      <c r="I4" s="15">
        <f>E4+G4+'7-11-19'!I4</f>
        <v>61.559999999999995</v>
      </c>
      <c r="J4" s="15">
        <f t="shared" ref="J4:J11" si="0">H4+I4</f>
        <v>2549.92</v>
      </c>
      <c r="K4" s="14">
        <f t="shared" ref="K4:K11" si="1">C4-J4</f>
        <v>22099.08</v>
      </c>
      <c r="L4" s="15">
        <f t="shared" ref="L4:L11" si="2">C4-((J4/2)*26.0714)</f>
        <v>-8590.9921440000035</v>
      </c>
      <c r="M4" s="22"/>
      <c r="N4" s="23"/>
    </row>
    <row r="5" spans="1:15" ht="11.25" customHeight="1" x14ac:dyDescent="0.25">
      <c r="A5" s="12" t="s">
        <v>10</v>
      </c>
      <c r="B5" s="13">
        <v>55020300</v>
      </c>
      <c r="C5" s="95">
        <v>17974</v>
      </c>
      <c r="D5" s="14">
        <v>235.6</v>
      </c>
      <c r="E5" s="14">
        <v>3.76</v>
      </c>
      <c r="F5" s="14">
        <v>0</v>
      </c>
      <c r="G5" s="14">
        <v>0</v>
      </c>
      <c r="H5" s="15">
        <f>D5+F5+'7-11-19'!H5</f>
        <v>666.29</v>
      </c>
      <c r="I5" s="15">
        <f>E5+G5+'7-11-19'!I5</f>
        <v>10.649999999999999</v>
      </c>
      <c r="J5" s="15">
        <f t="shared" si="0"/>
        <v>676.93999999999994</v>
      </c>
      <c r="K5" s="14">
        <f t="shared" si="1"/>
        <v>17297.060000000001</v>
      </c>
      <c r="L5" s="15">
        <f t="shared" si="2"/>
        <v>9149.6132420000013</v>
      </c>
      <c r="M5" s="22"/>
      <c r="N5" s="22"/>
    </row>
    <row r="6" spans="1:15" ht="11.25" customHeight="1" x14ac:dyDescent="0.25">
      <c r="A6" s="12" t="s">
        <v>11</v>
      </c>
      <c r="B6" s="13">
        <v>55020400</v>
      </c>
      <c r="C6" s="95">
        <v>17974</v>
      </c>
      <c r="D6" s="14">
        <v>516.49</v>
      </c>
      <c r="E6" s="14">
        <v>8.26</v>
      </c>
      <c r="F6" s="14">
        <v>0</v>
      </c>
      <c r="G6" s="14">
        <v>0</v>
      </c>
      <c r="H6" s="15">
        <f>D6+F6+'7-11-19'!H6</f>
        <v>882.68000000000006</v>
      </c>
      <c r="I6" s="15">
        <f>E6+G6+'7-11-19'!I6</f>
        <v>14.11</v>
      </c>
      <c r="J6" s="14">
        <f t="shared" si="0"/>
        <v>896.79000000000008</v>
      </c>
      <c r="K6" s="14">
        <f t="shared" si="1"/>
        <v>17077.21</v>
      </c>
      <c r="L6" s="15">
        <f t="shared" si="2"/>
        <v>6283.7145969999983</v>
      </c>
      <c r="M6" s="22"/>
      <c r="N6" s="22"/>
    </row>
    <row r="7" spans="1:15" ht="11.25" customHeight="1" x14ac:dyDescent="0.25">
      <c r="A7" s="80" t="s">
        <v>46</v>
      </c>
      <c r="B7" s="13">
        <v>55030200</v>
      </c>
      <c r="C7" s="95">
        <v>24330</v>
      </c>
      <c r="D7" s="14">
        <v>1746.89</v>
      </c>
      <c r="E7" s="14">
        <v>27.95</v>
      </c>
      <c r="F7" s="14">
        <v>0</v>
      </c>
      <c r="G7" s="14">
        <v>0</v>
      </c>
      <c r="H7" s="15">
        <f>D7+F7+'7-11-19'!H7</f>
        <v>3811.9000000000005</v>
      </c>
      <c r="I7" s="15">
        <f>E7+G7+'7-11-19'!I7</f>
        <v>60.980000000000004</v>
      </c>
      <c r="J7" s="15">
        <f t="shared" si="0"/>
        <v>3872.8800000000006</v>
      </c>
      <c r="K7" s="14">
        <f t="shared" si="1"/>
        <v>20457.12</v>
      </c>
      <c r="L7" s="15">
        <f t="shared" si="2"/>
        <v>-26155.701816000008</v>
      </c>
      <c r="M7" s="22"/>
      <c r="N7" s="24"/>
    </row>
    <row r="8" spans="1:15" ht="11.25" customHeight="1" x14ac:dyDescent="0.25">
      <c r="A8" s="12" t="s">
        <v>34</v>
      </c>
      <c r="B8" s="13">
        <v>55050200</v>
      </c>
      <c r="C8" s="95">
        <v>34000</v>
      </c>
      <c r="D8" s="14">
        <v>1254.3800000000001</v>
      </c>
      <c r="E8" s="14">
        <v>20.07</v>
      </c>
      <c r="F8" s="14">
        <v>1823.95</v>
      </c>
      <c r="G8" s="14">
        <v>103.96</v>
      </c>
      <c r="H8" s="15">
        <f>D8+F8+'7-11-19'!H8</f>
        <v>5672.44</v>
      </c>
      <c r="I8" s="15">
        <f>E8+G8+'7-11-19'!I8</f>
        <v>233.71</v>
      </c>
      <c r="J8" s="15">
        <f t="shared" si="0"/>
        <v>5906.15</v>
      </c>
      <c r="K8" s="14">
        <f t="shared" si="1"/>
        <v>28093.85</v>
      </c>
      <c r="L8" s="15">
        <f t="shared" si="2"/>
        <v>-42990.799554999991</v>
      </c>
      <c r="M8" s="22"/>
      <c r="N8" s="24"/>
    </row>
    <row r="9" spans="1:15" s="25" customFormat="1" ht="11.25" customHeight="1" x14ac:dyDescent="0.25">
      <c r="A9" s="12" t="s">
        <v>12</v>
      </c>
      <c r="B9" s="13">
        <v>55070100</v>
      </c>
      <c r="C9" s="95">
        <v>42741</v>
      </c>
      <c r="D9" s="14">
        <f>26.82+2268.31</f>
        <v>2295.13</v>
      </c>
      <c r="E9" s="14">
        <f>0.42+36.29</f>
        <v>36.71</v>
      </c>
      <c r="F9" s="14">
        <v>120</v>
      </c>
      <c r="G9" s="14">
        <v>6.84</v>
      </c>
      <c r="H9" s="15">
        <f>D9+F9+'7-11-19'!H9</f>
        <v>4508.4400000000005</v>
      </c>
      <c r="I9" s="15">
        <f>E9+G9+'7-11-19'!I9</f>
        <v>85.89</v>
      </c>
      <c r="J9" s="15">
        <f t="shared" si="0"/>
        <v>4594.3300000000008</v>
      </c>
      <c r="K9" s="14">
        <f t="shared" si="1"/>
        <v>38146.67</v>
      </c>
      <c r="L9" s="15">
        <f t="shared" si="2"/>
        <v>-17149.307581000015</v>
      </c>
      <c r="M9" s="22"/>
      <c r="N9" s="22"/>
    </row>
    <row r="10" spans="1:15" ht="11.25" customHeight="1" x14ac:dyDescent="0.25">
      <c r="A10" s="12" t="s">
        <v>13</v>
      </c>
      <c r="B10" s="13">
        <v>55080100</v>
      </c>
      <c r="C10" s="95">
        <v>23173</v>
      </c>
      <c r="D10" s="14">
        <v>113.28</v>
      </c>
      <c r="E10" s="14">
        <v>1.81</v>
      </c>
      <c r="F10" s="14">
        <v>646.79999999999995</v>
      </c>
      <c r="G10" s="14">
        <v>36.86</v>
      </c>
      <c r="H10" s="15">
        <f>D10+F10+'7-11-19'!H10</f>
        <v>1242.23</v>
      </c>
      <c r="I10" s="15">
        <f>E10+G10+'7-11-19'!I10</f>
        <v>63.35</v>
      </c>
      <c r="J10" s="15">
        <f t="shared" si="0"/>
        <v>1305.58</v>
      </c>
      <c r="K10" s="14">
        <f t="shared" si="1"/>
        <v>21867.42</v>
      </c>
      <c r="L10" s="15">
        <f t="shared" si="2"/>
        <v>6153.8507940000018</v>
      </c>
      <c r="M10" s="22"/>
      <c r="N10" s="24"/>
    </row>
    <row r="11" spans="1:15" s="43" customFormat="1" ht="11.25" customHeight="1" x14ac:dyDescent="0.25">
      <c r="A11" s="68" t="s">
        <v>33</v>
      </c>
      <c r="B11" s="41">
        <v>55190000</v>
      </c>
      <c r="C11" s="95">
        <v>6000</v>
      </c>
      <c r="D11" s="14">
        <v>0</v>
      </c>
      <c r="E11" s="14">
        <v>0</v>
      </c>
      <c r="F11" s="14">
        <v>0</v>
      </c>
      <c r="G11" s="14">
        <v>0</v>
      </c>
      <c r="H11" s="15">
        <f>D11+F11+'7-11-19'!H11</f>
        <v>0</v>
      </c>
      <c r="I11" s="15">
        <f>E11+G11+'7-11-19'!I11</f>
        <v>0</v>
      </c>
      <c r="J11" s="15">
        <f t="shared" si="0"/>
        <v>0</v>
      </c>
      <c r="K11" s="14">
        <f t="shared" si="1"/>
        <v>6000</v>
      </c>
      <c r="L11" s="15">
        <f t="shared" si="2"/>
        <v>6000</v>
      </c>
      <c r="M11" s="65"/>
      <c r="N11" s="42"/>
    </row>
    <row r="12" spans="1:15" ht="21.6" customHeight="1" thickBot="1" x14ac:dyDescent="0.3">
      <c r="A12" s="208" t="s">
        <v>14</v>
      </c>
      <c r="B12" s="209"/>
      <c r="C12" s="14">
        <f t="shared" ref="C12:L12" si="3">SUM(C3:C11)</f>
        <v>194070</v>
      </c>
      <c r="D12" s="15">
        <f t="shared" si="3"/>
        <v>7157.85</v>
      </c>
      <c r="E12" s="15">
        <f t="shared" si="3"/>
        <v>114.49000000000001</v>
      </c>
      <c r="F12" s="15">
        <f t="shared" si="3"/>
        <v>2658.0299999999997</v>
      </c>
      <c r="G12" s="15">
        <f t="shared" si="3"/>
        <v>151.49</v>
      </c>
      <c r="H12" s="15">
        <f t="shared" si="3"/>
        <v>19272.34</v>
      </c>
      <c r="I12" s="15">
        <f t="shared" si="3"/>
        <v>530.25</v>
      </c>
      <c r="J12" s="14">
        <f t="shared" si="3"/>
        <v>19802.590000000004</v>
      </c>
      <c r="K12" s="14">
        <f t="shared" si="3"/>
        <v>174267.40999999997</v>
      </c>
      <c r="L12" s="15">
        <f t="shared" si="3"/>
        <v>-64070.622463000022</v>
      </c>
      <c r="M12" s="22"/>
      <c r="N12" s="27"/>
      <c r="O12" s="26"/>
    </row>
    <row r="13" spans="1:15" ht="11.25" customHeight="1" x14ac:dyDescent="0.25">
      <c r="A13" s="28"/>
      <c r="B13" s="29"/>
      <c r="C13" s="30"/>
      <c r="D13" s="30"/>
      <c r="E13" s="30"/>
      <c r="F13" s="30"/>
      <c r="G13" s="30"/>
      <c r="H13" s="31"/>
      <c r="I13" s="31"/>
      <c r="J13" s="31"/>
      <c r="K13" s="31"/>
      <c r="L13" s="32"/>
      <c r="M13"/>
      <c r="N13" s="33"/>
    </row>
    <row r="14" spans="1:15" ht="11.25" customHeight="1" thickBot="1" x14ac:dyDescent="0.3">
      <c r="A14" s="34"/>
      <c r="B14" s="35"/>
      <c r="C14" s="36"/>
      <c r="D14" s="36"/>
      <c r="E14" s="36"/>
      <c r="F14" s="36"/>
      <c r="G14" s="36"/>
      <c r="H14" s="37"/>
      <c r="I14" s="37"/>
      <c r="J14" s="37"/>
      <c r="K14" s="37"/>
      <c r="L14" s="38"/>
      <c r="M14" s="22"/>
      <c r="N14" s="33"/>
    </row>
    <row r="15" spans="1:15" ht="11.45" customHeight="1" x14ac:dyDescent="0.25">
      <c r="A15" s="40" t="s">
        <v>15</v>
      </c>
      <c r="B15" s="41">
        <v>55090100</v>
      </c>
      <c r="C15" s="95">
        <v>26923</v>
      </c>
      <c r="D15" s="14">
        <v>0</v>
      </c>
      <c r="E15" s="14">
        <v>0</v>
      </c>
      <c r="F15" s="14">
        <v>0</v>
      </c>
      <c r="G15" s="14">
        <v>0</v>
      </c>
      <c r="H15" s="15">
        <f>D15+F15+'7-11-19'!H15</f>
        <v>0</v>
      </c>
      <c r="I15" s="15">
        <f>E15+G15+'7-11-19'!I15</f>
        <v>0</v>
      </c>
      <c r="J15" s="15">
        <f>H15+I15</f>
        <v>0</v>
      </c>
      <c r="K15" s="14">
        <f>C15-J15</f>
        <v>26923</v>
      </c>
      <c r="L15" s="15">
        <f t="shared" ref="L15:L17" si="4">C15-((J15/2)*26.0714)</f>
        <v>26923</v>
      </c>
      <c r="M15" s="75"/>
      <c r="N15" s="27"/>
    </row>
    <row r="16" spans="1:15" ht="11.45" customHeight="1" x14ac:dyDescent="0.25">
      <c r="A16" s="12" t="s">
        <v>16</v>
      </c>
      <c r="B16" s="13">
        <v>55160100</v>
      </c>
      <c r="C16" s="95">
        <v>16062</v>
      </c>
      <c r="D16" s="15">
        <v>391</v>
      </c>
      <c r="E16" s="15">
        <v>6.25</v>
      </c>
      <c r="F16" s="14">
        <v>36.840000000000003</v>
      </c>
      <c r="G16" s="14">
        <v>2.09</v>
      </c>
      <c r="H16" s="15">
        <f>D16+F16+'7-11-19'!H16</f>
        <v>911.98</v>
      </c>
      <c r="I16" s="15">
        <f>E16+G16+'7-11-19'!I16</f>
        <v>24.23</v>
      </c>
      <c r="J16" s="15">
        <f>H16+I16</f>
        <v>936.21</v>
      </c>
      <c r="K16" s="14">
        <f>C16-J16</f>
        <v>15125.79</v>
      </c>
      <c r="L16" s="15">
        <f t="shared" si="4"/>
        <v>3857.8473029999986</v>
      </c>
      <c r="M16" s="22"/>
      <c r="N16" s="27"/>
    </row>
    <row r="17" spans="1:18" ht="11.45" customHeight="1" x14ac:dyDescent="0.25">
      <c r="A17" s="40" t="s">
        <v>17</v>
      </c>
      <c r="B17" s="41">
        <v>55100100</v>
      </c>
      <c r="C17" s="95">
        <v>2026</v>
      </c>
      <c r="D17" s="14">
        <v>0</v>
      </c>
      <c r="E17" s="14">
        <v>0</v>
      </c>
      <c r="F17" s="14">
        <v>0</v>
      </c>
      <c r="G17" s="14">
        <v>0</v>
      </c>
      <c r="H17" s="15">
        <f>D17+F17+'7-11-19'!H17</f>
        <v>0</v>
      </c>
      <c r="I17" s="15">
        <f>E17+G17+'7-11-19'!I17</f>
        <v>0</v>
      </c>
      <c r="J17" s="15">
        <f>H17+I17</f>
        <v>0</v>
      </c>
      <c r="K17" s="14">
        <f>C17-J17</f>
        <v>2026</v>
      </c>
      <c r="L17" s="15">
        <f t="shared" si="4"/>
        <v>2026</v>
      </c>
      <c r="M17" s="22"/>
      <c r="N17" s="27"/>
    </row>
    <row r="18" spans="1:18" ht="21.6" customHeight="1" thickBot="1" x14ac:dyDescent="0.3">
      <c r="A18" s="208" t="s">
        <v>18</v>
      </c>
      <c r="B18" s="209"/>
      <c r="C18" s="15">
        <f>SUM(C15:C17)</f>
        <v>45011</v>
      </c>
      <c r="D18" s="15">
        <f t="shared" ref="D18:L18" si="5">SUM(D15:D17)</f>
        <v>391</v>
      </c>
      <c r="E18" s="15">
        <f t="shared" si="5"/>
        <v>6.25</v>
      </c>
      <c r="F18" s="15">
        <f t="shared" si="5"/>
        <v>36.840000000000003</v>
      </c>
      <c r="G18" s="15">
        <f t="shared" si="5"/>
        <v>2.09</v>
      </c>
      <c r="H18" s="15">
        <f t="shared" si="5"/>
        <v>911.98</v>
      </c>
      <c r="I18" s="15">
        <f t="shared" si="5"/>
        <v>24.23</v>
      </c>
      <c r="J18" s="14">
        <f t="shared" si="5"/>
        <v>936.21</v>
      </c>
      <c r="K18" s="15">
        <f t="shared" si="5"/>
        <v>44074.79</v>
      </c>
      <c r="L18" s="15">
        <f t="shared" si="5"/>
        <v>32806.847303000002</v>
      </c>
      <c r="M18" s="22"/>
      <c r="N18" s="27"/>
    </row>
    <row r="19" spans="1:18" ht="11.25" customHeight="1" x14ac:dyDescent="0.25">
      <c r="A19" s="3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22"/>
      <c r="N19" s="24"/>
    </row>
    <row r="20" spans="1:18" ht="11.25" customHeight="1" thickBot="1" x14ac:dyDescent="0.3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22"/>
      <c r="N20" s="33"/>
    </row>
    <row r="21" spans="1:18" s="25" customFormat="1" ht="11.25" hidden="1" customHeight="1" x14ac:dyDescent="0.25">
      <c r="A21" s="12" t="s">
        <v>19</v>
      </c>
      <c r="B21" s="41" t="s">
        <v>20</v>
      </c>
      <c r="C21" s="70"/>
      <c r="D21" s="15"/>
      <c r="E21" s="15"/>
      <c r="F21" s="15"/>
      <c r="G21" s="15"/>
      <c r="H21" s="15">
        <f t="shared" ref="H21:I21" si="6">D21+F21</f>
        <v>0</v>
      </c>
      <c r="I21" s="15">
        <f t="shared" si="6"/>
        <v>0</v>
      </c>
      <c r="J21" s="14">
        <f t="shared" ref="J21:J23" si="7">H21+I21</f>
        <v>0</v>
      </c>
      <c r="K21" s="14">
        <f t="shared" ref="K21:K23" si="8">C21-J21</f>
        <v>0</v>
      </c>
      <c r="L21" s="15">
        <f t="shared" ref="L21" si="9">C21-((J21/1)*26.0714)</f>
        <v>0</v>
      </c>
      <c r="M21" s="69"/>
      <c r="N21" s="42"/>
      <c r="O21" s="44"/>
      <c r="P21" s="44"/>
    </row>
    <row r="22" spans="1:18" s="43" customFormat="1" ht="11.45" customHeight="1" x14ac:dyDescent="0.25">
      <c r="A22" s="40" t="s">
        <v>21</v>
      </c>
      <c r="B22" s="41">
        <v>55200000</v>
      </c>
      <c r="C22" s="95">
        <v>25000</v>
      </c>
      <c r="D22" s="14">
        <v>480</v>
      </c>
      <c r="E22" s="14">
        <v>7.68</v>
      </c>
      <c r="F22" s="14">
        <v>0</v>
      </c>
      <c r="G22" s="14">
        <v>0</v>
      </c>
      <c r="H22" s="15">
        <f>D22+F22+'7-11-19'!H22</f>
        <v>1035</v>
      </c>
      <c r="I22" s="15">
        <f>E22+G22+'7-11-19'!I22</f>
        <v>16.560000000000002</v>
      </c>
      <c r="J22" s="15">
        <f t="shared" si="7"/>
        <v>1051.56</v>
      </c>
      <c r="K22" s="14">
        <f t="shared" si="8"/>
        <v>23948.44</v>
      </c>
      <c r="L22" s="15">
        <f t="shared" ref="L22:L24" si="10">C22-((J22/2)*26.0714)</f>
        <v>11292.179308000001</v>
      </c>
      <c r="M22" s="46"/>
      <c r="N22" s="47"/>
    </row>
    <row r="23" spans="1:18" s="43" customFormat="1" ht="11.45" customHeight="1" x14ac:dyDescent="0.25">
      <c r="A23" s="40" t="s">
        <v>39</v>
      </c>
      <c r="B23" s="76" t="s">
        <v>50</v>
      </c>
      <c r="C23" s="101">
        <v>14500</v>
      </c>
      <c r="D23" s="48">
        <v>320.72000000000003</v>
      </c>
      <c r="E23" s="48">
        <v>5.13</v>
      </c>
      <c r="F23" s="48">
        <v>0</v>
      </c>
      <c r="G23" s="48">
        <v>0</v>
      </c>
      <c r="H23" s="15">
        <f>D23+F23+'7-11-19'!H23</f>
        <v>527.46</v>
      </c>
      <c r="I23" s="15">
        <f>E23+G23+'7-11-19'!I23</f>
        <v>8.43</v>
      </c>
      <c r="J23" s="15">
        <f t="shared" si="7"/>
        <v>535.89</v>
      </c>
      <c r="K23" s="14">
        <f t="shared" si="8"/>
        <v>13964.11</v>
      </c>
      <c r="L23" s="15">
        <f t="shared" si="10"/>
        <v>7514.2987270000003</v>
      </c>
      <c r="M23" s="79"/>
      <c r="N23" s="47"/>
    </row>
    <row r="24" spans="1:18" s="43" customFormat="1" ht="10.9" customHeight="1" x14ac:dyDescent="0.25">
      <c r="A24" s="84" t="s">
        <v>40</v>
      </c>
      <c r="B24" s="85" t="s">
        <v>41</v>
      </c>
      <c r="C24" s="86"/>
      <c r="D24" s="48">
        <v>0</v>
      </c>
      <c r="E24" s="48">
        <v>0</v>
      </c>
      <c r="F24" s="48">
        <v>0</v>
      </c>
      <c r="G24" s="48">
        <v>0</v>
      </c>
      <c r="H24" s="15">
        <f>D24+F24+'7-11-19'!H24</f>
        <v>0</v>
      </c>
      <c r="I24" s="15">
        <f>E24+G24+'7-11-19'!I24</f>
        <v>0</v>
      </c>
      <c r="J24" s="15">
        <f>H24+I24</f>
        <v>0</v>
      </c>
      <c r="K24" s="14">
        <f>C24-J24</f>
        <v>0</v>
      </c>
      <c r="L24" s="15">
        <f t="shared" si="10"/>
        <v>0</v>
      </c>
      <c r="M24" s="71"/>
      <c r="N24" s="78"/>
    </row>
    <row r="25" spans="1:18" ht="24.75" customHeight="1" thickBot="1" x14ac:dyDescent="0.3">
      <c r="A25" s="210" t="s">
        <v>22</v>
      </c>
      <c r="B25" s="211"/>
      <c r="C25" s="49">
        <f>SUM(C21:C23)</f>
        <v>39500</v>
      </c>
      <c r="D25" s="49">
        <f t="shared" ref="D25:K25" si="11">SUM(D21:D24)</f>
        <v>800.72</v>
      </c>
      <c r="E25" s="49">
        <f t="shared" si="11"/>
        <v>12.809999999999999</v>
      </c>
      <c r="F25" s="49">
        <f t="shared" si="11"/>
        <v>0</v>
      </c>
      <c r="G25" s="49">
        <f t="shared" si="11"/>
        <v>0</v>
      </c>
      <c r="H25" s="49">
        <f t="shared" si="11"/>
        <v>1562.46</v>
      </c>
      <c r="I25" s="49">
        <f t="shared" si="11"/>
        <v>24.990000000000002</v>
      </c>
      <c r="J25" s="49">
        <f t="shared" si="11"/>
        <v>1587.4499999999998</v>
      </c>
      <c r="K25" s="49">
        <f t="shared" si="11"/>
        <v>37912.550000000003</v>
      </c>
      <c r="L25" s="15">
        <f>C25-((J25/2)*26.0714)</f>
        <v>18806.478035000004</v>
      </c>
      <c r="M25" s="46"/>
      <c r="N25" s="47"/>
    </row>
    <row r="26" spans="1:18" ht="11.25" customHeight="1" x14ac:dyDescent="0.25">
      <c r="A26" s="39"/>
      <c r="B26" s="29"/>
      <c r="C26" s="30"/>
      <c r="D26" s="30"/>
      <c r="E26" s="30"/>
      <c r="F26" s="30"/>
      <c r="G26" s="30"/>
      <c r="H26" s="31"/>
      <c r="I26" s="31"/>
      <c r="J26" s="31"/>
      <c r="K26" s="31"/>
      <c r="L26" s="32"/>
      <c r="M26" s="46"/>
      <c r="N26" s="47"/>
    </row>
    <row r="27" spans="1:18" ht="11.25" customHeight="1" thickBot="1" x14ac:dyDescent="0.3">
      <c r="A27" s="34"/>
      <c r="B27" s="35"/>
      <c r="C27" s="36"/>
      <c r="D27" s="36"/>
      <c r="E27" s="36"/>
      <c r="F27" s="36"/>
      <c r="G27" s="36"/>
      <c r="H27" s="37"/>
      <c r="I27" s="37"/>
      <c r="J27" s="37"/>
      <c r="K27" s="37"/>
      <c r="L27" s="38"/>
      <c r="M27" s="46"/>
      <c r="N27" s="47"/>
    </row>
    <row r="28" spans="1:18" ht="21.6" customHeight="1" x14ac:dyDescent="0.25">
      <c r="A28" s="212" t="s">
        <v>23</v>
      </c>
      <c r="B28" s="212"/>
      <c r="C28" s="50">
        <f t="shared" ref="C28:L28" si="12">C12+C18+C25</f>
        <v>278581</v>
      </c>
      <c r="D28" s="50">
        <f t="shared" si="12"/>
        <v>8349.57</v>
      </c>
      <c r="E28" s="50">
        <f t="shared" si="12"/>
        <v>133.55000000000001</v>
      </c>
      <c r="F28" s="50">
        <f t="shared" si="12"/>
        <v>2694.87</v>
      </c>
      <c r="G28" s="50">
        <f t="shared" si="12"/>
        <v>153.58000000000001</v>
      </c>
      <c r="H28" s="50">
        <f t="shared" si="12"/>
        <v>21746.78</v>
      </c>
      <c r="I28" s="50">
        <f t="shared" si="12"/>
        <v>579.47</v>
      </c>
      <c r="J28" s="50">
        <f t="shared" si="12"/>
        <v>22326.250000000004</v>
      </c>
      <c r="K28" s="50">
        <f t="shared" si="12"/>
        <v>256254.75</v>
      </c>
      <c r="L28" s="50">
        <f t="shared" si="12"/>
        <v>-12457.297125000016</v>
      </c>
      <c r="M28" s="46"/>
      <c r="N28" s="47"/>
    </row>
    <row r="29" spans="1:18" ht="10.9" customHeight="1" x14ac:dyDescent="0.25">
      <c r="A29" s="51"/>
      <c r="B29" s="52"/>
      <c r="C29" s="53"/>
      <c r="D29" s="54"/>
      <c r="E29" s="54"/>
      <c r="F29" s="54"/>
      <c r="G29" s="54"/>
      <c r="H29" s="53"/>
      <c r="I29" s="53"/>
      <c r="J29" s="53"/>
      <c r="K29" s="53"/>
      <c r="L29" s="53"/>
      <c r="N29" s="47"/>
    </row>
    <row r="30" spans="1:18" ht="11.25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M30" s="74"/>
      <c r="N30" s="47"/>
    </row>
    <row r="31" spans="1:18" s="42" customFormat="1" ht="22.5" x14ac:dyDescent="0.25">
      <c r="A31" s="96" t="s">
        <v>37</v>
      </c>
      <c r="B31" s="93" t="s">
        <v>24</v>
      </c>
      <c r="C31" s="15">
        <v>600.30999999999995</v>
      </c>
      <c r="D31" s="14">
        <v>0</v>
      </c>
      <c r="E31" s="14">
        <v>0</v>
      </c>
      <c r="F31" s="14">
        <v>0</v>
      </c>
      <c r="G31" s="14">
        <v>0</v>
      </c>
      <c r="H31" s="15">
        <f>D31+F31+'7-11-19'!H31</f>
        <v>0</v>
      </c>
      <c r="I31" s="15">
        <f>E31+G31+'7-11-19'!I31</f>
        <v>0</v>
      </c>
      <c r="J31" s="14">
        <f t="shared" ref="J31:J35" si="13">H31+I31</f>
        <v>0</v>
      </c>
      <c r="K31" s="14">
        <f t="shared" ref="K31:K35" si="14">C31-J31</f>
        <v>600.30999999999995</v>
      </c>
      <c r="L31" s="15">
        <f t="shared" ref="L31:L36" si="15">C31-((J31/2)*26.0714)</f>
        <v>600.30999999999995</v>
      </c>
      <c r="M31" s="69"/>
      <c r="N31" s="69"/>
      <c r="R31" s="73"/>
    </row>
    <row r="32" spans="1:18" s="24" customFormat="1" x14ac:dyDescent="0.25">
      <c r="A32" s="98" t="s">
        <v>52</v>
      </c>
      <c r="B32" s="99" t="s">
        <v>25</v>
      </c>
      <c r="C32" s="14">
        <v>12000</v>
      </c>
      <c r="D32" s="15">
        <v>0</v>
      </c>
      <c r="E32" s="15">
        <v>0</v>
      </c>
      <c r="F32" s="15">
        <v>0</v>
      </c>
      <c r="G32" s="15">
        <v>0</v>
      </c>
      <c r="H32" s="15">
        <f>D32+F32+'7-11-19'!H32</f>
        <v>0</v>
      </c>
      <c r="I32" s="15">
        <f>E32+G32+'7-11-19'!I32</f>
        <v>0</v>
      </c>
      <c r="J32" s="14">
        <f t="shared" si="13"/>
        <v>0</v>
      </c>
      <c r="K32" s="15">
        <f t="shared" si="14"/>
        <v>12000</v>
      </c>
      <c r="L32" s="15">
        <f t="shared" si="15"/>
        <v>12000</v>
      </c>
      <c r="M32" s="69"/>
      <c r="N32" s="25"/>
    </row>
    <row r="33" spans="1:16" s="24" customFormat="1" ht="11.45" customHeight="1" x14ac:dyDescent="0.25">
      <c r="A33" s="94" t="s">
        <v>36</v>
      </c>
      <c r="B33" s="93" t="s">
        <v>38</v>
      </c>
      <c r="C33" s="95">
        <v>2043</v>
      </c>
      <c r="D33" s="14">
        <v>0</v>
      </c>
      <c r="E33" s="14">
        <v>0</v>
      </c>
      <c r="F33" s="14">
        <v>0</v>
      </c>
      <c r="G33" s="14">
        <v>0</v>
      </c>
      <c r="H33" s="15">
        <f>D33+F33+'7-11-19'!H33</f>
        <v>0</v>
      </c>
      <c r="I33" s="15">
        <f>E33+G33+'7-11-19'!I33</f>
        <v>0</v>
      </c>
      <c r="J33" s="15">
        <f t="shared" si="13"/>
        <v>0</v>
      </c>
      <c r="K33" s="14">
        <f t="shared" si="14"/>
        <v>2043</v>
      </c>
      <c r="L33" s="15">
        <f t="shared" si="15"/>
        <v>2043</v>
      </c>
      <c r="M33" s="71"/>
      <c r="N33" s="25"/>
    </row>
    <row r="34" spans="1:16" s="25" customFormat="1" ht="11.45" customHeight="1" x14ac:dyDescent="0.25">
      <c r="A34" s="12" t="s">
        <v>42</v>
      </c>
      <c r="B34" s="13" t="s">
        <v>43</v>
      </c>
      <c r="C34" s="95">
        <v>900</v>
      </c>
      <c r="D34" s="14">
        <v>60.94</v>
      </c>
      <c r="E34" s="14">
        <v>0.97</v>
      </c>
      <c r="F34" s="14">
        <v>0</v>
      </c>
      <c r="G34" s="14">
        <v>0</v>
      </c>
      <c r="H34" s="15">
        <f>D34+F34+'7-11-19'!H34</f>
        <v>105.94</v>
      </c>
      <c r="I34" s="15">
        <f>E34+G34+'7-11-19'!I34</f>
        <v>1.69</v>
      </c>
      <c r="J34" s="15">
        <f t="shared" si="13"/>
        <v>107.63</v>
      </c>
      <c r="K34" s="14">
        <f t="shared" si="14"/>
        <v>792.37</v>
      </c>
      <c r="L34" s="15">
        <f t="shared" si="15"/>
        <v>-503.03239099999996</v>
      </c>
      <c r="M34" s="45"/>
      <c r="N34" s="72"/>
      <c r="O34" s="44"/>
    </row>
    <row r="35" spans="1:16" s="25" customFormat="1" ht="11.45" customHeight="1" x14ac:dyDescent="0.25">
      <c r="A35" s="12" t="s">
        <v>48</v>
      </c>
      <c r="B35" s="13" t="s">
        <v>49</v>
      </c>
      <c r="C35" s="95">
        <v>12366.9</v>
      </c>
      <c r="D35" s="15">
        <v>465</v>
      </c>
      <c r="E35" s="15">
        <v>7.44</v>
      </c>
      <c r="F35" s="15">
        <v>0</v>
      </c>
      <c r="G35" s="15">
        <v>0</v>
      </c>
      <c r="H35" s="15">
        <f>D35+F35+'7-11-19'!H35</f>
        <v>645</v>
      </c>
      <c r="I35" s="15">
        <f>E35+G35+'7-11-19'!I35</f>
        <v>10.32</v>
      </c>
      <c r="J35" s="15">
        <f t="shared" si="13"/>
        <v>655.32000000000005</v>
      </c>
      <c r="K35" s="15">
        <f t="shared" si="14"/>
        <v>11711.58</v>
      </c>
      <c r="L35" s="15">
        <f t="shared" si="15"/>
        <v>3824.3450759999996</v>
      </c>
      <c r="M35" s="69"/>
      <c r="N35" s="55"/>
    </row>
    <row r="36" spans="1:16" s="25" customFormat="1" ht="11.45" customHeight="1" x14ac:dyDescent="0.25">
      <c r="A36" s="88" t="s">
        <v>26</v>
      </c>
      <c r="B36" s="89" t="s">
        <v>47</v>
      </c>
      <c r="C36" s="90"/>
      <c r="D36" s="15">
        <v>0</v>
      </c>
      <c r="E36" s="15">
        <v>0</v>
      </c>
      <c r="F36" s="15">
        <v>588</v>
      </c>
      <c r="G36" s="15">
        <v>33.51</v>
      </c>
      <c r="H36" s="15">
        <f>D36+F36+'7-11-19'!H36</f>
        <v>1016.4</v>
      </c>
      <c r="I36" s="15">
        <f>E36+G36+'7-11-19'!I36</f>
        <v>57.92</v>
      </c>
      <c r="J36" s="15">
        <f>H36+I36</f>
        <v>1074.32</v>
      </c>
      <c r="K36" s="14">
        <f>C36-J36</f>
        <v>-1074.32</v>
      </c>
      <c r="L36" s="15">
        <f t="shared" si="15"/>
        <v>-14004.513224</v>
      </c>
      <c r="M36" s="4"/>
      <c r="N36" s="55"/>
    </row>
    <row r="37" spans="1:16" ht="21.6" customHeight="1" x14ac:dyDescent="0.25">
      <c r="A37" s="206" t="s">
        <v>27</v>
      </c>
      <c r="B37" s="207"/>
      <c r="C37" s="15">
        <f>SUM(C31:C36)</f>
        <v>27910.21</v>
      </c>
      <c r="D37" s="15">
        <f>SUM(D31:D36)</f>
        <v>525.94000000000005</v>
      </c>
      <c r="E37" s="15">
        <f>SUM(E31:E36)</f>
        <v>8.41</v>
      </c>
      <c r="F37" s="15">
        <f>SUM(F31:F36)</f>
        <v>588</v>
      </c>
      <c r="G37" s="15">
        <f>SUM(G31:G36)</f>
        <v>33.51</v>
      </c>
      <c r="H37" s="15">
        <f>SUM(H31, H32:H36)</f>
        <v>1767.3400000000001</v>
      </c>
      <c r="I37" s="15">
        <f>SUM(I31, I32:I36)</f>
        <v>69.930000000000007</v>
      </c>
      <c r="J37" s="15">
        <f>SUM(J31, J32:J36)</f>
        <v>1837.27</v>
      </c>
      <c r="K37" s="15">
        <f>SUM(K31, K32:K36)</f>
        <v>26072.940000000002</v>
      </c>
      <c r="L37" s="15">
        <f>SUM(L31, L32:L36)</f>
        <v>3960.1094609999982</v>
      </c>
      <c r="M37" s="45"/>
    </row>
    <row r="38" spans="1:16" ht="10.9" customHeight="1" x14ac:dyDescent="0.25">
      <c r="A38" s="51"/>
      <c r="B38" s="52"/>
      <c r="C38" s="53"/>
      <c r="D38" s="54"/>
      <c r="E38" s="54"/>
      <c r="F38" s="54"/>
      <c r="G38" s="54"/>
      <c r="H38" s="53"/>
      <c r="I38" s="53"/>
      <c r="J38" s="53"/>
      <c r="K38" s="53"/>
      <c r="L38" s="53"/>
      <c r="M38" s="46"/>
      <c r="N38" s="25"/>
    </row>
    <row r="39" spans="1:16" ht="10.9" customHeight="1" x14ac:dyDescent="0.25">
      <c r="A39" s="51"/>
      <c r="B39" s="52"/>
      <c r="C39" s="53"/>
      <c r="D39" s="54"/>
      <c r="E39" s="54"/>
      <c r="F39" s="54"/>
      <c r="G39" s="54"/>
      <c r="H39" s="53"/>
      <c r="I39" s="53"/>
      <c r="J39" s="53"/>
      <c r="K39" s="53"/>
      <c r="L39" s="53"/>
      <c r="M39" s="46"/>
      <c r="N39" s="47"/>
    </row>
    <row r="40" spans="1:16" ht="10.9" customHeight="1" x14ac:dyDescent="0.25">
      <c r="A40" s="12" t="s">
        <v>28</v>
      </c>
      <c r="B40" s="13" t="s">
        <v>29</v>
      </c>
      <c r="C40" s="95">
        <f>61895+688</f>
        <v>62583</v>
      </c>
      <c r="D40" s="14">
        <v>793.4</v>
      </c>
      <c r="E40" s="14">
        <v>12.68</v>
      </c>
      <c r="F40" s="14">
        <v>1086.69</v>
      </c>
      <c r="G40" s="14">
        <v>61.94</v>
      </c>
      <c r="H40" s="15">
        <f>D40+F40+'7-11-19'!H40</f>
        <v>3790.34</v>
      </c>
      <c r="I40" s="15">
        <f>E40+G40+'7-11-19'!I40</f>
        <v>160.57999999999998</v>
      </c>
      <c r="J40" s="15">
        <f>H40+I40</f>
        <v>3950.92</v>
      </c>
      <c r="K40" s="14">
        <f>C40-J40</f>
        <v>58632.08</v>
      </c>
      <c r="L40" s="15">
        <f>C40-((J40/2)*26.0714)</f>
        <v>11079.992156</v>
      </c>
      <c r="N40" s="56"/>
    </row>
    <row r="41" spans="1:16" ht="21.6" customHeight="1" x14ac:dyDescent="0.25">
      <c r="A41" s="57" t="s">
        <v>30</v>
      </c>
      <c r="B41" s="58"/>
      <c r="C41" s="59">
        <f>C40</f>
        <v>62583</v>
      </c>
      <c r="D41" s="59">
        <f t="shared" ref="D41:L41" si="16">D40</f>
        <v>793.4</v>
      </c>
      <c r="E41" s="59">
        <f t="shared" si="16"/>
        <v>12.68</v>
      </c>
      <c r="F41" s="59">
        <f t="shared" si="16"/>
        <v>1086.69</v>
      </c>
      <c r="G41" s="59">
        <f t="shared" si="16"/>
        <v>61.94</v>
      </c>
      <c r="H41" s="59">
        <f t="shared" si="16"/>
        <v>3790.34</v>
      </c>
      <c r="I41" s="59">
        <f t="shared" si="16"/>
        <v>160.57999999999998</v>
      </c>
      <c r="J41" s="59">
        <f t="shared" si="16"/>
        <v>3950.92</v>
      </c>
      <c r="K41" s="59">
        <f t="shared" si="16"/>
        <v>58632.08</v>
      </c>
      <c r="L41" s="59">
        <f t="shared" si="16"/>
        <v>11079.992156</v>
      </c>
    </row>
    <row r="42" spans="1:16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</row>
    <row r="43" spans="1:16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  <c r="M43" s="46"/>
    </row>
    <row r="44" spans="1:16" ht="10.9" customHeight="1" x14ac:dyDescent="0.25">
      <c r="A44" s="40" t="s">
        <v>31</v>
      </c>
      <c r="B44" s="41">
        <v>55180000</v>
      </c>
      <c r="C44" s="95">
        <v>37736</v>
      </c>
      <c r="D44" s="14">
        <v>0</v>
      </c>
      <c r="E44" s="14">
        <v>0</v>
      </c>
      <c r="F44" s="14">
        <v>451.36</v>
      </c>
      <c r="G44" s="14">
        <v>25.72</v>
      </c>
      <c r="H44" s="15">
        <f>D44+F44+'7-11-19'!H44</f>
        <v>1073.5999999999999</v>
      </c>
      <c r="I44" s="15">
        <f>E44+G44+'7-11-19'!I44</f>
        <v>61.18</v>
      </c>
      <c r="J44" s="15">
        <f>H44+I44</f>
        <v>1134.78</v>
      </c>
      <c r="K44" s="14">
        <f>C44-J44</f>
        <v>36601.22</v>
      </c>
      <c r="L44" s="15">
        <f>C44-((J44/2)*26.0714)</f>
        <v>22943.348354000002</v>
      </c>
      <c r="N44" s="60"/>
    </row>
    <row r="45" spans="1:16" s="43" customFormat="1" ht="21.6" customHeight="1" x14ac:dyDescent="0.25">
      <c r="A45" s="206" t="s">
        <v>32</v>
      </c>
      <c r="B45" s="207"/>
      <c r="C45" s="15">
        <f>SUM(C44)</f>
        <v>37736</v>
      </c>
      <c r="D45" s="15">
        <f t="shared" ref="D45:L45" si="17">SUM(D44)</f>
        <v>0</v>
      </c>
      <c r="E45" s="15">
        <f t="shared" si="17"/>
        <v>0</v>
      </c>
      <c r="F45" s="15">
        <f t="shared" si="17"/>
        <v>451.36</v>
      </c>
      <c r="G45" s="15">
        <f t="shared" si="17"/>
        <v>25.72</v>
      </c>
      <c r="H45" s="15">
        <f t="shared" si="17"/>
        <v>1073.5999999999999</v>
      </c>
      <c r="I45" s="15">
        <f t="shared" si="17"/>
        <v>61.18</v>
      </c>
      <c r="J45" s="15">
        <f t="shared" si="17"/>
        <v>1134.78</v>
      </c>
      <c r="K45" s="15">
        <f t="shared" si="17"/>
        <v>36601.22</v>
      </c>
      <c r="L45" s="15">
        <f t="shared" si="17"/>
        <v>22943.348354000002</v>
      </c>
      <c r="M45" s="45"/>
      <c r="N45" s="5"/>
    </row>
    <row r="46" spans="1:16" s="43" customFormat="1" ht="11.25" customHeight="1" x14ac:dyDescent="0.25">
      <c r="A46" s="61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4"/>
      <c r="N46" s="25"/>
    </row>
    <row r="47" spans="1:16" s="26" customFormat="1" ht="10.9" customHeight="1" x14ac:dyDescent="0.25">
      <c r="A47" s="205" t="s">
        <v>51</v>
      </c>
      <c r="B47" s="205"/>
      <c r="C47" s="205"/>
      <c r="D47" s="205"/>
      <c r="E47" s="205"/>
      <c r="F47" s="205"/>
      <c r="G47" s="83">
        <v>688</v>
      </c>
      <c r="M47" s="4"/>
      <c r="N47" s="5"/>
      <c r="O47" s="5"/>
      <c r="P47" s="5"/>
    </row>
    <row r="48" spans="1:16" s="26" customFormat="1" ht="10.9" customHeight="1" x14ac:dyDescent="0.25">
      <c r="A48" s="205" t="s">
        <v>55</v>
      </c>
      <c r="B48" s="205"/>
      <c r="C48" s="205"/>
      <c r="D48" s="205"/>
      <c r="E48" s="205"/>
      <c r="F48" s="205"/>
      <c r="G48" s="83">
        <v>12000</v>
      </c>
      <c r="M48" s="4"/>
      <c r="N48" s="5"/>
      <c r="O48" s="5"/>
      <c r="P48" s="5"/>
    </row>
    <row r="49" spans="1:16" s="26" customFormat="1" ht="10.9" customHeight="1" x14ac:dyDescent="0.25">
      <c r="A49" s="205"/>
      <c r="B49" s="205"/>
      <c r="C49" s="205"/>
      <c r="D49" s="205"/>
      <c r="E49" s="205"/>
      <c r="F49" s="205"/>
      <c r="G49" s="83"/>
      <c r="M49" s="4"/>
      <c r="N49" s="5"/>
      <c r="O49" s="5"/>
      <c r="P49" s="5"/>
    </row>
    <row r="50" spans="1:16" s="26" customFormat="1" ht="10.9" customHeight="1" x14ac:dyDescent="0.25">
      <c r="A50" s="205"/>
      <c r="B50" s="205"/>
      <c r="C50" s="205"/>
      <c r="D50" s="205"/>
      <c r="E50" s="205"/>
      <c r="F50" s="205"/>
      <c r="G50" s="83"/>
      <c r="M50" s="4"/>
      <c r="N50" s="5"/>
      <c r="O50" s="5"/>
      <c r="P50" s="5"/>
    </row>
    <row r="51" spans="1:16" s="26" customFormat="1" ht="10.9" customHeight="1" x14ac:dyDescent="0.25">
      <c r="A51" s="205"/>
      <c r="B51" s="205"/>
      <c r="C51" s="205"/>
      <c r="D51" s="205"/>
      <c r="E51" s="205"/>
      <c r="F51" s="205"/>
      <c r="G51" s="83"/>
      <c r="M51" s="4"/>
      <c r="N51" s="5"/>
      <c r="O51" s="5"/>
      <c r="P51" s="5"/>
    </row>
    <row r="52" spans="1:16" s="26" customFormat="1" ht="10.9" customHeight="1" x14ac:dyDescent="0.25">
      <c r="A52" s="205"/>
      <c r="B52" s="205"/>
      <c r="C52" s="205"/>
      <c r="D52" s="205"/>
      <c r="E52" s="205"/>
      <c r="F52" s="205"/>
      <c r="G52" s="83"/>
      <c r="M52" s="4"/>
      <c r="N52" s="5"/>
      <c r="O52" s="5"/>
      <c r="P52" s="5"/>
    </row>
    <row r="53" spans="1:16" s="26" customFormat="1" ht="10.9" customHeight="1" x14ac:dyDescent="0.25">
      <c r="A53" s="205"/>
      <c r="B53" s="205"/>
      <c r="C53" s="205"/>
      <c r="D53" s="205"/>
      <c r="E53" s="205"/>
      <c r="F53" s="205"/>
      <c r="G53" s="83"/>
      <c r="M53" s="4"/>
      <c r="N53" s="5"/>
      <c r="O53" s="5"/>
      <c r="P53" s="5"/>
    </row>
    <row r="54" spans="1:16" s="26" customFormat="1" ht="10.9" customHeight="1" x14ac:dyDescent="0.25">
      <c r="A54" s="205"/>
      <c r="B54" s="205"/>
      <c r="C54" s="205"/>
      <c r="D54" s="205"/>
      <c r="E54" s="205"/>
      <c r="F54" s="205"/>
      <c r="G54" s="83"/>
      <c r="M54" s="4"/>
      <c r="N54" s="5"/>
      <c r="O54" s="5"/>
      <c r="P54" s="5"/>
    </row>
    <row r="55" spans="1:16" s="26" customFormat="1" ht="10.9" customHeight="1" x14ac:dyDescent="0.25">
      <c r="A55" s="205"/>
      <c r="B55" s="205"/>
      <c r="C55" s="205"/>
      <c r="D55" s="205"/>
      <c r="E55" s="205"/>
      <c r="F55" s="205"/>
      <c r="G55" s="83"/>
      <c r="M55" s="4"/>
      <c r="N55" s="5"/>
      <c r="O55" s="5"/>
      <c r="P55" s="5"/>
    </row>
    <row r="56" spans="1:16" s="26" customFormat="1" ht="10.9" customHeight="1" x14ac:dyDescent="0.25">
      <c r="A56" s="205"/>
      <c r="B56" s="205"/>
      <c r="C56" s="205"/>
      <c r="D56" s="205"/>
      <c r="E56" s="205"/>
      <c r="F56" s="205"/>
      <c r="G56" s="83"/>
      <c r="M56" s="4"/>
      <c r="N56" s="5"/>
      <c r="O56" s="5"/>
      <c r="P56" s="5"/>
    </row>
    <row r="57" spans="1:16" s="26" customFormat="1" ht="10.9" customHeight="1" x14ac:dyDescent="0.25">
      <c r="A57" s="205"/>
      <c r="B57" s="205"/>
      <c r="C57" s="205"/>
      <c r="D57" s="205"/>
      <c r="E57" s="205"/>
      <c r="F57" s="205"/>
      <c r="G57" s="83"/>
      <c r="M57" s="4"/>
      <c r="N57" s="5"/>
      <c r="O57" s="5"/>
      <c r="P57" s="5"/>
    </row>
  </sheetData>
  <mergeCells count="17">
    <mergeCell ref="A53:F53"/>
    <mergeCell ref="A54:F54"/>
    <mergeCell ref="A55:F55"/>
    <mergeCell ref="A56:F56"/>
    <mergeCell ref="A57:F57"/>
    <mergeCell ref="A52:F52"/>
    <mergeCell ref="A12:B12"/>
    <mergeCell ref="A18:B18"/>
    <mergeCell ref="A25:B25"/>
    <mergeCell ref="A28:B28"/>
    <mergeCell ref="A37:B37"/>
    <mergeCell ref="A45:B45"/>
    <mergeCell ref="A47:F47"/>
    <mergeCell ref="A48:F48"/>
    <mergeCell ref="A49:F49"/>
    <mergeCell ref="A50:F50"/>
    <mergeCell ref="A51:F51"/>
  </mergeCells>
  <pageMargins left="0.25" right="0" top="0.4" bottom="0" header="0.3" footer="0"/>
  <pageSetup scale="95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130" zoomScaleNormal="130" workbookViewId="0">
      <pane ySplit="2" topLeftCell="A3" activePane="bottomLeft" state="frozen"/>
      <selection pane="bottomLeft" activeCell="M1" sqref="M1:M1048576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106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D3+F3+'03-19-20'!H3</f>
        <v>3483.6000000000004</v>
      </c>
      <c r="I3" s="15">
        <f>E3+G3+'03-19-20'!I3</f>
        <v>157.35</v>
      </c>
      <c r="J3" s="15">
        <f>H3+I3</f>
        <v>3640.9500000000003</v>
      </c>
      <c r="K3" s="15">
        <f>C3-J3</f>
        <v>0</v>
      </c>
      <c r="L3" s="15">
        <f>C3-((J3/20)*26.0714)</f>
        <v>-1105.2831915000002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D4+F4+'03-19-20'!H4</f>
        <v>0</v>
      </c>
      <c r="I4" s="15">
        <f>E4+G4+'03-19-20'!I4</f>
        <v>0</v>
      </c>
      <c r="J4" s="15">
        <f>H4+I4</f>
        <v>0</v>
      </c>
      <c r="K4" s="15">
        <f>C4-J4</f>
        <v>3229</v>
      </c>
      <c r="L4" s="15">
        <f t="shared" ref="L4:L12" si="0">C4-((J4/20)*26.0714)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v>1019.95</v>
      </c>
      <c r="E5" s="21">
        <v>16.309999999999999</v>
      </c>
      <c r="F5" s="21">
        <v>0</v>
      </c>
      <c r="G5" s="21">
        <v>0</v>
      </c>
      <c r="H5" s="15">
        <f>D5+F5+'03-19-20'!H5</f>
        <v>9262.1899999999987</v>
      </c>
      <c r="I5" s="15">
        <f>E5+G5+'03-19-20'!I5</f>
        <v>166.18</v>
      </c>
      <c r="J5" s="15">
        <f t="shared" ref="J5:J12" si="1">H5+I5</f>
        <v>9428.369999999999</v>
      </c>
      <c r="K5" s="14">
        <f t="shared" ref="K5:K12" si="2">C5-J5</f>
        <v>15220.630000000001</v>
      </c>
      <c r="L5" s="15">
        <f t="shared" si="0"/>
        <v>12358.459719100001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569.70000000000005</v>
      </c>
      <c r="E6" s="14">
        <v>9.11</v>
      </c>
      <c r="F6" s="14">
        <v>0</v>
      </c>
      <c r="G6" s="14">
        <v>0</v>
      </c>
      <c r="H6" s="15">
        <f>D6+F6+'03-19-20'!H6</f>
        <v>10166.74</v>
      </c>
      <c r="I6" s="15">
        <f>E6+G6+'03-19-20'!I6</f>
        <v>166.18</v>
      </c>
      <c r="J6" s="15">
        <f t="shared" si="1"/>
        <v>10332.92</v>
      </c>
      <c r="K6" s="14">
        <f t="shared" si="2"/>
        <v>7641.08</v>
      </c>
      <c r="L6" s="15">
        <f t="shared" si="0"/>
        <v>4504.3154756000004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v>1394.18</v>
      </c>
      <c r="E7" s="14">
        <v>22.3</v>
      </c>
      <c r="F7" s="14">
        <v>0</v>
      </c>
      <c r="G7" s="14">
        <v>0</v>
      </c>
      <c r="H7" s="15">
        <f>D7+F7+'03-19-20'!H7</f>
        <v>10630.91</v>
      </c>
      <c r="I7" s="15">
        <f>E7+G7+'03-19-20'!I7</f>
        <v>169.91000000000003</v>
      </c>
      <c r="J7" s="15">
        <f t="shared" si="1"/>
        <v>10800.82</v>
      </c>
      <c r="K7" s="14">
        <f t="shared" si="2"/>
        <v>7173.18</v>
      </c>
      <c r="L7" s="15">
        <f t="shared" si="0"/>
        <v>3894.3750726000017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762.61</v>
      </c>
      <c r="E8" s="14">
        <v>12.2</v>
      </c>
      <c r="F8" s="14">
        <v>0</v>
      </c>
      <c r="G8" s="14">
        <v>0</v>
      </c>
      <c r="H8" s="15">
        <f>D8+F8+'03-19-20'!H8</f>
        <v>10536.060000000003</v>
      </c>
      <c r="I8" s="15">
        <f>E8+G8+'03-19-20'!I8</f>
        <v>168.45</v>
      </c>
      <c r="J8" s="15">
        <f t="shared" si="1"/>
        <v>10704.510000000004</v>
      </c>
      <c r="K8" s="14">
        <f t="shared" si="2"/>
        <v>13625.489999999996</v>
      </c>
      <c r="L8" s="15">
        <f t="shared" si="0"/>
        <v>10375.921899299994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1047.04</v>
      </c>
      <c r="E9" s="14">
        <v>16.72</v>
      </c>
      <c r="F9" s="14">
        <v>360</v>
      </c>
      <c r="G9" s="14">
        <v>20.51</v>
      </c>
      <c r="H9" s="15">
        <f>D9+F9+'03-19-20'!H9</f>
        <v>17666.97</v>
      </c>
      <c r="I9" s="15">
        <f>E9+G9+'03-19-20'!I9</f>
        <v>425.96999999999997</v>
      </c>
      <c r="J9" s="15">
        <f t="shared" si="1"/>
        <v>18092.940000000002</v>
      </c>
      <c r="K9" s="14">
        <f t="shared" si="2"/>
        <v>15907.059999999998</v>
      </c>
      <c r="L9" s="15">
        <f t="shared" si="0"/>
        <v>10414.586204199994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v>3880.81</v>
      </c>
      <c r="E10" s="14">
        <v>62.08</v>
      </c>
      <c r="F10" s="14">
        <v>0</v>
      </c>
      <c r="G10" s="14">
        <v>0</v>
      </c>
      <c r="H10" s="15">
        <f>D10+F10+'03-19-20'!H10</f>
        <v>36556.979999999996</v>
      </c>
      <c r="I10" s="15">
        <f>E10+G10+'03-19-20'!I10</f>
        <v>603.46</v>
      </c>
      <c r="J10" s="15">
        <f t="shared" si="1"/>
        <v>37160.439999999995</v>
      </c>
      <c r="K10" s="14">
        <f t="shared" si="2"/>
        <v>5580.5600000000049</v>
      </c>
      <c r="L10" s="15">
        <f t="shared" si="0"/>
        <v>-5700.2347707999943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317.62</v>
      </c>
      <c r="E11" s="14">
        <v>5.07</v>
      </c>
      <c r="F11" s="14">
        <v>0</v>
      </c>
      <c r="G11" s="14">
        <v>0</v>
      </c>
      <c r="H11" s="15">
        <f>D11+F11+'03-19-20'!H11</f>
        <v>8782.0600000000013</v>
      </c>
      <c r="I11" s="15">
        <f>E11+G11+'03-19-20'!I11</f>
        <v>216.13</v>
      </c>
      <c r="J11" s="15">
        <f t="shared" si="1"/>
        <v>8998.19</v>
      </c>
      <c r="K11" s="14">
        <f t="shared" si="2"/>
        <v>14174.81</v>
      </c>
      <c r="L11" s="15">
        <f t="shared" si="0"/>
        <v>11443.229461699999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418.36</v>
      </c>
      <c r="E12" s="14">
        <v>6.69</v>
      </c>
      <c r="F12" s="14">
        <v>0</v>
      </c>
      <c r="G12" s="14">
        <v>0</v>
      </c>
      <c r="H12" s="15">
        <f>D12+F12+'03-19-20'!H12</f>
        <v>3104.6000000000004</v>
      </c>
      <c r="I12" s="15">
        <f>E12+G12+'03-19-20'!I12</f>
        <v>49.5</v>
      </c>
      <c r="J12" s="15">
        <f t="shared" si="1"/>
        <v>3154.1000000000004</v>
      </c>
      <c r="K12" s="14">
        <f t="shared" si="2"/>
        <v>2845.8999999999996</v>
      </c>
      <c r="L12" s="15">
        <f t="shared" si="0"/>
        <v>1888.4098629999999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9410.27</v>
      </c>
      <c r="E13" s="15">
        <f t="shared" si="3"/>
        <v>150.47999999999999</v>
      </c>
      <c r="F13" s="15">
        <f t="shared" si="3"/>
        <v>360</v>
      </c>
      <c r="G13" s="15">
        <f t="shared" si="3"/>
        <v>20.51</v>
      </c>
      <c r="H13" s="15">
        <f t="shared" si="3"/>
        <v>110190.11000000002</v>
      </c>
      <c r="I13" s="15">
        <f t="shared" si="3"/>
        <v>2123.13</v>
      </c>
      <c r="J13" s="14">
        <f t="shared" si="3"/>
        <v>112313.24</v>
      </c>
      <c r="K13" s="14">
        <f t="shared" si="3"/>
        <v>85397.709999999992</v>
      </c>
      <c r="L13" s="15">
        <f t="shared" si="3"/>
        <v>51302.779733199997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188.32</v>
      </c>
      <c r="E16" s="14">
        <v>3.01</v>
      </c>
      <c r="F16" s="14">
        <v>0</v>
      </c>
      <c r="G16" s="14">
        <v>0</v>
      </c>
      <c r="H16" s="15">
        <f>D16+F16+'03-19-20'!H16</f>
        <v>898.8</v>
      </c>
      <c r="I16" s="15">
        <f>E16+G16+'03-19-20'!I16</f>
        <v>14.360000000000001</v>
      </c>
      <c r="J16" s="15">
        <f>H16+I16</f>
        <v>913.16</v>
      </c>
      <c r="K16" s="14">
        <f>C16-J16</f>
        <v>26009.84</v>
      </c>
      <c r="L16" s="15">
        <f t="shared" ref="L16:L18" si="4">C16-((J16/20)*26.0714)</f>
        <v>25732.632018799999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172.04</v>
      </c>
      <c r="E17" s="15">
        <v>2.75</v>
      </c>
      <c r="F17" s="14">
        <v>0</v>
      </c>
      <c r="G17" s="14">
        <v>0</v>
      </c>
      <c r="H17" s="15">
        <f>D17+F17+'03-19-20'!H17</f>
        <v>4348.99</v>
      </c>
      <c r="I17" s="15">
        <f>E17+G17+'03-19-20'!I17</f>
        <v>86.62</v>
      </c>
      <c r="J17" s="15">
        <f>H17+I17</f>
        <v>4435.6099999999997</v>
      </c>
      <c r="K17" s="14">
        <f>C17-J17</f>
        <v>11626.39</v>
      </c>
      <c r="L17" s="15">
        <f t="shared" si="4"/>
        <v>10279.8718723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D18+F18+'03-19-20'!H18</f>
        <v>1155.7799999999997</v>
      </c>
      <c r="I18" s="15">
        <f>E18+G18+'03-19-20'!I18</f>
        <v>18.41</v>
      </c>
      <c r="J18" s="15">
        <f>H18+I18</f>
        <v>1174.1899999999998</v>
      </c>
      <c r="K18" s="14">
        <f>C18-J18</f>
        <v>851.81000000000017</v>
      </c>
      <c r="L18" s="15">
        <f t="shared" si="4"/>
        <v>495.36114170000019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360.36</v>
      </c>
      <c r="E19" s="15">
        <f t="shared" si="5"/>
        <v>5.76</v>
      </c>
      <c r="F19" s="15">
        <f t="shared" si="5"/>
        <v>0</v>
      </c>
      <c r="G19" s="15">
        <f t="shared" si="5"/>
        <v>0</v>
      </c>
      <c r="H19" s="15">
        <f t="shared" si="5"/>
        <v>6403.57</v>
      </c>
      <c r="I19" s="15">
        <f t="shared" si="5"/>
        <v>119.39</v>
      </c>
      <c r="J19" s="14">
        <f t="shared" si="5"/>
        <v>6522.9599999999991</v>
      </c>
      <c r="K19" s="15">
        <f t="shared" si="5"/>
        <v>38488.039999999994</v>
      </c>
      <c r="L19" s="15">
        <f t="shared" si="5"/>
        <v>36507.8650328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1335</v>
      </c>
      <c r="E23" s="14">
        <v>21.36</v>
      </c>
      <c r="F23" s="14">
        <v>0</v>
      </c>
      <c r="G23" s="14">
        <v>0</v>
      </c>
      <c r="H23" s="15">
        <f>D23+F23+'03-19-20'!H23</f>
        <v>11505</v>
      </c>
      <c r="I23" s="15">
        <f>E23+G23+'03-19-20'!I23</f>
        <v>184.07</v>
      </c>
      <c r="J23" s="15">
        <f t="shared" si="7"/>
        <v>11689.07</v>
      </c>
      <c r="K23" s="14">
        <f t="shared" si="8"/>
        <v>15899.330000000002</v>
      </c>
      <c r="L23" s="15">
        <f t="shared" ref="L23:L25" si="10">C23-((J23/20)*26.0714)</f>
        <v>12350.879020100003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305.93</v>
      </c>
      <c r="E24" s="48">
        <v>4.8899999999999997</v>
      </c>
      <c r="F24" s="48">
        <v>0</v>
      </c>
      <c r="G24" s="48">
        <v>0</v>
      </c>
      <c r="H24" s="15">
        <f>D24+F24+'03-19-20'!H24</f>
        <v>8240.4</v>
      </c>
      <c r="I24" s="15">
        <f>E24+G24+'03-19-20'!I24</f>
        <v>153.6</v>
      </c>
      <c r="J24" s="15">
        <f t="shared" si="7"/>
        <v>8394</v>
      </c>
      <c r="K24" s="14">
        <f t="shared" si="8"/>
        <v>6106</v>
      </c>
      <c r="L24" s="15">
        <f t="shared" si="10"/>
        <v>3557.8334200000008</v>
      </c>
    </row>
    <row r="25" spans="1:13" s="43" customFormat="1" ht="10.9" customHeight="1" x14ac:dyDescent="0.25">
      <c r="A25" s="147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D25+F25+'03-19-20'!H25</f>
        <v>1968</v>
      </c>
      <c r="I25" s="15">
        <f>E25+G25+'03-19-20'!I25</f>
        <v>112.12</v>
      </c>
      <c r="J25" s="15">
        <f>H25+I25</f>
        <v>2080.12</v>
      </c>
      <c r="K25" s="14">
        <f>C25-J25</f>
        <v>3191.41</v>
      </c>
      <c r="L25" s="15">
        <f t="shared" si="10"/>
        <v>2559.9479715999996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1640.93</v>
      </c>
      <c r="E26" s="49">
        <f t="shared" si="11"/>
        <v>26.25</v>
      </c>
      <c r="F26" s="49">
        <f t="shared" si="11"/>
        <v>0</v>
      </c>
      <c r="G26" s="49">
        <f t="shared" si="11"/>
        <v>0</v>
      </c>
      <c r="H26" s="49">
        <f t="shared" si="11"/>
        <v>21713.4</v>
      </c>
      <c r="I26" s="49">
        <f t="shared" si="11"/>
        <v>449.78999999999996</v>
      </c>
      <c r="J26" s="49">
        <f t="shared" si="11"/>
        <v>22163.19</v>
      </c>
      <c r="K26" s="49">
        <f t="shared" si="11"/>
        <v>25196.74</v>
      </c>
      <c r="L26" s="50">
        <f>SUM(L23:L25)</f>
        <v>18468.660411700002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11411.560000000001</v>
      </c>
      <c r="E29" s="50">
        <f t="shared" si="12"/>
        <v>182.48999999999998</v>
      </c>
      <c r="F29" s="50">
        <f t="shared" si="12"/>
        <v>360</v>
      </c>
      <c r="G29" s="50">
        <f t="shared" si="12"/>
        <v>20.51</v>
      </c>
      <c r="H29" s="50">
        <f t="shared" si="12"/>
        <v>138307.08000000002</v>
      </c>
      <c r="I29" s="50">
        <f t="shared" si="12"/>
        <v>2692.31</v>
      </c>
      <c r="J29" s="50">
        <f t="shared" si="12"/>
        <v>140999.39000000001</v>
      </c>
      <c r="K29" s="50">
        <f t="shared" si="12"/>
        <v>149082.49</v>
      </c>
      <c r="L29" s="50">
        <f t="shared" si="12"/>
        <v>106279.30517770001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47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D32+F32+'03-19-20'!H32</f>
        <v>0</v>
      </c>
      <c r="I32" s="15">
        <f>E32+G32+'03-19-20'!I32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C32-((J32/20)*26.0714)</f>
        <v>600.30999999999995</v>
      </c>
    </row>
    <row r="33" spans="1:13" s="24" customFormat="1" ht="11.25" hidden="1" customHeight="1" x14ac:dyDescent="0.25">
      <c r="A33" s="145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D33+F33+'03-19-20'!H33</f>
        <v>0</v>
      </c>
      <c r="I33" s="15">
        <f>E33+G33+'03-19-20'!I33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45" t="s">
        <v>90</v>
      </c>
      <c r="B34" s="151" t="s">
        <v>104</v>
      </c>
      <c r="C34" s="14">
        <v>12000</v>
      </c>
      <c r="D34" s="14">
        <v>197.5</v>
      </c>
      <c r="E34" s="14">
        <v>3.15</v>
      </c>
      <c r="F34" s="14">
        <v>0</v>
      </c>
      <c r="G34" s="14">
        <v>0</v>
      </c>
      <c r="H34" s="15">
        <f>D34+F34+'03-19-20'!H34</f>
        <v>5612.74</v>
      </c>
      <c r="I34" s="15">
        <f>E34+G34+'03-19-20'!I34</f>
        <v>283.83999999999997</v>
      </c>
      <c r="J34" s="14">
        <f t="shared" si="13"/>
        <v>5896.58</v>
      </c>
      <c r="K34" s="14">
        <f>C34-J34</f>
        <v>6103.42</v>
      </c>
      <c r="L34" s="15">
        <f t="shared" si="15"/>
        <v>4313.3952093999997</v>
      </c>
      <c r="M34" s="44"/>
    </row>
    <row r="35" spans="1:13" s="24" customFormat="1" ht="11.25" customHeight="1" x14ac:dyDescent="0.25">
      <c r="A35" s="147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D35+F35+'03-19-20'!H35</f>
        <v>277.20000000000005</v>
      </c>
      <c r="I35" s="15">
        <f>E35+G35+'03-19-20'!I35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383.40702569999996</v>
      </c>
    </row>
    <row r="36" spans="1:13" s="24" customFormat="1" ht="11.25" customHeight="1" x14ac:dyDescent="0.25">
      <c r="A36" s="147" t="s">
        <v>68</v>
      </c>
      <c r="B36" s="93" t="s">
        <v>66</v>
      </c>
      <c r="C36" s="15">
        <v>6353.85</v>
      </c>
      <c r="D36" s="15">
        <v>395.18</v>
      </c>
      <c r="E36" s="15">
        <v>6.31</v>
      </c>
      <c r="F36" s="15">
        <v>0</v>
      </c>
      <c r="G36" s="15">
        <v>0</v>
      </c>
      <c r="H36" s="15">
        <f>D36+F36+'03-19-20'!H36</f>
        <v>4730.66</v>
      </c>
      <c r="I36" s="15">
        <f>E36+G36+'03-19-20'!I36</f>
        <v>75.59</v>
      </c>
      <c r="J36" s="15">
        <f t="shared" si="13"/>
        <v>4806.25</v>
      </c>
      <c r="K36" s="15">
        <f t="shared" si="14"/>
        <v>1547.6000000000004</v>
      </c>
      <c r="L36" s="15">
        <f t="shared" si="15"/>
        <v>88.566687500000626</v>
      </c>
      <c r="M36" s="25"/>
    </row>
    <row r="37" spans="1:13" s="24" customFormat="1" ht="11.25" customHeight="1" x14ac:dyDescent="0.25">
      <c r="A37" s="147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D37+F37+'03-19-20'!H37</f>
        <v>0</v>
      </c>
      <c r="I37" s="15">
        <f>E37+G37+'03-19-20'!I37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47" t="s">
        <v>36</v>
      </c>
      <c r="B38" s="151" t="s">
        <v>103</v>
      </c>
      <c r="C38" s="95">
        <f>2043+1613.34</f>
        <v>3656.34</v>
      </c>
      <c r="D38" s="14">
        <v>0</v>
      </c>
      <c r="E38" s="14">
        <v>0</v>
      </c>
      <c r="F38" s="14">
        <v>0</v>
      </c>
      <c r="G38" s="14">
        <v>0</v>
      </c>
      <c r="H38" s="15">
        <f>D38+F38+'03-19-20'!H38</f>
        <v>3489.88</v>
      </c>
      <c r="I38" s="15">
        <f>E38+G38+'03-19-20'!I38</f>
        <v>166.46</v>
      </c>
      <c r="J38" s="15">
        <f t="shared" si="13"/>
        <v>3656.34</v>
      </c>
      <c r="K38" s="14">
        <f t="shared" si="14"/>
        <v>0</v>
      </c>
      <c r="L38" s="15">
        <f t="shared" si="15"/>
        <v>-1109.9551338000001</v>
      </c>
    </row>
    <row r="39" spans="1:13" s="25" customFormat="1" ht="11.45" customHeight="1" x14ac:dyDescent="0.25">
      <c r="A39" s="148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D39+F39+'03-19-20'!H39</f>
        <v>2324.0699999999997</v>
      </c>
      <c r="I39" s="15">
        <f>E39+G39+'03-19-20'!I39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-328.01555539999981</v>
      </c>
    </row>
    <row r="40" spans="1:13" s="25" customFormat="1" ht="11.45" customHeight="1" x14ac:dyDescent="0.25">
      <c r="A40" s="148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D40+F40+'03-19-20'!H40</f>
        <v>5628.75</v>
      </c>
      <c r="I40" s="15">
        <f>E40+G40+'03-19-20'!I40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4912.0438839999997</v>
      </c>
    </row>
    <row r="41" spans="1:13" s="25" customFormat="1" ht="11.45" customHeight="1" x14ac:dyDescent="0.25">
      <c r="A41" s="146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1200</v>
      </c>
      <c r="G41" s="15">
        <v>68.400000000000006</v>
      </c>
      <c r="H41" s="15">
        <f>D41+F41+'03-05-20'!H41</f>
        <v>7709.4</v>
      </c>
      <c r="I41" s="15">
        <f>E41+G41+'03-05-20'!I41</f>
        <v>439.4</v>
      </c>
      <c r="J41" s="15">
        <f>H41+I41</f>
        <v>8148.7999999999993</v>
      </c>
      <c r="K41" s="14">
        <f>C41-J41</f>
        <v>7071.2000000000007</v>
      </c>
      <c r="L41" s="15">
        <f t="shared" si="15"/>
        <v>4597.4687840000006</v>
      </c>
    </row>
    <row r="42" spans="1:13" ht="21.6" customHeight="1" x14ac:dyDescent="0.25">
      <c r="A42" s="206" t="s">
        <v>27</v>
      </c>
      <c r="B42" s="207"/>
      <c r="C42" s="15">
        <f>SUM(C32:C41)</f>
        <v>56371.74</v>
      </c>
      <c r="D42" s="15">
        <f>SUM(D32:D41)</f>
        <v>592.68000000000006</v>
      </c>
      <c r="E42" s="15">
        <f>SUM(E32:E41)</f>
        <v>9.4599999999999991</v>
      </c>
      <c r="F42" s="15">
        <f>SUM(F32:F41)</f>
        <v>1200</v>
      </c>
      <c r="G42" s="15">
        <f>SUM(G32:G41)</f>
        <v>68.400000000000006</v>
      </c>
      <c r="H42" s="15">
        <f>SUM(H32, H33:H41)</f>
        <v>29772.699999999997</v>
      </c>
      <c r="I42" s="15">
        <f>SUM(I32, I33:I41)</f>
        <v>1108.28</v>
      </c>
      <c r="J42" s="15">
        <f>SUM(J32, J33:J41)</f>
        <v>30880.98</v>
      </c>
      <c r="K42" s="15">
        <f>SUM(K32, K33:K41)</f>
        <v>25490.760000000002</v>
      </c>
      <c r="L42" s="15">
        <f>SUM(L32, L33:L41)</f>
        <v>16116.2209014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v>2454.64</v>
      </c>
      <c r="E45" s="14">
        <v>39.270000000000003</v>
      </c>
      <c r="F45" s="14">
        <v>330</v>
      </c>
      <c r="G45" s="14">
        <v>18.8</v>
      </c>
      <c r="H45" s="15">
        <f>D45+F45+'03-19-20'!H45</f>
        <v>32486.27</v>
      </c>
      <c r="I45" s="15">
        <f>E45+G45+'03-19-20'!I45</f>
        <v>1095.58</v>
      </c>
      <c r="J45" s="15">
        <f>H45+I45</f>
        <v>33581.85</v>
      </c>
      <c r="K45" s="14">
        <f>C45-J45</f>
        <v>29001.15</v>
      </c>
      <c r="L45" s="15">
        <f>C45-((J45/20)*26.0714)</f>
        <v>18806.707795499999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2454.64</v>
      </c>
      <c r="E46" s="59">
        <f t="shared" si="16"/>
        <v>39.270000000000003</v>
      </c>
      <c r="F46" s="59">
        <f t="shared" si="16"/>
        <v>330</v>
      </c>
      <c r="G46" s="59">
        <f t="shared" si="16"/>
        <v>18.8</v>
      </c>
      <c r="H46" s="59">
        <f t="shared" si="16"/>
        <v>32486.27</v>
      </c>
      <c r="I46" s="59">
        <f t="shared" si="16"/>
        <v>1095.58</v>
      </c>
      <c r="J46" s="59">
        <f t="shared" si="16"/>
        <v>33581.85</v>
      </c>
      <c r="K46" s="59">
        <f t="shared" si="16"/>
        <v>29001.15</v>
      </c>
      <c r="L46" s="59">
        <f t="shared" si="16"/>
        <v>18806.707795499999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0</v>
      </c>
      <c r="G49" s="14">
        <v>0</v>
      </c>
      <c r="H49" s="15">
        <f>D49+F49+'03-19-20'!H49</f>
        <v>7530.3299999999981</v>
      </c>
      <c r="I49" s="15">
        <f>E49+G49+'03-19-20'!I49</f>
        <v>429.13000000000017</v>
      </c>
      <c r="J49" s="15">
        <f>H49+I49</f>
        <v>7959.4599999999982</v>
      </c>
      <c r="K49" s="14">
        <f>C49-J49</f>
        <v>54776.54</v>
      </c>
      <c r="L49" s="15">
        <f>C49-((J49/20)*26.0714)</f>
        <v>52360.286727800005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0</v>
      </c>
      <c r="G50" s="15">
        <f t="shared" si="17"/>
        <v>0</v>
      </c>
      <c r="H50" s="15">
        <f t="shared" si="17"/>
        <v>7530.3299999999981</v>
      </c>
      <c r="I50" s="15">
        <f t="shared" si="17"/>
        <v>429.13000000000017</v>
      </c>
      <c r="J50" s="15">
        <f t="shared" si="17"/>
        <v>7959.4599999999982</v>
      </c>
      <c r="K50" s="15">
        <f t="shared" si="17"/>
        <v>54776.54</v>
      </c>
      <c r="L50" s="15">
        <f t="shared" si="17"/>
        <v>52360.286727800005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5">
    <mergeCell ref="A70:F70"/>
    <mergeCell ref="A64:F64"/>
    <mergeCell ref="A65:F65"/>
    <mergeCell ref="A66:F66"/>
    <mergeCell ref="A67:F67"/>
    <mergeCell ref="A68:F68"/>
    <mergeCell ref="A69:F69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50:B50"/>
    <mergeCell ref="A13:B13"/>
    <mergeCell ref="A19:B19"/>
    <mergeCell ref="A26:B26"/>
    <mergeCell ref="A29:B29"/>
    <mergeCell ref="A42:B42"/>
  </mergeCells>
  <pageMargins left="0.25" right="0" top="0.4" bottom="0" header="0.3" footer="0"/>
  <pageSetup scale="91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130" zoomScaleNormal="130" workbookViewId="0">
      <pane ySplit="2" topLeftCell="A3" activePane="bottomLeft" state="frozen"/>
      <selection pane="bottomLeft" activeCell="M1" sqref="M1:M1048576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108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D3+F3+'04-02-20'!H3</f>
        <v>3483.6000000000004</v>
      </c>
      <c r="I3" s="15">
        <f>E3+G3+'04-02-20'!I3</f>
        <v>157.35</v>
      </c>
      <c r="J3" s="15">
        <f>H3+I3</f>
        <v>3640.9500000000003</v>
      </c>
      <c r="K3" s="15">
        <f>C3-J3</f>
        <v>0</v>
      </c>
      <c r="L3" s="15">
        <f>C3-((J3/21)*26.0714)</f>
        <v>-879.27208714285689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D4+F4+'04-02-20'!H4</f>
        <v>0</v>
      </c>
      <c r="I4" s="15">
        <f>E4+G4+'04-02-20'!I4</f>
        <v>0</v>
      </c>
      <c r="J4" s="15">
        <f>H4+I4</f>
        <v>0</v>
      </c>
      <c r="K4" s="15">
        <f>C4-J4</f>
        <v>3229</v>
      </c>
      <c r="L4" s="15">
        <f t="shared" ref="L4:L12" si="0">C4-((J4/21)*26.0714)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v>697.07</v>
      </c>
      <c r="E5" s="21">
        <v>11.15</v>
      </c>
      <c r="F5" s="21">
        <v>0</v>
      </c>
      <c r="G5" s="21">
        <v>0</v>
      </c>
      <c r="H5" s="15">
        <f>D5+F5+'04-02-20'!H5</f>
        <v>9959.2599999999984</v>
      </c>
      <c r="I5" s="15">
        <f>E5+G5+'04-02-20'!I5</f>
        <v>177.33</v>
      </c>
      <c r="J5" s="15">
        <f t="shared" ref="J5:J12" si="1">H5+I5</f>
        <v>10136.589999999998</v>
      </c>
      <c r="K5" s="14">
        <f t="shared" ref="K5:K12" si="2">C5-J5</f>
        <v>14512.410000000002</v>
      </c>
      <c r="L5" s="15">
        <f t="shared" si="0"/>
        <v>12064.471784476193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553.36</v>
      </c>
      <c r="E6" s="14">
        <v>8.85</v>
      </c>
      <c r="F6" s="14">
        <v>0</v>
      </c>
      <c r="G6" s="14">
        <v>0</v>
      </c>
      <c r="H6" s="15">
        <f>D6+F6+'04-02-20'!H6</f>
        <v>10720.1</v>
      </c>
      <c r="I6" s="15">
        <f>E6+G6+'04-02-20'!I6</f>
        <v>175.03</v>
      </c>
      <c r="J6" s="15">
        <f t="shared" si="1"/>
        <v>10895.130000000001</v>
      </c>
      <c r="K6" s="14">
        <f t="shared" si="2"/>
        <v>7078.869999999999</v>
      </c>
      <c r="L6" s="15">
        <f t="shared" si="0"/>
        <v>4447.7479865714286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v>346.72</v>
      </c>
      <c r="E7" s="14">
        <v>5.54</v>
      </c>
      <c r="F7" s="14">
        <v>0</v>
      </c>
      <c r="G7" s="14">
        <v>0</v>
      </c>
      <c r="H7" s="15">
        <f>D7+F7+'04-02-20'!H7</f>
        <v>10977.63</v>
      </c>
      <c r="I7" s="15">
        <f>E7+G7+'04-02-20'!I7</f>
        <v>175.45000000000002</v>
      </c>
      <c r="J7" s="15">
        <f t="shared" si="1"/>
        <v>11153.08</v>
      </c>
      <c r="K7" s="14">
        <f t="shared" si="2"/>
        <v>6820.92</v>
      </c>
      <c r="L7" s="15">
        <f t="shared" si="0"/>
        <v>4127.5042899047621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142.21</v>
      </c>
      <c r="E8" s="14">
        <v>2.27</v>
      </c>
      <c r="F8" s="14">
        <v>0</v>
      </c>
      <c r="G8" s="14">
        <v>0</v>
      </c>
      <c r="H8" s="15">
        <f>D8+F8+'04-02-20'!H8</f>
        <v>10678.270000000002</v>
      </c>
      <c r="I8" s="15">
        <f>E8+G8+'04-02-20'!I8</f>
        <v>170.72</v>
      </c>
      <c r="J8" s="15">
        <f t="shared" si="1"/>
        <v>10848.990000000002</v>
      </c>
      <c r="K8" s="14">
        <f t="shared" si="2"/>
        <v>13481.009999999998</v>
      </c>
      <c r="L8" s="15">
        <f t="shared" si="0"/>
        <v>10861.030576857142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402.16</v>
      </c>
      <c r="E9" s="14">
        <v>6.43</v>
      </c>
      <c r="F9" s="14">
        <v>720</v>
      </c>
      <c r="G9" s="14">
        <v>41.04</v>
      </c>
      <c r="H9" s="15">
        <f>D9+F9+'04-02-20'!H9</f>
        <v>18789.13</v>
      </c>
      <c r="I9" s="15">
        <f>E9+G9+'04-02-20'!I9</f>
        <v>473.43999999999994</v>
      </c>
      <c r="J9" s="15">
        <f t="shared" si="1"/>
        <v>19262.57</v>
      </c>
      <c r="K9" s="14">
        <f t="shared" si="2"/>
        <v>14737.43</v>
      </c>
      <c r="L9" s="15">
        <f t="shared" si="0"/>
        <v>10085.61107152381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v>1804.96</v>
      </c>
      <c r="E10" s="14">
        <v>28.87</v>
      </c>
      <c r="F10" s="14">
        <v>0</v>
      </c>
      <c r="G10" s="14">
        <v>0</v>
      </c>
      <c r="H10" s="15">
        <f>D10+F10+'04-02-20'!H10</f>
        <v>38361.939999999995</v>
      </c>
      <c r="I10" s="15">
        <f>E10+G10+'04-02-20'!I10</f>
        <v>632.33000000000004</v>
      </c>
      <c r="J10" s="15">
        <f t="shared" si="1"/>
        <v>38994.269999999997</v>
      </c>
      <c r="K10" s="14">
        <f t="shared" si="2"/>
        <v>3746.7300000000032</v>
      </c>
      <c r="L10" s="15">
        <f t="shared" si="0"/>
        <v>-5670.2005179999978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1040.58</v>
      </c>
      <c r="E11" s="14">
        <v>16.64</v>
      </c>
      <c r="F11" s="14">
        <v>0</v>
      </c>
      <c r="G11" s="14">
        <v>0</v>
      </c>
      <c r="H11" s="15">
        <f>D11+F11+'04-02-20'!H11</f>
        <v>9822.6400000000012</v>
      </c>
      <c r="I11" s="15">
        <f>E11+G11+'04-02-20'!I11</f>
        <v>232.76999999999998</v>
      </c>
      <c r="J11" s="15">
        <f t="shared" si="1"/>
        <v>10055.410000000002</v>
      </c>
      <c r="K11" s="14">
        <f t="shared" si="2"/>
        <v>13117.589999999998</v>
      </c>
      <c r="L11" s="15">
        <f t="shared" si="0"/>
        <v>10689.25636790476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D12+F12+'04-02-20'!H12</f>
        <v>3104.6000000000004</v>
      </c>
      <c r="I12" s="15">
        <f>E12+G12+'04-02-20'!I12</f>
        <v>49.5</v>
      </c>
      <c r="J12" s="15">
        <f t="shared" si="1"/>
        <v>3154.1000000000004</v>
      </c>
      <c r="K12" s="14">
        <f t="shared" si="2"/>
        <v>2845.8999999999996</v>
      </c>
      <c r="L12" s="15">
        <f t="shared" si="0"/>
        <v>2084.1998695238085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4987.0599999999995</v>
      </c>
      <c r="E13" s="15">
        <f t="shared" si="3"/>
        <v>79.75</v>
      </c>
      <c r="F13" s="15">
        <f t="shared" si="3"/>
        <v>720</v>
      </c>
      <c r="G13" s="15">
        <f t="shared" si="3"/>
        <v>41.04</v>
      </c>
      <c r="H13" s="15">
        <f t="shared" si="3"/>
        <v>115897.17</v>
      </c>
      <c r="I13" s="15">
        <f t="shared" si="3"/>
        <v>2243.92</v>
      </c>
      <c r="J13" s="14">
        <f t="shared" si="3"/>
        <v>118141.09</v>
      </c>
      <c r="K13" s="14">
        <f t="shared" si="3"/>
        <v>79569.86</v>
      </c>
      <c r="L13" s="15">
        <f t="shared" si="3"/>
        <v>51039.349341619047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214</v>
      </c>
      <c r="E16" s="14">
        <v>3.42</v>
      </c>
      <c r="F16" s="14">
        <v>0</v>
      </c>
      <c r="G16" s="14">
        <v>0</v>
      </c>
      <c r="H16" s="15">
        <f>D16+F16+'04-02-20'!H16</f>
        <v>1112.8</v>
      </c>
      <c r="I16" s="15">
        <f>E16+G16+'04-02-20'!I16</f>
        <v>17.78</v>
      </c>
      <c r="J16" s="15">
        <f>H16+I16</f>
        <v>1130.58</v>
      </c>
      <c r="K16" s="14">
        <f>C16-J16</f>
        <v>25792.42</v>
      </c>
      <c r="L16" s="15">
        <f t="shared" ref="L16:L18" si="4">C16-((J16/21)*26.0714)</f>
        <v>25519.390313714284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121.77</v>
      </c>
      <c r="E17" s="15">
        <v>1.94</v>
      </c>
      <c r="F17" s="14">
        <v>0</v>
      </c>
      <c r="G17" s="14">
        <v>0</v>
      </c>
      <c r="H17" s="15">
        <f>D17+F17+'04-02-20'!H17</f>
        <v>4470.76</v>
      </c>
      <c r="I17" s="15">
        <f>E17+G17+'04-02-20'!I17</f>
        <v>88.56</v>
      </c>
      <c r="J17" s="15">
        <f>H17+I17</f>
        <v>4559.3200000000006</v>
      </c>
      <c r="K17" s="14">
        <f>C17-J17</f>
        <v>11502.68</v>
      </c>
      <c r="L17" s="15">
        <f t="shared" si="4"/>
        <v>10401.625931047618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50.59</v>
      </c>
      <c r="E18" s="14">
        <v>0.8</v>
      </c>
      <c r="F18" s="14">
        <v>0</v>
      </c>
      <c r="G18" s="14">
        <v>0</v>
      </c>
      <c r="H18" s="15">
        <f>D18+F18+'04-02-20'!H18</f>
        <v>1206.3699999999997</v>
      </c>
      <c r="I18" s="15">
        <f>E18+G18+'04-02-20'!I18</f>
        <v>19.21</v>
      </c>
      <c r="J18" s="15">
        <f>H18+I18</f>
        <v>1225.5799999999997</v>
      </c>
      <c r="K18" s="14">
        <f>C18-J18</f>
        <v>800.4200000000003</v>
      </c>
      <c r="L18" s="15">
        <f t="shared" si="4"/>
        <v>504.4482660952383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386.36</v>
      </c>
      <c r="E19" s="15">
        <f t="shared" si="5"/>
        <v>6.1599999999999993</v>
      </c>
      <c r="F19" s="15">
        <f t="shared" si="5"/>
        <v>0</v>
      </c>
      <c r="G19" s="15">
        <f t="shared" si="5"/>
        <v>0</v>
      </c>
      <c r="H19" s="15">
        <f t="shared" si="5"/>
        <v>6789.93</v>
      </c>
      <c r="I19" s="15">
        <f t="shared" si="5"/>
        <v>125.55000000000001</v>
      </c>
      <c r="J19" s="14">
        <f t="shared" si="5"/>
        <v>6915.4800000000005</v>
      </c>
      <c r="K19" s="15">
        <f t="shared" si="5"/>
        <v>38095.519999999997</v>
      </c>
      <c r="L19" s="15">
        <f t="shared" si="5"/>
        <v>36425.464510857142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903.75</v>
      </c>
      <c r="E23" s="14">
        <v>14.46</v>
      </c>
      <c r="F23" s="14">
        <v>0</v>
      </c>
      <c r="G23" s="14">
        <v>0</v>
      </c>
      <c r="H23" s="15">
        <f>D23+F23+'04-02-20'!H23</f>
        <v>12408.75</v>
      </c>
      <c r="I23" s="15">
        <f>E23+G23+'04-02-20'!I23</f>
        <v>198.53</v>
      </c>
      <c r="J23" s="15">
        <f t="shared" si="7"/>
        <v>12607.28</v>
      </c>
      <c r="K23" s="14">
        <f t="shared" si="8"/>
        <v>14981.12</v>
      </c>
      <c r="L23" s="15">
        <f t="shared" ref="L23:L25" si="10">C23-((J23/21)*26.0714)</f>
        <v>11936.521914666668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423.06</v>
      </c>
      <c r="E24" s="48">
        <v>6.76</v>
      </c>
      <c r="F24" s="48">
        <v>0</v>
      </c>
      <c r="G24" s="48">
        <v>0</v>
      </c>
      <c r="H24" s="15">
        <f>D24+F24+'04-02-20'!H24</f>
        <v>8663.4599999999991</v>
      </c>
      <c r="I24" s="15">
        <f>E24+G24+'04-02-20'!I24</f>
        <v>160.35999999999999</v>
      </c>
      <c r="J24" s="15">
        <f t="shared" si="7"/>
        <v>8823.82</v>
      </c>
      <c r="K24" s="14">
        <f t="shared" si="8"/>
        <v>5676.18</v>
      </c>
      <c r="L24" s="15">
        <f t="shared" si="10"/>
        <v>3545.2694881904754</v>
      </c>
    </row>
    <row r="25" spans="1:13" s="43" customFormat="1" ht="10.9" customHeight="1" x14ac:dyDescent="0.25">
      <c r="A25" s="154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D25+F25+'04-02-20'!H25</f>
        <v>1968</v>
      </c>
      <c r="I25" s="15">
        <f>E25+G25+'04-02-20'!I25</f>
        <v>112.12</v>
      </c>
      <c r="J25" s="15">
        <f>H25+I25</f>
        <v>2080.12</v>
      </c>
      <c r="K25" s="14">
        <f>C25-J25</f>
        <v>3191.41</v>
      </c>
      <c r="L25" s="15">
        <f t="shared" si="10"/>
        <v>2689.070925333333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1326.81</v>
      </c>
      <c r="E26" s="49">
        <f t="shared" si="11"/>
        <v>21.22</v>
      </c>
      <c r="F26" s="49">
        <f t="shared" si="11"/>
        <v>0</v>
      </c>
      <c r="G26" s="49">
        <f t="shared" si="11"/>
        <v>0</v>
      </c>
      <c r="H26" s="49">
        <f t="shared" si="11"/>
        <v>23040.21</v>
      </c>
      <c r="I26" s="49">
        <f t="shared" si="11"/>
        <v>471.01</v>
      </c>
      <c r="J26" s="49">
        <f t="shared" si="11"/>
        <v>23511.219999999998</v>
      </c>
      <c r="K26" s="49">
        <f t="shared" si="11"/>
        <v>23848.710000000003</v>
      </c>
      <c r="L26" s="50">
        <f>SUM(L23:L25)</f>
        <v>18170.862328190477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6700.23</v>
      </c>
      <c r="E29" s="50">
        <f t="shared" si="12"/>
        <v>107.13</v>
      </c>
      <c r="F29" s="50">
        <f t="shared" si="12"/>
        <v>720</v>
      </c>
      <c r="G29" s="50">
        <f t="shared" si="12"/>
        <v>41.04</v>
      </c>
      <c r="H29" s="50">
        <f t="shared" si="12"/>
        <v>145727.31</v>
      </c>
      <c r="I29" s="50">
        <f t="shared" si="12"/>
        <v>2840.4800000000005</v>
      </c>
      <c r="J29" s="50">
        <f t="shared" si="12"/>
        <v>148567.78999999998</v>
      </c>
      <c r="K29" s="50">
        <f t="shared" si="12"/>
        <v>141514.09</v>
      </c>
      <c r="L29" s="50">
        <f t="shared" si="12"/>
        <v>105635.67618066666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54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D32+F32+'04-02-20'!H32</f>
        <v>0</v>
      </c>
      <c r="I32" s="15">
        <f>E32+G32+'04-02-20'!I32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C32-((J32/21)*26.0714)</f>
        <v>600.30999999999995</v>
      </c>
    </row>
    <row r="33" spans="1:13" s="24" customFormat="1" ht="11.25" hidden="1" customHeight="1" x14ac:dyDescent="0.25">
      <c r="A33" s="152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D33+F33+'04-02-20'!H33</f>
        <v>0</v>
      </c>
      <c r="I33" s="15">
        <f>E33+G33+'04-02-20'!I33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52" t="s">
        <v>90</v>
      </c>
      <c r="B34" s="151" t="s">
        <v>104</v>
      </c>
      <c r="C34" s="14">
        <v>12000</v>
      </c>
      <c r="D34" s="14">
        <v>115</v>
      </c>
      <c r="E34" s="14">
        <v>1.84</v>
      </c>
      <c r="F34" s="14">
        <v>0</v>
      </c>
      <c r="G34" s="14">
        <v>0</v>
      </c>
      <c r="H34" s="15">
        <f>D34+F34+'04-02-20'!H34</f>
        <v>5727.74</v>
      </c>
      <c r="I34" s="15">
        <f>E34+G34+'04-02-20'!I34</f>
        <v>285.67999999999995</v>
      </c>
      <c r="J34" s="14">
        <f t="shared" si="13"/>
        <v>6013.42</v>
      </c>
      <c r="K34" s="14">
        <f>C34-J34</f>
        <v>5986.58</v>
      </c>
      <c r="L34" s="15">
        <f t="shared" si="15"/>
        <v>4534.3677053333331</v>
      </c>
      <c r="M34" s="44"/>
    </row>
    <row r="35" spans="1:13" s="24" customFormat="1" ht="11.25" customHeight="1" x14ac:dyDescent="0.25">
      <c r="A35" s="154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D35+F35+'04-02-20'!H35</f>
        <v>277.20000000000005</v>
      </c>
      <c r="I35" s="15">
        <f>E35+G35+'04-02-20'!I35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401.59431019047611</v>
      </c>
    </row>
    <row r="36" spans="1:13" s="24" customFormat="1" ht="11.25" customHeight="1" x14ac:dyDescent="0.25">
      <c r="A36" s="154" t="s">
        <v>68</v>
      </c>
      <c r="B36" s="93" t="s">
        <v>66</v>
      </c>
      <c r="C36" s="15">
        <v>6353.85</v>
      </c>
      <c r="D36" s="15">
        <v>203.96</v>
      </c>
      <c r="E36" s="15">
        <v>3.26</v>
      </c>
      <c r="F36" s="15">
        <v>0</v>
      </c>
      <c r="G36" s="15">
        <v>0</v>
      </c>
      <c r="H36" s="15">
        <f>D36+F36+'04-02-20'!H36</f>
        <v>4934.62</v>
      </c>
      <c r="I36" s="15">
        <f>E36+G36+'04-02-20'!I36</f>
        <v>78.850000000000009</v>
      </c>
      <c r="J36" s="15">
        <f t="shared" si="13"/>
        <v>5013.47</v>
      </c>
      <c r="K36" s="15">
        <f t="shared" si="14"/>
        <v>1340.38</v>
      </c>
      <c r="L36" s="15">
        <f t="shared" si="15"/>
        <v>129.65086866666661</v>
      </c>
      <c r="M36" s="25"/>
    </row>
    <row r="37" spans="1:13" s="24" customFormat="1" ht="11.25" customHeight="1" x14ac:dyDescent="0.25">
      <c r="A37" s="154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D37+F37+'04-02-20'!H37</f>
        <v>0</v>
      </c>
      <c r="I37" s="15">
        <f>E37+G37+'04-02-20'!I37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54" t="s">
        <v>36</v>
      </c>
      <c r="B38" s="151" t="s">
        <v>103</v>
      </c>
      <c r="C38" s="95">
        <f>2043+1613.34</f>
        <v>3656.34</v>
      </c>
      <c r="D38" s="14">
        <v>218.65</v>
      </c>
      <c r="E38" s="14">
        <v>3.49</v>
      </c>
      <c r="F38" s="14">
        <v>0</v>
      </c>
      <c r="G38" s="14">
        <v>0</v>
      </c>
      <c r="H38" s="15">
        <f>D38+F38+'04-02-20'!H38</f>
        <v>3708.53</v>
      </c>
      <c r="I38" s="15">
        <f>E38+G38+'04-02-20'!I38</f>
        <v>169.95000000000002</v>
      </c>
      <c r="J38" s="15">
        <f t="shared" si="13"/>
        <v>3878.48</v>
      </c>
      <c r="K38" s="14">
        <f t="shared" si="14"/>
        <v>-222.13999999999987</v>
      </c>
      <c r="L38" s="15">
        <f t="shared" si="15"/>
        <v>-1158.7744510476196</v>
      </c>
    </row>
    <row r="39" spans="1:13" s="25" customFormat="1" ht="11.45" customHeight="1" x14ac:dyDescent="0.25">
      <c r="A39" s="155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D39+F39+'04-02-20'!H39</f>
        <v>2324.0699999999997</v>
      </c>
      <c r="I39" s="15">
        <f>E39+G39+'04-02-20'!I39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-181.44338609523811</v>
      </c>
    </row>
    <row r="40" spans="1:13" s="25" customFormat="1" ht="11.45" customHeight="1" x14ac:dyDescent="0.25">
      <c r="A40" s="155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D40+F40+'04-02-20'!H40</f>
        <v>5628.75</v>
      </c>
      <c r="I40" s="15">
        <f>E40+G40+'04-02-20'!I40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5267.037032380952</v>
      </c>
    </row>
    <row r="41" spans="1:13" s="25" customFormat="1" ht="11.45" customHeight="1" x14ac:dyDescent="0.25">
      <c r="A41" s="153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1200</v>
      </c>
      <c r="G41" s="15">
        <v>68.400000000000006</v>
      </c>
      <c r="H41" s="15">
        <f>D41+F41+'04-02-20'!H41</f>
        <v>8909.4</v>
      </c>
      <c r="I41" s="15">
        <f>E41+G41+'04-02-20'!I41</f>
        <v>507.79999999999995</v>
      </c>
      <c r="J41" s="15">
        <f>H41+I41</f>
        <v>9417.1999999999989</v>
      </c>
      <c r="K41" s="14">
        <f>C41-J41</f>
        <v>5802.8000000000011</v>
      </c>
      <c r="L41" s="15">
        <f t="shared" si="15"/>
        <v>3528.5910438095252</v>
      </c>
    </row>
    <row r="42" spans="1:13" ht="21.6" customHeight="1" x14ac:dyDescent="0.25">
      <c r="A42" s="206" t="s">
        <v>27</v>
      </c>
      <c r="B42" s="207"/>
      <c r="C42" s="15">
        <f>SUM(C32:C41)</f>
        <v>56371.74</v>
      </c>
      <c r="D42" s="15">
        <f>SUM(D32:D41)</f>
        <v>537.61</v>
      </c>
      <c r="E42" s="15">
        <f>SUM(E32:E41)</f>
        <v>8.59</v>
      </c>
      <c r="F42" s="15">
        <f>SUM(F32:F41)</f>
        <v>1200</v>
      </c>
      <c r="G42" s="15">
        <f>SUM(G32:G41)</f>
        <v>68.400000000000006</v>
      </c>
      <c r="H42" s="15">
        <f>SUM(H32, H33:H41)</f>
        <v>31510.309999999998</v>
      </c>
      <c r="I42" s="15">
        <f>SUM(I32, I33:I41)</f>
        <v>1185.27</v>
      </c>
      <c r="J42" s="15">
        <f>SUM(J32, J33:J41)</f>
        <v>32695.58</v>
      </c>
      <c r="K42" s="15">
        <f>SUM(K32, K33:K41)</f>
        <v>23676.160000000003</v>
      </c>
      <c r="L42" s="15">
        <f>SUM(L32, L33:L41)</f>
        <v>15780.333123238097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v>995.12</v>
      </c>
      <c r="E45" s="14">
        <v>15.92</v>
      </c>
      <c r="F45" s="14">
        <v>220</v>
      </c>
      <c r="G45" s="14">
        <v>12.54</v>
      </c>
      <c r="H45" s="15">
        <f>D45+F45+'04-02-20'!H45</f>
        <v>33701.39</v>
      </c>
      <c r="I45" s="15">
        <f>E45+G45+'04-02-20'!I45</f>
        <v>1124.04</v>
      </c>
      <c r="J45" s="15">
        <f>H45+I45</f>
        <v>34825.43</v>
      </c>
      <c r="K45" s="14">
        <f>C45-J45</f>
        <v>27757.57</v>
      </c>
      <c r="L45" s="15">
        <f>C45-((J45/21)*26.0714)</f>
        <v>19347.394490380953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995.12</v>
      </c>
      <c r="E46" s="59">
        <f t="shared" si="16"/>
        <v>15.92</v>
      </c>
      <c r="F46" s="59">
        <f t="shared" si="16"/>
        <v>220</v>
      </c>
      <c r="G46" s="59">
        <f t="shared" si="16"/>
        <v>12.54</v>
      </c>
      <c r="H46" s="59">
        <f t="shared" si="16"/>
        <v>33701.39</v>
      </c>
      <c r="I46" s="59">
        <f t="shared" si="16"/>
        <v>1124.04</v>
      </c>
      <c r="J46" s="59">
        <f t="shared" si="16"/>
        <v>34825.43</v>
      </c>
      <c r="K46" s="59">
        <f t="shared" si="16"/>
        <v>27757.57</v>
      </c>
      <c r="L46" s="59">
        <f t="shared" si="16"/>
        <v>19347.394490380953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438.6</v>
      </c>
      <c r="G49" s="14">
        <v>25</v>
      </c>
      <c r="H49" s="15">
        <f>D49+F49+'04-02-20'!H49</f>
        <v>7968.9299999999985</v>
      </c>
      <c r="I49" s="15">
        <f>E49+G49+'04-02-20'!I49</f>
        <v>454.13000000000017</v>
      </c>
      <c r="J49" s="15">
        <f>H49+I49</f>
        <v>8423.06</v>
      </c>
      <c r="K49" s="14">
        <f>C49-J49</f>
        <v>54312.94</v>
      </c>
      <c r="L49" s="15">
        <f>C49-((J49/21)*26.0714)</f>
        <v>52278.811119809528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438.6</v>
      </c>
      <c r="G50" s="15">
        <f t="shared" si="17"/>
        <v>25</v>
      </c>
      <c r="H50" s="15">
        <f t="shared" si="17"/>
        <v>7968.9299999999985</v>
      </c>
      <c r="I50" s="15">
        <f t="shared" si="17"/>
        <v>454.13000000000017</v>
      </c>
      <c r="J50" s="15">
        <f t="shared" si="17"/>
        <v>8423.06</v>
      </c>
      <c r="K50" s="15">
        <f t="shared" si="17"/>
        <v>54312.94</v>
      </c>
      <c r="L50" s="15">
        <f t="shared" si="17"/>
        <v>52278.811119809528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5">
    <mergeCell ref="A70:F70"/>
    <mergeCell ref="A64:F64"/>
    <mergeCell ref="A65:F65"/>
    <mergeCell ref="A66:F66"/>
    <mergeCell ref="A67:F67"/>
    <mergeCell ref="A68:F68"/>
    <mergeCell ref="A69:F69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50:B50"/>
    <mergeCell ref="A13:B13"/>
    <mergeCell ref="A19:B19"/>
    <mergeCell ref="A26:B26"/>
    <mergeCell ref="A29:B29"/>
    <mergeCell ref="A42:B42"/>
  </mergeCells>
  <pageMargins left="0.25" right="0" top="0.4" bottom="0" header="0.3" footer="0"/>
  <pageSetup scale="91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130" zoomScaleNormal="13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109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D3+F3+'04-16-20'!H3</f>
        <v>3483.6000000000004</v>
      </c>
      <c r="I3" s="15">
        <f>E3+G3+'04-16-20'!I3</f>
        <v>157.35</v>
      </c>
      <c r="J3" s="15">
        <f>H3+I3</f>
        <v>3640.9500000000003</v>
      </c>
      <c r="K3" s="15">
        <f>C3-J3</f>
        <v>0</v>
      </c>
      <c r="L3" s="15">
        <f>C3-((J3/22)*26.0714)</f>
        <v>-673.80744681818169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D4+F4+'04-16-20'!H4</f>
        <v>0</v>
      </c>
      <c r="I4" s="15">
        <f>E4+G4+'04-16-20'!I4</f>
        <v>0</v>
      </c>
      <c r="J4" s="15">
        <f>H4+I4</f>
        <v>0</v>
      </c>
      <c r="K4" s="15">
        <f>C4-J4</f>
        <v>3229</v>
      </c>
      <c r="L4" s="15">
        <f t="shared" ref="L4:L12" si="0">C4-((J4/22)*26.0714)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f>233.98+1208.74</f>
        <v>1442.72</v>
      </c>
      <c r="E5" s="21">
        <f>3.58+19.33</f>
        <v>22.909999999999997</v>
      </c>
      <c r="F5" s="21">
        <v>0</v>
      </c>
      <c r="G5" s="21">
        <v>0</v>
      </c>
      <c r="H5" s="15">
        <f>D5+F5+'04-16-20'!H5</f>
        <v>11401.979999999998</v>
      </c>
      <c r="I5" s="15">
        <f>E5+G5+'04-16-20'!I5</f>
        <v>200.24</v>
      </c>
      <c r="J5" s="15">
        <f t="shared" ref="J5:J12" si="1">H5+I5</f>
        <v>11602.219999999998</v>
      </c>
      <c r="K5" s="14">
        <f t="shared" ref="K5:K12" si="2">C5-J5</f>
        <v>13046.780000000002</v>
      </c>
      <c r="L5" s="15">
        <f t="shared" si="0"/>
        <v>10899.630976909093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0</v>
      </c>
      <c r="E6" s="14">
        <v>0</v>
      </c>
      <c r="F6" s="14">
        <v>0</v>
      </c>
      <c r="G6" s="14">
        <v>0</v>
      </c>
      <c r="H6" s="15">
        <f>D6+F6+'04-16-20'!H6</f>
        <v>10720.1</v>
      </c>
      <c r="I6" s="15">
        <f>E6+G6+'04-16-20'!I6</f>
        <v>175.03</v>
      </c>
      <c r="J6" s="15">
        <f t="shared" si="1"/>
        <v>10895.130000000001</v>
      </c>
      <c r="K6" s="14">
        <f t="shared" si="2"/>
        <v>7078.869999999999</v>
      </c>
      <c r="L6" s="15">
        <f t="shared" si="0"/>
        <v>5062.5776235454523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f>315.75+1075.84</f>
        <v>1391.59</v>
      </c>
      <c r="E7" s="14">
        <f>5.05+17.21</f>
        <v>22.26</v>
      </c>
      <c r="F7" s="14">
        <v>0</v>
      </c>
      <c r="G7" s="14">
        <v>0</v>
      </c>
      <c r="H7" s="15">
        <f>D7+F7+'04-16-20'!H7</f>
        <v>12369.22</v>
      </c>
      <c r="I7" s="15">
        <f>E7+G7+'04-16-20'!I7</f>
        <v>197.71</v>
      </c>
      <c r="J7" s="15">
        <f t="shared" si="1"/>
        <v>12566.929999999998</v>
      </c>
      <c r="K7" s="14">
        <f t="shared" si="2"/>
        <v>5407.0700000000015</v>
      </c>
      <c r="L7" s="15">
        <f t="shared" si="0"/>
        <v>3081.388236272729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v>677.51</v>
      </c>
      <c r="E8" s="14">
        <v>10.84</v>
      </c>
      <c r="F8" s="14">
        <v>0</v>
      </c>
      <c r="G8" s="14">
        <v>0</v>
      </c>
      <c r="H8" s="15">
        <f>D8+F8+'04-16-20'!H8</f>
        <v>11355.780000000002</v>
      </c>
      <c r="I8" s="15">
        <f>E8+G8+'04-16-20'!I8</f>
        <v>181.56</v>
      </c>
      <c r="J8" s="15">
        <f t="shared" si="1"/>
        <v>11537.340000000002</v>
      </c>
      <c r="K8" s="14">
        <f t="shared" si="2"/>
        <v>12792.659999999998</v>
      </c>
      <c r="L8" s="15">
        <f t="shared" si="0"/>
        <v>10657.517905636361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f>486.14+522.38</f>
        <v>1008.52</v>
      </c>
      <c r="E9" s="14">
        <f>7.76+8.35</f>
        <v>16.11</v>
      </c>
      <c r="F9" s="14">
        <v>720</v>
      </c>
      <c r="G9" s="14">
        <v>41.04</v>
      </c>
      <c r="H9" s="15">
        <f>D9+F9+'04-16-20'!H9</f>
        <v>20517.650000000001</v>
      </c>
      <c r="I9" s="15">
        <f>E9+G9+'04-16-20'!I9</f>
        <v>530.58999999999992</v>
      </c>
      <c r="J9" s="15">
        <f t="shared" si="1"/>
        <v>21048.240000000002</v>
      </c>
      <c r="K9" s="14">
        <f t="shared" si="2"/>
        <v>12951.759999999998</v>
      </c>
      <c r="L9" s="15">
        <f t="shared" si="0"/>
        <v>9056.4961665454503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f>3470.72+2843.42</f>
        <v>6314.1399999999994</v>
      </c>
      <c r="E10" s="14">
        <f>55.52+45.49</f>
        <v>101.01</v>
      </c>
      <c r="F10" s="14">
        <v>0</v>
      </c>
      <c r="G10" s="14">
        <v>0</v>
      </c>
      <c r="H10" s="15">
        <f>D10+F10+'04-16-20'!H10</f>
        <v>44676.079999999994</v>
      </c>
      <c r="I10" s="15">
        <f>E10+G10+'04-16-20'!I10</f>
        <v>733.34</v>
      </c>
      <c r="J10" s="15">
        <f t="shared" si="1"/>
        <v>45409.419999999991</v>
      </c>
      <c r="K10" s="117">
        <f t="shared" si="2"/>
        <v>-2668.419999999991</v>
      </c>
      <c r="L10" s="15">
        <f t="shared" si="0"/>
        <v>-11072.052390363628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f>439.63+1416.15</f>
        <v>1855.7800000000002</v>
      </c>
      <c r="E11" s="14">
        <f>7.03+22.65</f>
        <v>29.68</v>
      </c>
      <c r="F11" s="14">
        <v>0</v>
      </c>
      <c r="G11" s="14">
        <v>0</v>
      </c>
      <c r="H11" s="15">
        <f>D11+F11+'04-16-20'!H11</f>
        <v>11678.420000000002</v>
      </c>
      <c r="I11" s="15">
        <f>E11+G11+'04-16-20'!I11</f>
        <v>262.45</v>
      </c>
      <c r="J11" s="15">
        <f t="shared" si="1"/>
        <v>11940.870000000003</v>
      </c>
      <c r="K11" s="14">
        <f t="shared" si="2"/>
        <v>11232.129999999997</v>
      </c>
      <c r="L11" s="15">
        <f t="shared" si="0"/>
        <v>9022.3091764545425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f>-23</f>
        <v>-23</v>
      </c>
      <c r="E12" s="14">
        <f>-0.36</f>
        <v>-0.36</v>
      </c>
      <c r="F12" s="14">
        <v>0</v>
      </c>
      <c r="G12" s="14">
        <v>0</v>
      </c>
      <c r="H12" s="15">
        <f>D12+F12+'04-16-20'!H12</f>
        <v>3081.6000000000004</v>
      </c>
      <c r="I12" s="15">
        <f>E12+G12+'04-16-20'!I12</f>
        <v>49.14</v>
      </c>
      <c r="J12" s="15">
        <f t="shared" si="1"/>
        <v>3130.7400000000002</v>
      </c>
      <c r="K12" s="14">
        <f t="shared" si="2"/>
        <v>2869.2599999999998</v>
      </c>
      <c r="L12" s="15">
        <f t="shared" si="0"/>
        <v>2289.8738710909088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12667.26</v>
      </c>
      <c r="E13" s="15">
        <f t="shared" si="3"/>
        <v>202.45</v>
      </c>
      <c r="F13" s="15">
        <f t="shared" si="3"/>
        <v>720</v>
      </c>
      <c r="G13" s="15">
        <f t="shared" si="3"/>
        <v>41.04</v>
      </c>
      <c r="H13" s="15">
        <f t="shared" si="3"/>
        <v>129284.43000000001</v>
      </c>
      <c r="I13" s="15">
        <f t="shared" si="3"/>
        <v>2487.41</v>
      </c>
      <c r="J13" s="14">
        <f t="shared" si="3"/>
        <v>131771.83999999997</v>
      </c>
      <c r="K13" s="14">
        <f t="shared" si="3"/>
        <v>65939.11</v>
      </c>
      <c r="L13" s="15">
        <f t="shared" si="3"/>
        <v>41552.93411927273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92.02</v>
      </c>
      <c r="E16" s="14">
        <v>1.47</v>
      </c>
      <c r="F16" s="14">
        <v>0</v>
      </c>
      <c r="G16" s="14">
        <v>0</v>
      </c>
      <c r="H16" s="15">
        <f>D16+F16+'04-16-20'!H16</f>
        <v>1204.82</v>
      </c>
      <c r="I16" s="15">
        <f>E16+G16+'04-16-20'!I16</f>
        <v>19.25</v>
      </c>
      <c r="J16" s="15">
        <f>H16+I16</f>
        <v>1224.07</v>
      </c>
      <c r="K16" s="14">
        <f>C16-J16</f>
        <v>25698.93</v>
      </c>
      <c r="L16" s="15">
        <f t="shared" ref="L16:L18" si="4">C16-((J16/22)*26.0714)</f>
        <v>25472.399154636365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0</v>
      </c>
      <c r="E17" s="15">
        <v>0</v>
      </c>
      <c r="F17" s="14">
        <v>0</v>
      </c>
      <c r="G17" s="14">
        <v>0</v>
      </c>
      <c r="H17" s="15">
        <f>D17+F17+'04-16-20'!H17</f>
        <v>4470.76</v>
      </c>
      <c r="I17" s="15">
        <f>E17+G17+'04-16-20'!I17</f>
        <v>88.56</v>
      </c>
      <c r="J17" s="15">
        <f>H17+I17</f>
        <v>4559.3200000000006</v>
      </c>
      <c r="K17" s="14">
        <f>C17-J17</f>
        <v>11502.68</v>
      </c>
      <c r="L17" s="15">
        <f t="shared" si="4"/>
        <v>10658.915661454545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D18+F18+'04-16-20'!H18</f>
        <v>1206.3699999999997</v>
      </c>
      <c r="I18" s="15">
        <f>E18+G18+'04-16-20'!I18</f>
        <v>19.21</v>
      </c>
      <c r="J18" s="15">
        <f>H18+I18</f>
        <v>1225.5799999999997</v>
      </c>
      <c r="K18" s="14">
        <f>C18-J18</f>
        <v>800.4200000000003</v>
      </c>
      <c r="L18" s="15">
        <f t="shared" si="4"/>
        <v>573.60970854545485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92.02</v>
      </c>
      <c r="E19" s="15">
        <f t="shared" si="5"/>
        <v>1.47</v>
      </c>
      <c r="F19" s="15">
        <f t="shared" si="5"/>
        <v>0</v>
      </c>
      <c r="G19" s="15">
        <f t="shared" si="5"/>
        <v>0</v>
      </c>
      <c r="H19" s="15">
        <f t="shared" si="5"/>
        <v>6881.95</v>
      </c>
      <c r="I19" s="15">
        <f t="shared" si="5"/>
        <v>127.02000000000001</v>
      </c>
      <c r="J19" s="14">
        <f t="shared" si="5"/>
        <v>7008.97</v>
      </c>
      <c r="K19" s="15">
        <f t="shared" si="5"/>
        <v>38002.03</v>
      </c>
      <c r="L19" s="15">
        <f t="shared" si="5"/>
        <v>36704.924524636364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1136.25</v>
      </c>
      <c r="E23" s="14">
        <v>18.18</v>
      </c>
      <c r="F23" s="14">
        <v>0</v>
      </c>
      <c r="G23" s="14">
        <v>0</v>
      </c>
      <c r="H23" s="15">
        <f>D23+F23+'04-16-20'!H23</f>
        <v>13545</v>
      </c>
      <c r="I23" s="15">
        <f>E23+G23+'04-16-20'!I23</f>
        <v>216.71</v>
      </c>
      <c r="J23" s="15">
        <f t="shared" si="7"/>
        <v>13761.71</v>
      </c>
      <c r="K23" s="14">
        <f t="shared" si="8"/>
        <v>13826.690000000002</v>
      </c>
      <c r="L23" s="15">
        <f t="shared" ref="L23:L25" si="10">C23-((J23/22)*26.0714)</f>
        <v>11279.897904818185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457.7</v>
      </c>
      <c r="E24" s="48">
        <v>7.32</v>
      </c>
      <c r="F24" s="48">
        <v>0</v>
      </c>
      <c r="G24" s="48">
        <v>0</v>
      </c>
      <c r="H24" s="15">
        <f>D24+F24+'04-16-20'!H24</f>
        <v>9121.16</v>
      </c>
      <c r="I24" s="15">
        <f>E24+G24+'04-16-20'!I24</f>
        <v>167.67999999999998</v>
      </c>
      <c r="J24" s="15">
        <f t="shared" si="7"/>
        <v>9288.84</v>
      </c>
      <c r="K24" s="14">
        <f t="shared" si="8"/>
        <v>5211.16</v>
      </c>
      <c r="L24" s="15">
        <f t="shared" si="10"/>
        <v>3492.133491999999</v>
      </c>
    </row>
    <row r="25" spans="1:13" s="43" customFormat="1" ht="10.9" customHeight="1" x14ac:dyDescent="0.25">
      <c r="A25" s="158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D25+F25+'04-16-20'!H25</f>
        <v>1968</v>
      </c>
      <c r="I25" s="15">
        <f>E25+G25+'04-16-20'!I25</f>
        <v>112.12</v>
      </c>
      <c r="J25" s="15">
        <f>H25+I25</f>
        <v>2080.12</v>
      </c>
      <c r="K25" s="14">
        <f>C25-J25</f>
        <v>3191.41</v>
      </c>
      <c r="L25" s="15">
        <f t="shared" si="10"/>
        <v>2806.4554287272726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1593.95</v>
      </c>
      <c r="E26" s="49">
        <f t="shared" si="11"/>
        <v>25.5</v>
      </c>
      <c r="F26" s="49">
        <f t="shared" si="11"/>
        <v>0</v>
      </c>
      <c r="G26" s="49">
        <f t="shared" si="11"/>
        <v>0</v>
      </c>
      <c r="H26" s="49">
        <f t="shared" si="11"/>
        <v>24634.16</v>
      </c>
      <c r="I26" s="49">
        <f t="shared" si="11"/>
        <v>496.51</v>
      </c>
      <c r="J26" s="49">
        <f t="shared" si="11"/>
        <v>25130.67</v>
      </c>
      <c r="K26" s="49">
        <f t="shared" si="11"/>
        <v>22229.260000000002</v>
      </c>
      <c r="L26" s="50">
        <f>SUM(L23:L25)</f>
        <v>17578.486825545457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14353.230000000001</v>
      </c>
      <c r="E29" s="50">
        <f t="shared" si="12"/>
        <v>229.42</v>
      </c>
      <c r="F29" s="50">
        <f t="shared" si="12"/>
        <v>720</v>
      </c>
      <c r="G29" s="50">
        <f t="shared" si="12"/>
        <v>41.04</v>
      </c>
      <c r="H29" s="50">
        <f t="shared" si="12"/>
        <v>160800.54</v>
      </c>
      <c r="I29" s="50">
        <f t="shared" si="12"/>
        <v>3110.9399999999996</v>
      </c>
      <c r="J29" s="50">
        <f t="shared" si="12"/>
        <v>163911.47999999998</v>
      </c>
      <c r="K29" s="50">
        <f t="shared" si="12"/>
        <v>126170.4</v>
      </c>
      <c r="L29" s="50">
        <f t="shared" si="12"/>
        <v>95836.345469454565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58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D32+F32+'04-16-20'!H32</f>
        <v>0</v>
      </c>
      <c r="I32" s="15">
        <f>E32+G32+'04-16-20'!I32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C32-((J32/22)*26.0714)</f>
        <v>600.30999999999995</v>
      </c>
    </row>
    <row r="33" spans="1:13" s="24" customFormat="1" ht="11.25" hidden="1" customHeight="1" x14ac:dyDescent="0.25">
      <c r="A33" s="156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D33+F33+'04-16-20'!H33</f>
        <v>0</v>
      </c>
      <c r="I33" s="15">
        <f>E33+G33+'04-16-20'!I33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56" t="s">
        <v>90</v>
      </c>
      <c r="B34" s="151" t="s">
        <v>104</v>
      </c>
      <c r="C34" s="14">
        <v>12000</v>
      </c>
      <c r="D34" s="14">
        <f>450+450</f>
        <v>900</v>
      </c>
      <c r="E34" s="14">
        <f>7.2+7.2</f>
        <v>14.4</v>
      </c>
      <c r="F34" s="14">
        <v>0</v>
      </c>
      <c r="G34" s="14">
        <v>0</v>
      </c>
      <c r="H34" s="15">
        <f>D34+F34+'04-16-20'!H34</f>
        <v>6627.74</v>
      </c>
      <c r="I34" s="15">
        <f>E34+G34+'04-16-20'!I34</f>
        <v>300.07999999999993</v>
      </c>
      <c r="J34" s="14">
        <f t="shared" si="13"/>
        <v>6927.82</v>
      </c>
      <c r="K34" s="14">
        <f>C34-J34</f>
        <v>5072.18</v>
      </c>
      <c r="L34" s="15">
        <f t="shared" si="15"/>
        <v>3790.0924387272735</v>
      </c>
      <c r="M34" s="44"/>
    </row>
    <row r="35" spans="1:13" s="24" customFormat="1" ht="11.25" customHeight="1" x14ac:dyDescent="0.25">
      <c r="A35" s="158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D35+F35+'04-16-20'!H35</f>
        <v>277.20000000000005</v>
      </c>
      <c r="I35" s="15">
        <f>E35+G35+'04-16-20'!I35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418.12820518181815</v>
      </c>
    </row>
    <row r="36" spans="1:13" s="24" customFormat="1" ht="11.25" customHeight="1" x14ac:dyDescent="0.25">
      <c r="A36" s="158" t="s">
        <v>68</v>
      </c>
      <c r="B36" s="93" t="s">
        <v>66</v>
      </c>
      <c r="C36" s="15">
        <v>6353.85</v>
      </c>
      <c r="D36" s="15">
        <v>363.93</v>
      </c>
      <c r="E36" s="15">
        <v>5.82</v>
      </c>
      <c r="F36" s="15">
        <v>0</v>
      </c>
      <c r="G36" s="15">
        <v>0</v>
      </c>
      <c r="H36" s="15">
        <f>D36+F36+'04-16-20'!H36</f>
        <v>5298.55</v>
      </c>
      <c r="I36" s="15">
        <f>E36+G36+'04-16-20'!I36</f>
        <v>84.670000000000016</v>
      </c>
      <c r="J36" s="15">
        <f t="shared" si="13"/>
        <v>5383.22</v>
      </c>
      <c r="K36" s="15">
        <f t="shared" si="14"/>
        <v>970.63000000000011</v>
      </c>
      <c r="L36" s="15">
        <f t="shared" si="15"/>
        <v>-25.608268545454848</v>
      </c>
      <c r="M36" s="25"/>
    </row>
    <row r="37" spans="1:13" s="24" customFormat="1" ht="11.25" customHeight="1" x14ac:dyDescent="0.25">
      <c r="A37" s="158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D37+F37+'04-16-20'!H37</f>
        <v>0</v>
      </c>
      <c r="I37" s="15">
        <f>E37+G37+'04-16-20'!I37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58" t="s">
        <v>36</v>
      </c>
      <c r="B38" s="151" t="s">
        <v>103</v>
      </c>
      <c r="C38" s="95">
        <f>2043+1613.34</f>
        <v>3656.34</v>
      </c>
      <c r="D38" s="14">
        <v>0</v>
      </c>
      <c r="E38" s="14">
        <v>0</v>
      </c>
      <c r="F38" s="14">
        <v>0</v>
      </c>
      <c r="G38" s="14">
        <v>0</v>
      </c>
      <c r="H38" s="15">
        <f>D38+F38+'04-16-20'!H38</f>
        <v>3708.53</v>
      </c>
      <c r="I38" s="15">
        <f>E38+G38+'04-16-20'!I38</f>
        <v>169.95000000000002</v>
      </c>
      <c r="J38" s="15">
        <f t="shared" si="13"/>
        <v>3878.48</v>
      </c>
      <c r="K38" s="14">
        <f t="shared" si="14"/>
        <v>-222.13999999999987</v>
      </c>
      <c r="L38" s="15">
        <f t="shared" si="15"/>
        <v>-939.90561236363556</v>
      </c>
    </row>
    <row r="39" spans="1:13" s="25" customFormat="1" ht="11.45" customHeight="1" x14ac:dyDescent="0.25">
      <c r="A39" s="159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D39+F39+'04-16-20'!H39</f>
        <v>2324.0699999999997</v>
      </c>
      <c r="I39" s="15">
        <f>E39+G39+'04-16-20'!I39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-48.195959454545118</v>
      </c>
    </row>
    <row r="40" spans="1:13" s="25" customFormat="1" ht="11.45" customHeight="1" x14ac:dyDescent="0.25">
      <c r="A40" s="159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D40+F40+'04-16-20'!H40</f>
        <v>5628.75</v>
      </c>
      <c r="I40" s="15">
        <f>E40+G40+'04-16-20'!I40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5589.7580763636361</v>
      </c>
    </row>
    <row r="41" spans="1:13" s="25" customFormat="1" ht="11.45" customHeight="1" x14ac:dyDescent="0.25">
      <c r="A41" s="157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1200</v>
      </c>
      <c r="G41" s="15">
        <v>68.400000000000006</v>
      </c>
      <c r="H41" s="15">
        <f>D41+F41+'04-16-20'!H41</f>
        <v>10109.4</v>
      </c>
      <c r="I41" s="15">
        <f>E41+G41+'04-16-20'!I41</f>
        <v>576.19999999999993</v>
      </c>
      <c r="J41" s="15">
        <f>H41+I41</f>
        <v>10685.6</v>
      </c>
      <c r="K41" s="14">
        <f>C41-J41</f>
        <v>4534.3999999999996</v>
      </c>
      <c r="L41" s="15">
        <f t="shared" si="15"/>
        <v>2556.8840072727253</v>
      </c>
    </row>
    <row r="42" spans="1:13" ht="21.6" customHeight="1" x14ac:dyDescent="0.25">
      <c r="A42" s="206" t="s">
        <v>27</v>
      </c>
      <c r="B42" s="207"/>
      <c r="C42" s="15">
        <f>SUM(C32:C41)</f>
        <v>56371.74</v>
      </c>
      <c r="D42" s="15">
        <f>SUM(D32:D41)</f>
        <v>1263.93</v>
      </c>
      <c r="E42" s="15">
        <f>SUM(E32:E41)</f>
        <v>20.22</v>
      </c>
      <c r="F42" s="15">
        <f>SUM(F32:F41)</f>
        <v>1200</v>
      </c>
      <c r="G42" s="15">
        <f>SUM(G32:G41)</f>
        <v>68.400000000000006</v>
      </c>
      <c r="H42" s="15">
        <f>SUM(H32, H33:H41)</f>
        <v>33974.239999999998</v>
      </c>
      <c r="I42" s="15">
        <f>SUM(I32, I33:I41)</f>
        <v>1273.8899999999999</v>
      </c>
      <c r="J42" s="15">
        <f>SUM(J32, J33:J41)</f>
        <v>35248.129999999997</v>
      </c>
      <c r="K42" s="15">
        <f>SUM(K32, K33:K41)</f>
        <v>21123.61</v>
      </c>
      <c r="L42" s="15">
        <f>SUM(L32, L33:L41)</f>
        <v>14600.462887181817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f>1392.87+1761.8</f>
        <v>3154.67</v>
      </c>
      <c r="E45" s="14">
        <f>22.28+28.18</f>
        <v>50.46</v>
      </c>
      <c r="F45" s="14">
        <v>330</v>
      </c>
      <c r="G45" s="14">
        <v>18.809999999999999</v>
      </c>
      <c r="H45" s="15">
        <f>D45+F45+'04-16-20'!H45</f>
        <v>37186.06</v>
      </c>
      <c r="I45" s="15">
        <f>E45+G45+'04-16-20'!I45</f>
        <v>1193.31</v>
      </c>
      <c r="J45" s="15">
        <f>H45+I45</f>
        <v>38379.369999999995</v>
      </c>
      <c r="K45" s="14">
        <f>C45-J45</f>
        <v>24203.630000000005</v>
      </c>
      <c r="L45" s="15">
        <f>C45-((J45/22)*26.0714)</f>
        <v>17101.004226454548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3154.67</v>
      </c>
      <c r="E46" s="59">
        <f t="shared" si="16"/>
        <v>50.46</v>
      </c>
      <c r="F46" s="59">
        <f t="shared" si="16"/>
        <v>330</v>
      </c>
      <c r="G46" s="59">
        <f t="shared" si="16"/>
        <v>18.809999999999999</v>
      </c>
      <c r="H46" s="59">
        <f t="shared" si="16"/>
        <v>37186.06</v>
      </c>
      <c r="I46" s="59">
        <f t="shared" si="16"/>
        <v>1193.31</v>
      </c>
      <c r="J46" s="59">
        <f t="shared" si="16"/>
        <v>38379.369999999995</v>
      </c>
      <c r="K46" s="59">
        <f t="shared" si="16"/>
        <v>24203.630000000005</v>
      </c>
      <c r="L46" s="59">
        <f t="shared" si="16"/>
        <v>17101.004226454548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438.6</v>
      </c>
      <c r="G49" s="14">
        <v>25</v>
      </c>
      <c r="H49" s="15">
        <f>D49+F49+'04-16-20'!H49</f>
        <v>8407.5299999999988</v>
      </c>
      <c r="I49" s="15">
        <f>E49+G49+'04-16-20'!I49</f>
        <v>479.13000000000017</v>
      </c>
      <c r="J49" s="15">
        <f>H49+I49</f>
        <v>8886.66</v>
      </c>
      <c r="K49" s="14">
        <f>C49-J49</f>
        <v>53849.34</v>
      </c>
      <c r="L49" s="15">
        <f>C49-((J49/22)*26.0714)</f>
        <v>52204.74238527273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438.6</v>
      </c>
      <c r="G50" s="15">
        <f t="shared" si="17"/>
        <v>25</v>
      </c>
      <c r="H50" s="15">
        <f t="shared" si="17"/>
        <v>8407.5299999999988</v>
      </c>
      <c r="I50" s="15">
        <f t="shared" si="17"/>
        <v>479.13000000000017</v>
      </c>
      <c r="J50" s="15">
        <f t="shared" si="17"/>
        <v>8886.66</v>
      </c>
      <c r="K50" s="15">
        <f t="shared" si="17"/>
        <v>53849.34</v>
      </c>
      <c r="L50" s="15">
        <f t="shared" si="17"/>
        <v>52204.74238527273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5">
    <mergeCell ref="A70:F70"/>
    <mergeCell ref="A64:F64"/>
    <mergeCell ref="A65:F65"/>
    <mergeCell ref="A66:F66"/>
    <mergeCell ref="A67:F67"/>
    <mergeCell ref="A68:F68"/>
    <mergeCell ref="A69:F69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50:B50"/>
    <mergeCell ref="A13:B13"/>
    <mergeCell ref="A19:B19"/>
    <mergeCell ref="A26:B26"/>
    <mergeCell ref="A29:B29"/>
    <mergeCell ref="A42:B42"/>
  </mergeCells>
  <pageMargins left="0.25" right="0" top="0.4" bottom="0" header="0.3" footer="0"/>
  <pageSetup scale="91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130" zoomScaleNormal="130" workbookViewId="0">
      <pane ySplit="2" topLeftCell="A31" activePane="bottomLeft" state="frozen"/>
      <selection pane="bottomLeft" activeCell="C38" sqref="C38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bestFit="1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110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D3+F3+'04-30-20'!H3</f>
        <v>3483.6000000000004</v>
      </c>
      <c r="I3" s="15">
        <f>E3+G3+'04-30-20'!I3</f>
        <v>157.35</v>
      </c>
      <c r="J3" s="15">
        <f>H3+I3</f>
        <v>3640.9500000000003</v>
      </c>
      <c r="K3" s="15">
        <f>C3-J3</f>
        <v>0</v>
      </c>
      <c r="L3" s="15">
        <f>C3-((J3/23)*26.0714)</f>
        <v>-486.20929695652239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D4+F4+'04-30-20'!H4</f>
        <v>0</v>
      </c>
      <c r="I4" s="15">
        <f>E4+G4+'04-30-20'!I4</f>
        <v>0</v>
      </c>
      <c r="J4" s="15">
        <f>H4+I4</f>
        <v>0</v>
      </c>
      <c r="K4" s="15">
        <f>C4-J4</f>
        <v>3229</v>
      </c>
      <c r="L4" s="15">
        <f t="shared" ref="L4:L12" si="0">C4-((J4/23)*26.0714)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f>583.72+1436.69</f>
        <v>2020.41</v>
      </c>
      <c r="E5" s="21">
        <f>9.33+4.14</f>
        <v>13.469999999999999</v>
      </c>
      <c r="F5" s="21">
        <v>0</v>
      </c>
      <c r="G5" s="21">
        <v>0</v>
      </c>
      <c r="H5" s="15">
        <f>D5+F5+'04-30-20'!H5</f>
        <v>13422.389999999998</v>
      </c>
      <c r="I5" s="15">
        <f>E5+G5+'04-30-20'!I5</f>
        <v>213.71</v>
      </c>
      <c r="J5" s="15">
        <f t="shared" ref="J5:J12" si="1">H5+I5</f>
        <v>13636.099999999997</v>
      </c>
      <c r="K5" s="14">
        <f t="shared" ref="K5:K12" si="2">C5-J5</f>
        <v>11012.900000000003</v>
      </c>
      <c r="L5" s="15">
        <f t="shared" si="0"/>
        <v>9191.9470634782647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0</v>
      </c>
      <c r="E6" s="14">
        <v>0</v>
      </c>
      <c r="F6" s="14">
        <v>0</v>
      </c>
      <c r="G6" s="14">
        <v>0</v>
      </c>
      <c r="H6" s="15">
        <f>D6+F6+'04-30-20'!H6</f>
        <v>10720.1</v>
      </c>
      <c r="I6" s="15">
        <f>E6+G6+'04-30-20'!I6</f>
        <v>175.03</v>
      </c>
      <c r="J6" s="15">
        <f t="shared" si="1"/>
        <v>10895.130000000001</v>
      </c>
      <c r="K6" s="14">
        <f t="shared" si="2"/>
        <v>7078.869999999999</v>
      </c>
      <c r="L6" s="15">
        <f t="shared" si="0"/>
        <v>5623.9438138260866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f>503.87+1845.98</f>
        <v>2349.85</v>
      </c>
      <c r="E7" s="14">
        <f>8.06+29.53</f>
        <v>37.590000000000003</v>
      </c>
      <c r="F7" s="14">
        <v>0</v>
      </c>
      <c r="G7" s="14">
        <v>0</v>
      </c>
      <c r="H7" s="15">
        <f>D7+F7+'04-30-20'!H7</f>
        <v>14719.07</v>
      </c>
      <c r="I7" s="15">
        <f>E7+G7+'04-30-20'!I7</f>
        <v>235.3</v>
      </c>
      <c r="J7" s="15">
        <f t="shared" si="1"/>
        <v>14954.369999999999</v>
      </c>
      <c r="K7" s="14">
        <f t="shared" si="2"/>
        <v>3019.630000000001</v>
      </c>
      <c r="L7" s="15">
        <f t="shared" si="0"/>
        <v>1022.636434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f>379.06+886.97</f>
        <v>1266.03</v>
      </c>
      <c r="E8" s="14">
        <f>6.06+14.19</f>
        <v>20.25</v>
      </c>
      <c r="F8" s="14">
        <v>0</v>
      </c>
      <c r="G8" s="14">
        <v>0</v>
      </c>
      <c r="H8" s="15">
        <f>D8+F8+'04-30-20'!H8</f>
        <v>12621.810000000003</v>
      </c>
      <c r="I8" s="15">
        <f>E8+G8+'04-30-20'!I8</f>
        <v>201.81</v>
      </c>
      <c r="J8" s="15">
        <f t="shared" si="1"/>
        <v>12823.620000000003</v>
      </c>
      <c r="K8" s="14">
        <f t="shared" si="2"/>
        <v>11506.379999999997</v>
      </c>
      <c r="L8" s="15">
        <f t="shared" si="0"/>
        <v>9793.9249361739094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f>69+700.39</f>
        <v>769.39</v>
      </c>
      <c r="E9" s="14">
        <f>1.1+11.2</f>
        <v>12.299999999999999</v>
      </c>
      <c r="F9" s="14">
        <v>720</v>
      </c>
      <c r="G9" s="14">
        <v>41.04</v>
      </c>
      <c r="H9" s="15">
        <f>D9+F9+'04-30-20'!H9</f>
        <v>22007.040000000001</v>
      </c>
      <c r="I9" s="15">
        <f>E9+G9+'04-30-20'!I9</f>
        <v>583.92999999999995</v>
      </c>
      <c r="J9" s="15">
        <f t="shared" si="1"/>
        <v>22590.97</v>
      </c>
      <c r="K9" s="14">
        <f t="shared" si="2"/>
        <v>11409.029999999999</v>
      </c>
      <c r="L9" s="15">
        <f t="shared" si="0"/>
        <v>8392.251510521739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v>42741</v>
      </c>
      <c r="D10" s="14">
        <f>328.54+2661.35</f>
        <v>2989.89</v>
      </c>
      <c r="E10" s="14">
        <f>5.25+42.58</f>
        <v>47.83</v>
      </c>
      <c r="F10" s="14">
        <v>0</v>
      </c>
      <c r="G10" s="14">
        <v>0</v>
      </c>
      <c r="H10" s="15">
        <f>D10+F10+'04-30-20'!H10</f>
        <v>47665.969999999994</v>
      </c>
      <c r="I10" s="15">
        <f>E10+G10+'04-30-20'!I10</f>
        <v>781.17000000000007</v>
      </c>
      <c r="J10" s="15">
        <f t="shared" si="1"/>
        <v>48447.139999999992</v>
      </c>
      <c r="K10" s="117">
        <f t="shared" si="2"/>
        <v>-5706.1399999999921</v>
      </c>
      <c r="L10" s="15">
        <f t="shared" si="0"/>
        <v>-12175.728947652162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f>741.02+1527.72</f>
        <v>2268.7399999999998</v>
      </c>
      <c r="E11" s="14">
        <f>11.85+24.44</f>
        <v>36.29</v>
      </c>
      <c r="F11" s="14">
        <v>0</v>
      </c>
      <c r="G11" s="14">
        <v>0</v>
      </c>
      <c r="H11" s="15">
        <f>D11+F11+'04-30-20'!H11</f>
        <v>13947.160000000002</v>
      </c>
      <c r="I11" s="15">
        <f>E11+G11+'04-30-20'!I11</f>
        <v>298.74</v>
      </c>
      <c r="J11" s="15">
        <f t="shared" si="1"/>
        <v>14245.900000000001</v>
      </c>
      <c r="K11" s="14">
        <f t="shared" si="2"/>
        <v>8927.0999999999985</v>
      </c>
      <c r="L11" s="15">
        <f t="shared" si="0"/>
        <v>7024.7149017391275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f>621</f>
        <v>621</v>
      </c>
      <c r="E12" s="14">
        <f>9.93</f>
        <v>9.93</v>
      </c>
      <c r="F12" s="14">
        <v>0</v>
      </c>
      <c r="G12" s="14">
        <v>0</v>
      </c>
      <c r="H12" s="15">
        <f>D12+F12+'04-30-20'!H12</f>
        <v>3702.6000000000004</v>
      </c>
      <c r="I12" s="15">
        <f>E12+G12+'04-30-20'!I12</f>
        <v>59.07</v>
      </c>
      <c r="J12" s="15">
        <f t="shared" si="1"/>
        <v>3761.6700000000005</v>
      </c>
      <c r="K12" s="14">
        <f t="shared" si="2"/>
        <v>2238.3299999999995</v>
      </c>
      <c r="L12" s="15">
        <f t="shared" si="0"/>
        <v>1735.9998592173906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197710.95</v>
      </c>
      <c r="D13" s="15">
        <f t="shared" si="3"/>
        <v>12285.31</v>
      </c>
      <c r="E13" s="15">
        <f t="shared" si="3"/>
        <v>177.66</v>
      </c>
      <c r="F13" s="15">
        <f t="shared" si="3"/>
        <v>720</v>
      </c>
      <c r="G13" s="15">
        <f t="shared" si="3"/>
        <v>41.04</v>
      </c>
      <c r="H13" s="15">
        <f t="shared" si="3"/>
        <v>142289.74000000002</v>
      </c>
      <c r="I13" s="15">
        <f t="shared" si="3"/>
        <v>2706.11</v>
      </c>
      <c r="J13" s="14">
        <f t="shared" si="3"/>
        <v>144995.85</v>
      </c>
      <c r="K13" s="14">
        <f t="shared" si="3"/>
        <v>52715.100000000006</v>
      </c>
      <c r="L13" s="15">
        <f t="shared" si="3"/>
        <v>33352.480274347836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205.44</v>
      </c>
      <c r="E16" s="14">
        <v>3.28</v>
      </c>
      <c r="F16" s="14">
        <v>0</v>
      </c>
      <c r="G16" s="14">
        <v>0</v>
      </c>
      <c r="H16" s="15">
        <f>D16+F16+'04-30-20'!H16</f>
        <v>1410.26</v>
      </c>
      <c r="I16" s="15">
        <f>E16+G16+'04-30-20'!I16</f>
        <v>22.53</v>
      </c>
      <c r="J16" s="15">
        <f>H16+I16</f>
        <v>1432.79</v>
      </c>
      <c r="K16" s="14">
        <f>C16-J16</f>
        <v>25490.21</v>
      </c>
      <c r="L16" s="15">
        <f t="shared" ref="L16:L18" si="4">C16-((J16/23)*26.0714)</f>
        <v>25298.876469304349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0</v>
      </c>
      <c r="E17" s="15">
        <v>0</v>
      </c>
      <c r="F17" s="14">
        <v>0</v>
      </c>
      <c r="G17" s="14">
        <v>0</v>
      </c>
      <c r="H17" s="15">
        <f>D17+F17+'04-30-20'!H17</f>
        <v>4470.76</v>
      </c>
      <c r="I17" s="15">
        <f>E17+G17+'04-30-20'!I17</f>
        <v>88.56</v>
      </c>
      <c r="J17" s="15">
        <f>H17+I17</f>
        <v>4559.3200000000006</v>
      </c>
      <c r="K17" s="14">
        <f>C17-J17</f>
        <v>11502.68</v>
      </c>
      <c r="L17" s="15">
        <f t="shared" si="4"/>
        <v>10893.832371826087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D18+F18+'04-30-20'!H18</f>
        <v>1206.3699999999997</v>
      </c>
      <c r="I18" s="15">
        <f>E18+G18+'04-30-20'!I18</f>
        <v>19.21</v>
      </c>
      <c r="J18" s="15">
        <f>H18+I18</f>
        <v>1225.5799999999997</v>
      </c>
      <c r="K18" s="14">
        <f>C18-J18</f>
        <v>800.4200000000003</v>
      </c>
      <c r="L18" s="15">
        <f t="shared" si="4"/>
        <v>636.75711252173937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205.44</v>
      </c>
      <c r="E19" s="15">
        <f t="shared" si="5"/>
        <v>3.28</v>
      </c>
      <c r="F19" s="15">
        <f t="shared" si="5"/>
        <v>0</v>
      </c>
      <c r="G19" s="15">
        <f t="shared" si="5"/>
        <v>0</v>
      </c>
      <c r="H19" s="15">
        <f t="shared" si="5"/>
        <v>7087.39</v>
      </c>
      <c r="I19" s="15">
        <f t="shared" si="5"/>
        <v>130.30000000000001</v>
      </c>
      <c r="J19" s="14">
        <f t="shared" si="5"/>
        <v>7217.6900000000005</v>
      </c>
      <c r="K19" s="15">
        <f t="shared" si="5"/>
        <v>37793.31</v>
      </c>
      <c r="L19" s="15">
        <f t="shared" si="5"/>
        <v>36829.465953652172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1125</v>
      </c>
      <c r="E23" s="14">
        <v>18</v>
      </c>
      <c r="F23" s="14">
        <v>0</v>
      </c>
      <c r="G23" s="14">
        <v>0</v>
      </c>
      <c r="H23" s="15">
        <f>D23+F23+'04-30-20'!H23</f>
        <v>14670</v>
      </c>
      <c r="I23" s="15">
        <f>E23+G23+'04-30-20'!I23</f>
        <v>234.71</v>
      </c>
      <c r="J23" s="15">
        <f t="shared" si="7"/>
        <v>14904.71</v>
      </c>
      <c r="K23" s="14">
        <f t="shared" si="8"/>
        <v>12683.690000000002</v>
      </c>
      <c r="L23" s="15">
        <f t="shared" ref="L23:L25" si="10">C23-((J23/23)*26.0714)</f>
        <v>10693.327987217392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348.58</v>
      </c>
      <c r="E24" s="48">
        <v>5.57</v>
      </c>
      <c r="F24" s="48">
        <v>0</v>
      </c>
      <c r="G24" s="48">
        <v>0</v>
      </c>
      <c r="H24" s="15">
        <f>D24+F24+'04-30-20'!H24</f>
        <v>9469.74</v>
      </c>
      <c r="I24" s="15">
        <f>E24+G24+'04-30-20'!I24</f>
        <v>173.24999999999997</v>
      </c>
      <c r="J24" s="15">
        <f t="shared" si="7"/>
        <v>9642.99</v>
      </c>
      <c r="K24" s="14">
        <f t="shared" si="8"/>
        <v>4857.01</v>
      </c>
      <c r="L24" s="15">
        <f t="shared" si="10"/>
        <v>3569.2935006086955</v>
      </c>
    </row>
    <row r="25" spans="1:13" s="43" customFormat="1" ht="10.9" customHeight="1" x14ac:dyDescent="0.25">
      <c r="A25" s="162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D25+F25+'04-30-20'!H25</f>
        <v>1968</v>
      </c>
      <c r="I25" s="15">
        <f>E25+G25+'04-30-20'!I25</f>
        <v>112.12</v>
      </c>
      <c r="J25" s="15">
        <f>H25+I25</f>
        <v>2080.12</v>
      </c>
      <c r="K25" s="14">
        <f>C25-J25</f>
        <v>3191.41</v>
      </c>
      <c r="L25" s="15">
        <f t="shared" si="10"/>
        <v>2913.632584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1473.58</v>
      </c>
      <c r="E26" s="49">
        <f t="shared" si="11"/>
        <v>23.57</v>
      </c>
      <c r="F26" s="49">
        <f t="shared" si="11"/>
        <v>0</v>
      </c>
      <c r="G26" s="49">
        <f t="shared" si="11"/>
        <v>0</v>
      </c>
      <c r="H26" s="49">
        <f t="shared" si="11"/>
        <v>26107.739999999998</v>
      </c>
      <c r="I26" s="49">
        <f t="shared" si="11"/>
        <v>520.07999999999993</v>
      </c>
      <c r="J26" s="49">
        <f t="shared" si="11"/>
        <v>26627.819999999996</v>
      </c>
      <c r="K26" s="49">
        <f t="shared" si="11"/>
        <v>20732.110000000004</v>
      </c>
      <c r="L26" s="50">
        <f>SUM(L23:L25)</f>
        <v>17176.254071826086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284810.35000000003</v>
      </c>
      <c r="D29" s="50">
        <f t="shared" si="12"/>
        <v>13964.33</v>
      </c>
      <c r="E29" s="50">
        <f t="shared" si="12"/>
        <v>204.51</v>
      </c>
      <c r="F29" s="50">
        <f t="shared" si="12"/>
        <v>720</v>
      </c>
      <c r="G29" s="50">
        <f t="shared" si="12"/>
        <v>41.04</v>
      </c>
      <c r="H29" s="50">
        <f t="shared" si="12"/>
        <v>175484.87000000002</v>
      </c>
      <c r="I29" s="50">
        <f t="shared" si="12"/>
        <v>3356.4900000000002</v>
      </c>
      <c r="J29" s="50">
        <f t="shared" si="12"/>
        <v>178841.36000000002</v>
      </c>
      <c r="K29" s="50">
        <f t="shared" si="12"/>
        <v>111240.52</v>
      </c>
      <c r="L29" s="50">
        <f t="shared" si="12"/>
        <v>87358.200299826101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62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D32+F32+'04-30-20'!H32</f>
        <v>0</v>
      </c>
      <c r="I32" s="15">
        <f>E32+G32+'04-30-20'!I32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C32-((J32/23)*26.0714)</f>
        <v>600.30999999999995</v>
      </c>
    </row>
    <row r="33" spans="1:13" s="24" customFormat="1" ht="11.25" hidden="1" customHeight="1" x14ac:dyDescent="0.25">
      <c r="A33" s="160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D33+F33+'04-30-20'!H33</f>
        <v>0</v>
      </c>
      <c r="I33" s="15">
        <f>E33+G33+'04-30-20'!I33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60" t="s">
        <v>90</v>
      </c>
      <c r="B34" s="151" t="s">
        <v>104</v>
      </c>
      <c r="C34" s="14">
        <v>12000</v>
      </c>
      <c r="D34" s="14">
        <v>500</v>
      </c>
      <c r="E34" s="14">
        <v>8</v>
      </c>
      <c r="F34" s="14">
        <v>0</v>
      </c>
      <c r="G34" s="14">
        <v>0</v>
      </c>
      <c r="H34" s="15">
        <f>D34+F34+'04-30-20'!H34</f>
        <v>7127.74</v>
      </c>
      <c r="I34" s="15">
        <f>E34+G34+'04-30-20'!I34</f>
        <v>308.07999999999993</v>
      </c>
      <c r="J34" s="14">
        <f t="shared" si="13"/>
        <v>7435.82</v>
      </c>
      <c r="K34" s="14">
        <f>C34-J34</f>
        <v>4564.18</v>
      </c>
      <c r="L34" s="15">
        <f t="shared" si="15"/>
        <v>3571.2070631304359</v>
      </c>
      <c r="M34" s="44"/>
    </row>
    <row r="35" spans="1:13" s="24" customFormat="1" ht="11.25" customHeight="1" x14ac:dyDescent="0.25">
      <c r="A35" s="162" t="s">
        <v>61</v>
      </c>
      <c r="B35" s="93" t="s">
        <v>63</v>
      </c>
      <c r="C35" s="15">
        <v>765.34</v>
      </c>
      <c r="D35" s="15">
        <v>0</v>
      </c>
      <c r="E35" s="15">
        <v>0</v>
      </c>
      <c r="F35" s="15">
        <v>0</v>
      </c>
      <c r="G35" s="15">
        <v>0</v>
      </c>
      <c r="H35" s="15">
        <f>D35+F35+'04-30-20'!H35</f>
        <v>277.20000000000005</v>
      </c>
      <c r="I35" s="15">
        <f>E35+G35+'04-30-20'!I35</f>
        <v>15.79</v>
      </c>
      <c r="J35" s="15">
        <f t="shared" si="13"/>
        <v>292.99000000000007</v>
      </c>
      <c r="K35" s="15">
        <f t="shared" si="14"/>
        <v>472.34999999999997</v>
      </c>
      <c r="L35" s="15">
        <f t="shared" si="15"/>
        <v>433.22437017391297</v>
      </c>
    </row>
    <row r="36" spans="1:13" s="24" customFormat="1" ht="11.25" customHeight="1" x14ac:dyDescent="0.25">
      <c r="A36" s="162" t="s">
        <v>68</v>
      </c>
      <c r="B36" s="93" t="s">
        <v>66</v>
      </c>
      <c r="C36" s="15">
        <v>6353.85</v>
      </c>
      <c r="D36" s="15">
        <f>179.07+420.2</f>
        <v>599.27</v>
      </c>
      <c r="E36" s="15">
        <f>2.86+6.72</f>
        <v>9.58</v>
      </c>
      <c r="F36" s="15">
        <v>0</v>
      </c>
      <c r="G36" s="15">
        <v>0</v>
      </c>
      <c r="H36" s="15">
        <f>D36+F36+'04-30-20'!H36</f>
        <v>5897.82</v>
      </c>
      <c r="I36" s="15">
        <f>E36+G36+'04-30-20'!I36</f>
        <v>94.250000000000014</v>
      </c>
      <c r="J36" s="15">
        <f t="shared" si="13"/>
        <v>5992.07</v>
      </c>
      <c r="K36" s="15">
        <f t="shared" si="14"/>
        <v>361.78000000000065</v>
      </c>
      <c r="L36" s="15">
        <f t="shared" si="15"/>
        <v>-438.39581730434747</v>
      </c>
      <c r="M36" s="25"/>
    </row>
    <row r="37" spans="1:13" s="24" customFormat="1" ht="11.25" customHeight="1" x14ac:dyDescent="0.25">
      <c r="A37" s="162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D37+F37+'04-30-20'!H37</f>
        <v>0</v>
      </c>
      <c r="I37" s="15">
        <f>E37+G37+'04-30-20'!I37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62" t="s">
        <v>36</v>
      </c>
      <c r="B38" s="151" t="s">
        <v>103</v>
      </c>
      <c r="C38" s="95">
        <f>2043+1613.34</f>
        <v>3656.34</v>
      </c>
      <c r="D38" s="14">
        <v>0</v>
      </c>
      <c r="E38" s="14">
        <v>0</v>
      </c>
      <c r="F38" s="14">
        <v>0</v>
      </c>
      <c r="G38" s="14">
        <v>0</v>
      </c>
      <c r="H38" s="15">
        <f>D38+F38+'04-30-20'!H38</f>
        <v>3708.53</v>
      </c>
      <c r="I38" s="15">
        <f>E38+G38+'04-30-20'!I38</f>
        <v>169.95000000000002</v>
      </c>
      <c r="J38" s="15">
        <f t="shared" si="13"/>
        <v>3878.48</v>
      </c>
      <c r="K38" s="117">
        <f t="shared" si="14"/>
        <v>-222.13999999999987</v>
      </c>
      <c r="L38" s="15">
        <f t="shared" si="15"/>
        <v>-740.06884660869582</v>
      </c>
    </row>
    <row r="39" spans="1:13" s="25" customFormat="1" ht="11.45" customHeight="1" x14ac:dyDescent="0.25">
      <c r="A39" s="163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D39+F39+'04-30-20'!H39</f>
        <v>2324.0699999999997</v>
      </c>
      <c r="I39" s="15">
        <f>E39+G39+'04-30-20'!I39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73.464734434782713</v>
      </c>
    </row>
    <row r="40" spans="1:13" s="25" customFormat="1" ht="11.45" customHeight="1" x14ac:dyDescent="0.25">
      <c r="A40" s="163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D40+F40+'04-30-20'!H40</f>
        <v>5628.75</v>
      </c>
      <c r="I40" s="15">
        <f>E40+G40+'04-30-20'!I40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5884.4164208695638</v>
      </c>
    </row>
    <row r="41" spans="1:13" s="25" customFormat="1" ht="11.45" customHeight="1" x14ac:dyDescent="0.25">
      <c r="A41" s="161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1200</v>
      </c>
      <c r="G41" s="15">
        <v>68.400000000000006</v>
      </c>
      <c r="H41" s="15">
        <f>D41+F41+'04-30-20'!H41</f>
        <v>11309.4</v>
      </c>
      <c r="I41" s="15">
        <f>E41+G41+'04-30-20'!I41</f>
        <v>644.59999999999991</v>
      </c>
      <c r="J41" s="15">
        <f>H41+I41</f>
        <v>11954</v>
      </c>
      <c r="K41" s="14">
        <f>C41-J41</f>
        <v>3266</v>
      </c>
      <c r="L41" s="15">
        <f t="shared" si="15"/>
        <v>1669.6732347826073</v>
      </c>
    </row>
    <row r="42" spans="1:13" ht="21.6" customHeight="1" x14ac:dyDescent="0.25">
      <c r="A42" s="206" t="s">
        <v>27</v>
      </c>
      <c r="B42" s="207"/>
      <c r="C42" s="15">
        <f>SUM(C32:C41)</f>
        <v>56371.74</v>
      </c>
      <c r="D42" s="15">
        <f>SUM(D32:D41)</f>
        <v>1099.27</v>
      </c>
      <c r="E42" s="15">
        <f>SUM(E32:E41)</f>
        <v>17.579999999999998</v>
      </c>
      <c r="F42" s="15">
        <f>SUM(F32:F41)</f>
        <v>1200</v>
      </c>
      <c r="G42" s="15">
        <f>SUM(G32:G41)</f>
        <v>68.400000000000006</v>
      </c>
      <c r="H42" s="15">
        <f>SUM(H32, H33:H41)</f>
        <v>36273.509999999995</v>
      </c>
      <c r="I42" s="15">
        <f>SUM(I32, I33:I41)</f>
        <v>1359.87</v>
      </c>
      <c r="J42" s="15">
        <f>SUM(J32, J33:J41)</f>
        <v>37633.380000000005</v>
      </c>
      <c r="K42" s="15">
        <f>SUM(K32, K33:K41)</f>
        <v>18738.36</v>
      </c>
      <c r="L42" s="15">
        <f>SUM(L32, L33:L41)</f>
        <v>13712.831159478259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f>385.2+1216.7</f>
        <v>1601.9</v>
      </c>
      <c r="E45" s="14">
        <f>6.16+19.46</f>
        <v>25.62</v>
      </c>
      <c r="F45" s="14">
        <v>330</v>
      </c>
      <c r="G45" s="14">
        <v>18.809999999999999</v>
      </c>
      <c r="H45" s="15">
        <f>D45+F45+'04-30-20'!H45</f>
        <v>39117.96</v>
      </c>
      <c r="I45" s="15">
        <f>E45+G45+'04-30-20'!I45</f>
        <v>1237.74</v>
      </c>
      <c r="J45" s="15">
        <f>H45+I45</f>
        <v>40355.699999999997</v>
      </c>
      <c r="K45" s="14">
        <f>C45-J45</f>
        <v>22227.300000000003</v>
      </c>
      <c r="L45" s="15">
        <f>C45-((J45/23)*26.0714)</f>
        <v>16838.234913913046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1601.9</v>
      </c>
      <c r="E46" s="59">
        <f t="shared" si="16"/>
        <v>25.62</v>
      </c>
      <c r="F46" s="59">
        <f t="shared" si="16"/>
        <v>330</v>
      </c>
      <c r="G46" s="59">
        <f t="shared" si="16"/>
        <v>18.809999999999999</v>
      </c>
      <c r="H46" s="59">
        <f t="shared" si="16"/>
        <v>39117.96</v>
      </c>
      <c r="I46" s="59">
        <f t="shared" si="16"/>
        <v>1237.74</v>
      </c>
      <c r="J46" s="59">
        <f t="shared" si="16"/>
        <v>40355.699999999997</v>
      </c>
      <c r="K46" s="59">
        <f t="shared" si="16"/>
        <v>22227.300000000003</v>
      </c>
      <c r="L46" s="59">
        <f t="shared" si="16"/>
        <v>16838.234913913046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438.6</v>
      </c>
      <c r="G49" s="14">
        <v>25</v>
      </c>
      <c r="H49" s="15">
        <f>D49+F49+'04-30-20'!H49</f>
        <v>8846.1299999999992</v>
      </c>
      <c r="I49" s="15">
        <f>E49+G49+'04-30-20'!I49</f>
        <v>504.13000000000017</v>
      </c>
      <c r="J49" s="15">
        <f>H49+I49</f>
        <v>9350.26</v>
      </c>
      <c r="K49" s="14">
        <f>C49-J49</f>
        <v>53385.74</v>
      </c>
      <c r="L49" s="15">
        <f>C49-((J49/23)*26.0714)</f>
        <v>52137.114410260867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438.6</v>
      </c>
      <c r="G50" s="15">
        <f t="shared" si="17"/>
        <v>25</v>
      </c>
      <c r="H50" s="15">
        <f t="shared" si="17"/>
        <v>8846.1299999999992</v>
      </c>
      <c r="I50" s="15">
        <f t="shared" si="17"/>
        <v>504.13000000000017</v>
      </c>
      <c r="J50" s="15">
        <f t="shared" si="17"/>
        <v>9350.26</v>
      </c>
      <c r="K50" s="15">
        <f t="shared" si="17"/>
        <v>53385.74</v>
      </c>
      <c r="L50" s="15">
        <f t="shared" si="17"/>
        <v>52137.114410260867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51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55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57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57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58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60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97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98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5"/>
      <c r="B71" s="5"/>
      <c r="M71" s="5"/>
    </row>
    <row r="72" spans="1:13" s="26" customFormat="1" ht="10.5" customHeight="1" x14ac:dyDescent="0.25">
      <c r="A72" s="5"/>
      <c r="B72" s="5"/>
      <c r="M72" s="5"/>
    </row>
    <row r="73" spans="1:13" s="26" customFormat="1" ht="10.5" customHeight="1" x14ac:dyDescent="0.25">
      <c r="A73" s="5"/>
      <c r="B73" s="5"/>
      <c r="M73" s="5"/>
    </row>
    <row r="74" spans="1:13" s="26" customFormat="1" ht="10.5" customHeight="1" x14ac:dyDescent="0.25">
      <c r="A74" s="5"/>
      <c r="B74" s="5"/>
      <c r="M74" s="5"/>
    </row>
    <row r="75" spans="1:13" s="26" customFormat="1" ht="10.5" customHeight="1" x14ac:dyDescent="0.25">
      <c r="A75" s="5"/>
      <c r="B75" s="5"/>
      <c r="M75" s="5"/>
    </row>
  </sheetData>
  <mergeCells count="25">
    <mergeCell ref="A50:B50"/>
    <mergeCell ref="A13:B13"/>
    <mergeCell ref="A19:B19"/>
    <mergeCell ref="A26:B26"/>
    <mergeCell ref="A29:B29"/>
    <mergeCell ref="A42:B42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70:F70"/>
    <mergeCell ref="A64:F64"/>
    <mergeCell ref="A65:F65"/>
    <mergeCell ref="A66:F66"/>
    <mergeCell ref="A67:F67"/>
    <mergeCell ref="A68:F68"/>
    <mergeCell ref="A69:F69"/>
  </mergeCells>
  <pageMargins left="0.25" right="0" top="0.4" bottom="0" header="0.3" footer="0"/>
  <pageSetup scale="91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zoomScale="115" zoomScaleNormal="115" workbookViewId="0">
      <pane ySplit="2" topLeftCell="A3" activePane="bottomLeft" state="frozen"/>
      <selection pane="bottomLeft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bestFit="1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111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1" customFormat="1" ht="11.25" customHeight="1" x14ac:dyDescent="0.25">
      <c r="A3" s="130" t="s">
        <v>59</v>
      </c>
      <c r="B3" s="13">
        <v>55010300</v>
      </c>
      <c r="C3" s="95">
        <f>2376+2624-2624+800+243.88+200+21.07</f>
        <v>3640.9500000000003</v>
      </c>
      <c r="D3" s="15">
        <v>0</v>
      </c>
      <c r="E3" s="15">
        <v>0</v>
      </c>
      <c r="F3" s="15">
        <v>0</v>
      </c>
      <c r="G3" s="15">
        <v>0</v>
      </c>
      <c r="H3" s="15">
        <f>D3+F3+'05-14-20'!H3</f>
        <v>3483.6000000000004</v>
      </c>
      <c r="I3" s="15">
        <f>E3+G3+'05-14-20'!I3</f>
        <v>157.35</v>
      </c>
      <c r="J3" s="15">
        <f>H3+I3</f>
        <v>3640.9500000000003</v>
      </c>
      <c r="K3" s="15">
        <f>C3-J3</f>
        <v>0</v>
      </c>
      <c r="L3" s="15">
        <f>C3-((J3/24)*26.0714)</f>
        <v>-314.24432625000009</v>
      </c>
    </row>
    <row r="4" spans="1:12" s="18" customFormat="1" ht="11.25" customHeight="1" x14ac:dyDescent="0.25">
      <c r="A4" s="130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D4+F4+'05-14-20'!H4</f>
        <v>0</v>
      </c>
      <c r="I4" s="15">
        <f>E4+G4+'05-14-20'!I4</f>
        <v>0</v>
      </c>
      <c r="J4" s="15">
        <f>H4+I4</f>
        <v>0</v>
      </c>
      <c r="K4" s="15">
        <f>C4-J4</f>
        <v>3229</v>
      </c>
      <c r="L4" s="15">
        <f t="shared" ref="L4:L12" si="0">C4-((J4/24)*26.0714)</f>
        <v>3229</v>
      </c>
    </row>
    <row r="5" spans="1:12" ht="11.25" customHeight="1" x14ac:dyDescent="0.25">
      <c r="A5" s="132" t="s">
        <v>45</v>
      </c>
      <c r="B5" s="20">
        <v>55020200</v>
      </c>
      <c r="C5" s="102">
        <v>24649</v>
      </c>
      <c r="D5" s="21">
        <f>680.45+1592.8</f>
        <v>2273.25</v>
      </c>
      <c r="E5" s="21">
        <f>10.88+25.48</f>
        <v>36.36</v>
      </c>
      <c r="F5" s="21">
        <v>0</v>
      </c>
      <c r="G5" s="21">
        <v>0</v>
      </c>
      <c r="H5" s="15">
        <f>D5+F5+'05-14-20'!H5</f>
        <v>15695.639999999998</v>
      </c>
      <c r="I5" s="15">
        <f>E5+G5+'05-14-20'!I5</f>
        <v>250.07</v>
      </c>
      <c r="J5" s="15">
        <f t="shared" ref="J5:J12" si="1">H5+I5</f>
        <v>15945.709999999997</v>
      </c>
      <c r="K5" s="14">
        <f t="shared" ref="K5:K12" si="2">C5-J5</f>
        <v>8703.2900000000027</v>
      </c>
      <c r="L5" s="15">
        <f t="shared" si="0"/>
        <v>7327.0423460833372</v>
      </c>
    </row>
    <row r="6" spans="1:12" ht="11.25" customHeight="1" x14ac:dyDescent="0.25">
      <c r="A6" s="130" t="s">
        <v>10</v>
      </c>
      <c r="B6" s="13">
        <v>55020300</v>
      </c>
      <c r="C6" s="95">
        <v>17974</v>
      </c>
      <c r="D6" s="14">
        <v>0</v>
      </c>
      <c r="E6" s="14">
        <v>0</v>
      </c>
      <c r="F6" s="14">
        <v>0</v>
      </c>
      <c r="G6" s="14">
        <v>0</v>
      </c>
      <c r="H6" s="15">
        <f>D6+F6+'05-14-20'!H6</f>
        <v>10720.1</v>
      </c>
      <c r="I6" s="15">
        <f>E6+G6+'05-14-20'!I6</f>
        <v>175.03</v>
      </c>
      <c r="J6" s="15">
        <f t="shared" si="1"/>
        <v>10895.130000000001</v>
      </c>
      <c r="K6" s="14">
        <f t="shared" si="2"/>
        <v>7078.869999999999</v>
      </c>
      <c r="L6" s="15">
        <f t="shared" si="0"/>
        <v>6138.5294882499984</v>
      </c>
    </row>
    <row r="7" spans="1:12" ht="11.25" customHeight="1" x14ac:dyDescent="0.25">
      <c r="A7" s="130" t="s">
        <v>11</v>
      </c>
      <c r="B7" s="13">
        <v>55020400</v>
      </c>
      <c r="C7" s="95">
        <v>17974</v>
      </c>
      <c r="D7" s="14">
        <f>3362.81</f>
        <v>3362.81</v>
      </c>
      <c r="E7" s="14">
        <f>53.79</f>
        <v>53.79</v>
      </c>
      <c r="F7" s="14">
        <v>0</v>
      </c>
      <c r="G7" s="14">
        <v>0</v>
      </c>
      <c r="H7" s="15">
        <f>D7+F7+'05-14-20'!H7</f>
        <v>18081.88</v>
      </c>
      <c r="I7" s="15">
        <f>E7+G7+'05-14-20'!I7</f>
        <v>289.09000000000003</v>
      </c>
      <c r="J7" s="15">
        <f t="shared" si="1"/>
        <v>18370.97</v>
      </c>
      <c r="K7" s="117">
        <f t="shared" si="2"/>
        <v>-396.97000000000116</v>
      </c>
      <c r="L7" s="15">
        <f t="shared" si="0"/>
        <v>-1982.5378024166675</v>
      </c>
    </row>
    <row r="8" spans="1:12" ht="11.25" customHeight="1" x14ac:dyDescent="0.25">
      <c r="A8" s="131" t="s">
        <v>46</v>
      </c>
      <c r="B8" s="13">
        <v>55030200</v>
      </c>
      <c r="C8" s="95">
        <v>24330</v>
      </c>
      <c r="D8" s="14">
        <f>152.93+829.2</f>
        <v>982.13000000000011</v>
      </c>
      <c r="E8" s="14">
        <f>2.44+13.26</f>
        <v>15.7</v>
      </c>
      <c r="F8" s="14">
        <v>0</v>
      </c>
      <c r="G8" s="14">
        <v>0</v>
      </c>
      <c r="H8" s="15">
        <f>D8+F8+'05-14-20'!H8</f>
        <v>13603.940000000002</v>
      </c>
      <c r="I8" s="15">
        <f>E8+G8+'05-14-20'!I8</f>
        <v>217.51</v>
      </c>
      <c r="J8" s="15">
        <f t="shared" si="1"/>
        <v>13821.450000000003</v>
      </c>
      <c r="K8" s="14">
        <f t="shared" si="2"/>
        <v>10508.549999999997</v>
      </c>
      <c r="L8" s="15">
        <f t="shared" si="0"/>
        <v>9315.6436862499977</v>
      </c>
    </row>
    <row r="9" spans="1:12" ht="11.25" customHeight="1" x14ac:dyDescent="0.25">
      <c r="A9" s="130" t="s">
        <v>94</v>
      </c>
      <c r="B9" s="13">
        <v>55050200</v>
      </c>
      <c r="C9" s="95">
        <v>34000</v>
      </c>
      <c r="D9" s="14">
        <v>627.58000000000004</v>
      </c>
      <c r="E9" s="14">
        <v>10.039999999999999</v>
      </c>
      <c r="F9" s="14">
        <v>720</v>
      </c>
      <c r="G9" s="14">
        <v>41.04</v>
      </c>
      <c r="H9" s="15">
        <f>D9+F9+'05-14-20'!H9</f>
        <v>23354.620000000003</v>
      </c>
      <c r="I9" s="15">
        <f>E9+G9+'05-14-20'!I9</f>
        <v>635.01</v>
      </c>
      <c r="J9" s="15">
        <f t="shared" si="1"/>
        <v>23989.63</v>
      </c>
      <c r="K9" s="14">
        <f t="shared" si="2"/>
        <v>10010.369999999999</v>
      </c>
      <c r="L9" s="15">
        <f t="shared" si="0"/>
        <v>7939.8650174166651</v>
      </c>
    </row>
    <row r="10" spans="1:12" s="25" customFormat="1" ht="11.25" customHeight="1" x14ac:dyDescent="0.25">
      <c r="A10" s="130" t="s">
        <v>12</v>
      </c>
      <c r="B10" s="13">
        <v>55070100</v>
      </c>
      <c r="C10" s="95">
        <f>42741+3200+4000+1800</f>
        <v>51741</v>
      </c>
      <c r="D10" s="14">
        <f>379.47+1052.04</f>
        <v>1431.51</v>
      </c>
      <c r="E10" s="14">
        <f>6.08+16.83</f>
        <v>22.909999999999997</v>
      </c>
      <c r="F10" s="14">
        <v>0</v>
      </c>
      <c r="G10" s="14">
        <v>0</v>
      </c>
      <c r="H10" s="15">
        <f>D10+F10+'05-14-20'!H10</f>
        <v>49097.479999999996</v>
      </c>
      <c r="I10" s="15">
        <f>E10+G10+'05-14-20'!I10</f>
        <v>804.08</v>
      </c>
      <c r="J10" s="15">
        <f t="shared" si="1"/>
        <v>49901.56</v>
      </c>
      <c r="K10" s="14">
        <f t="shared" si="2"/>
        <v>1839.4400000000023</v>
      </c>
      <c r="L10" s="15">
        <f t="shared" si="0"/>
        <v>-2467.4804743333298</v>
      </c>
    </row>
    <row r="11" spans="1:12" ht="11.25" customHeight="1" x14ac:dyDescent="0.25">
      <c r="A11" s="130" t="s">
        <v>13</v>
      </c>
      <c r="B11" s="13">
        <v>55080100</v>
      </c>
      <c r="C11" s="95">
        <v>23173</v>
      </c>
      <c r="D11" s="14">
        <v>1361.21</v>
      </c>
      <c r="E11" s="14">
        <v>21.77</v>
      </c>
      <c r="F11" s="14">
        <v>0</v>
      </c>
      <c r="G11" s="14">
        <v>0</v>
      </c>
      <c r="H11" s="15">
        <f>D11+F11+'05-14-20'!H11</f>
        <v>15308.370000000003</v>
      </c>
      <c r="I11" s="15">
        <f>E11+G11+'05-14-20'!I11</f>
        <v>320.51</v>
      </c>
      <c r="J11" s="15">
        <f t="shared" si="1"/>
        <v>15628.880000000003</v>
      </c>
      <c r="K11" s="14">
        <f t="shared" si="2"/>
        <v>7544.1199999999972</v>
      </c>
      <c r="L11" s="15">
        <f t="shared" si="0"/>
        <v>6195.217415333329</v>
      </c>
    </row>
    <row r="12" spans="1:12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D12+F12+'05-14-20'!H12</f>
        <v>3702.6000000000004</v>
      </c>
      <c r="I12" s="15">
        <f>E12+G12+'05-14-20'!I12</f>
        <v>59.07</v>
      </c>
      <c r="J12" s="15">
        <f t="shared" si="1"/>
        <v>3761.6700000000005</v>
      </c>
      <c r="K12" s="14">
        <f t="shared" si="2"/>
        <v>2238.3299999999995</v>
      </c>
      <c r="L12" s="15">
        <f t="shared" si="0"/>
        <v>1913.6665317499996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206710.95</v>
      </c>
      <c r="D13" s="15">
        <f t="shared" si="3"/>
        <v>10038.489999999998</v>
      </c>
      <c r="E13" s="15">
        <f t="shared" si="3"/>
        <v>160.57000000000002</v>
      </c>
      <c r="F13" s="15">
        <f t="shared" si="3"/>
        <v>720</v>
      </c>
      <c r="G13" s="15">
        <f t="shared" si="3"/>
        <v>41.04</v>
      </c>
      <c r="H13" s="15">
        <f t="shared" si="3"/>
        <v>153048.23000000001</v>
      </c>
      <c r="I13" s="15">
        <f t="shared" si="3"/>
        <v>2907.72</v>
      </c>
      <c r="J13" s="14">
        <f t="shared" si="3"/>
        <v>155955.95000000001</v>
      </c>
      <c r="K13" s="14">
        <f t="shared" si="3"/>
        <v>50755</v>
      </c>
      <c r="L13" s="15">
        <f t="shared" si="3"/>
        <v>37294.701882083333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ht="11.45" customHeight="1" x14ac:dyDescent="0.25">
      <c r="A16" s="129" t="s">
        <v>15</v>
      </c>
      <c r="B16" s="41">
        <v>55090100</v>
      </c>
      <c r="C16" s="95">
        <v>26923</v>
      </c>
      <c r="D16" s="14">
        <v>222.56</v>
      </c>
      <c r="E16" s="14">
        <v>3.56</v>
      </c>
      <c r="F16" s="14">
        <v>0</v>
      </c>
      <c r="G16" s="14">
        <v>0</v>
      </c>
      <c r="H16" s="15">
        <f>D16+F16+'05-14-20'!H16</f>
        <v>1632.82</v>
      </c>
      <c r="I16" s="15">
        <f>E16+G16+'05-14-20'!I16</f>
        <v>26.09</v>
      </c>
      <c r="J16" s="15">
        <f>H16+I16</f>
        <v>1658.9099999999999</v>
      </c>
      <c r="K16" s="14">
        <f>C16-J16</f>
        <v>25264.09</v>
      </c>
      <c r="L16" s="15">
        <f t="shared" ref="L16:L18" si="4">C16-((J16/24)*26.0714)</f>
        <v>25120.912242750001</v>
      </c>
    </row>
    <row r="17" spans="1:13" ht="11.45" customHeight="1" x14ac:dyDescent="0.25">
      <c r="A17" s="130" t="s">
        <v>16</v>
      </c>
      <c r="B17" s="13">
        <v>55160100</v>
      </c>
      <c r="C17" s="95">
        <v>16062</v>
      </c>
      <c r="D17" s="15">
        <v>0</v>
      </c>
      <c r="E17" s="15">
        <v>0</v>
      </c>
      <c r="F17" s="14">
        <v>0</v>
      </c>
      <c r="G17" s="14">
        <v>0</v>
      </c>
      <c r="H17" s="15">
        <f>D17+F17+'05-14-20'!H17</f>
        <v>4470.76</v>
      </c>
      <c r="I17" s="15">
        <f>E17+G17+'05-14-20'!I17</f>
        <v>88.56</v>
      </c>
      <c r="J17" s="15">
        <f>H17+I17</f>
        <v>4559.3200000000006</v>
      </c>
      <c r="K17" s="14">
        <f>C17-J17</f>
        <v>11502.68</v>
      </c>
      <c r="L17" s="15">
        <f t="shared" si="4"/>
        <v>11109.172689666666</v>
      </c>
    </row>
    <row r="18" spans="1:13" ht="11.45" customHeight="1" x14ac:dyDescent="0.25">
      <c r="A18" s="129" t="s">
        <v>17</v>
      </c>
      <c r="B18" s="41">
        <v>55100100</v>
      </c>
      <c r="C18" s="95">
        <v>2026</v>
      </c>
      <c r="D18" s="14">
        <v>57.78</v>
      </c>
      <c r="E18" s="14">
        <v>0.92</v>
      </c>
      <c r="F18" s="14">
        <v>0</v>
      </c>
      <c r="G18" s="14">
        <v>0</v>
      </c>
      <c r="H18" s="15">
        <f>D18+F18+'05-14-20'!H18</f>
        <v>1264.1499999999996</v>
      </c>
      <c r="I18" s="15">
        <f>E18+G18+'05-14-20'!I18</f>
        <v>20.130000000000003</v>
      </c>
      <c r="J18" s="15">
        <f>H18+I18</f>
        <v>1284.2799999999997</v>
      </c>
      <c r="K18" s="14">
        <f>C18-J18</f>
        <v>741.72000000000025</v>
      </c>
      <c r="L18" s="15">
        <f t="shared" si="4"/>
        <v>630.87593366666692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280.34000000000003</v>
      </c>
      <c r="E19" s="15">
        <f t="shared" si="5"/>
        <v>4.4800000000000004</v>
      </c>
      <c r="F19" s="15">
        <f t="shared" si="5"/>
        <v>0</v>
      </c>
      <c r="G19" s="15">
        <f t="shared" si="5"/>
        <v>0</v>
      </c>
      <c r="H19" s="15">
        <f t="shared" si="5"/>
        <v>7367.73</v>
      </c>
      <c r="I19" s="15">
        <f t="shared" si="5"/>
        <v>134.78</v>
      </c>
      <c r="J19" s="14">
        <f t="shared" si="5"/>
        <v>7502.51</v>
      </c>
      <c r="K19" s="15">
        <f t="shared" si="5"/>
        <v>37508.490000000005</v>
      </c>
      <c r="L19" s="15">
        <f t="shared" si="5"/>
        <v>36860.960866083333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43" customFormat="1" ht="11.45" customHeight="1" x14ac:dyDescent="0.25">
      <c r="A23" s="129" t="s">
        <v>93</v>
      </c>
      <c r="B23" s="41">
        <v>55200000</v>
      </c>
      <c r="C23" s="95">
        <f>25000+150+2438.4</f>
        <v>27588.400000000001</v>
      </c>
      <c r="D23" s="14">
        <v>1095</v>
      </c>
      <c r="E23" s="14">
        <v>17.52</v>
      </c>
      <c r="F23" s="14">
        <v>0</v>
      </c>
      <c r="G23" s="14">
        <v>0</v>
      </c>
      <c r="H23" s="15">
        <f>D23+F23+'05-14-20'!H23</f>
        <v>15765</v>
      </c>
      <c r="I23" s="15">
        <f>E23+G23+'05-14-20'!I23</f>
        <v>252.23000000000002</v>
      </c>
      <c r="J23" s="15">
        <f t="shared" si="7"/>
        <v>16017.23</v>
      </c>
      <c r="K23" s="14">
        <f t="shared" si="8"/>
        <v>11571.170000000002</v>
      </c>
      <c r="L23" s="15">
        <f t="shared" ref="L23:L25" si="10">C23-((J23/24)*26.0714)</f>
        <v>10188.749574083333</v>
      </c>
      <c r="M23" s="44"/>
    </row>
    <row r="24" spans="1:13" s="43" customFormat="1" ht="11.45" customHeight="1" x14ac:dyDescent="0.25">
      <c r="A24" s="129" t="s">
        <v>39</v>
      </c>
      <c r="B24" s="76" t="s">
        <v>50</v>
      </c>
      <c r="C24" s="101">
        <v>14500</v>
      </c>
      <c r="D24" s="48">
        <v>279.3</v>
      </c>
      <c r="E24" s="48">
        <v>4.46</v>
      </c>
      <c r="F24" s="48">
        <v>0</v>
      </c>
      <c r="G24" s="48">
        <v>0</v>
      </c>
      <c r="H24" s="15">
        <f>D24+F24+'05-14-20'!H24</f>
        <v>9749.0399999999991</v>
      </c>
      <c r="I24" s="15">
        <f>E24+G24+'05-14-20'!I24</f>
        <v>177.70999999999998</v>
      </c>
      <c r="J24" s="15">
        <f t="shared" si="7"/>
        <v>9926.7499999999982</v>
      </c>
      <c r="K24" s="14">
        <f t="shared" si="8"/>
        <v>4573.2500000000018</v>
      </c>
      <c r="L24" s="15">
        <f t="shared" si="10"/>
        <v>3716.4887520833345</v>
      </c>
    </row>
    <row r="25" spans="1:13" s="43" customFormat="1" ht="10.9" customHeight="1" x14ac:dyDescent="0.25">
      <c r="A25" s="166" t="s">
        <v>40</v>
      </c>
      <c r="B25" s="150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D25+F25+'05-14-20'!H25</f>
        <v>1968</v>
      </c>
      <c r="I25" s="15">
        <f>E25+G25+'05-14-20'!I25</f>
        <v>112.12</v>
      </c>
      <c r="J25" s="15">
        <f>H25+I25</f>
        <v>2080.12</v>
      </c>
      <c r="K25" s="14">
        <f>C25-J25</f>
        <v>3191.41</v>
      </c>
      <c r="L25" s="15">
        <f t="shared" si="10"/>
        <v>3011.8783096666662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1374.3</v>
      </c>
      <c r="E26" s="49">
        <f t="shared" si="11"/>
        <v>21.98</v>
      </c>
      <c r="F26" s="49">
        <f t="shared" si="11"/>
        <v>0</v>
      </c>
      <c r="G26" s="49">
        <f t="shared" si="11"/>
        <v>0</v>
      </c>
      <c r="H26" s="49">
        <f t="shared" si="11"/>
        <v>27482.04</v>
      </c>
      <c r="I26" s="49">
        <f t="shared" si="11"/>
        <v>542.05999999999995</v>
      </c>
      <c r="J26" s="49">
        <f t="shared" si="11"/>
        <v>28024.099999999995</v>
      </c>
      <c r="K26" s="49">
        <f t="shared" si="11"/>
        <v>19335.830000000002</v>
      </c>
      <c r="L26" s="50">
        <f>SUM(L23:L25)</f>
        <v>16917.116635833332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293810.35000000003</v>
      </c>
      <c r="D29" s="50">
        <f t="shared" si="12"/>
        <v>11693.129999999997</v>
      </c>
      <c r="E29" s="50">
        <f t="shared" si="12"/>
        <v>187.03</v>
      </c>
      <c r="F29" s="50">
        <f t="shared" si="12"/>
        <v>720</v>
      </c>
      <c r="G29" s="50">
        <f t="shared" si="12"/>
        <v>41.04</v>
      </c>
      <c r="H29" s="50">
        <f t="shared" si="12"/>
        <v>187898.00000000003</v>
      </c>
      <c r="I29" s="50">
        <f t="shared" si="12"/>
        <v>3584.56</v>
      </c>
      <c r="J29" s="50">
        <f t="shared" si="12"/>
        <v>191482.56000000003</v>
      </c>
      <c r="K29" s="50">
        <f t="shared" si="12"/>
        <v>107599.32</v>
      </c>
      <c r="L29" s="50">
        <f t="shared" si="12"/>
        <v>91072.779383999994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42" customFormat="1" ht="22.5" x14ac:dyDescent="0.25">
      <c r="A32" s="166" t="s">
        <v>37</v>
      </c>
      <c r="B32" s="151" t="s">
        <v>105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D32+F32+'05-14-20'!H32</f>
        <v>0</v>
      </c>
      <c r="I32" s="15">
        <f>E32+G32+'05-14-20'!I32</f>
        <v>0</v>
      </c>
      <c r="J32" s="14">
        <f t="shared" ref="J32:J40" si="13">H32+I32</f>
        <v>0</v>
      </c>
      <c r="K32" s="14">
        <f t="shared" ref="K32:K40" si="14">C32-J32</f>
        <v>600.30999999999995</v>
      </c>
      <c r="L32" s="15">
        <f t="shared" ref="L32:L41" si="15">C32-((J32/24)*26.0714)</f>
        <v>600.30999999999995</v>
      </c>
    </row>
    <row r="33" spans="1:13" s="24" customFormat="1" ht="11.25" hidden="1" customHeight="1" x14ac:dyDescent="0.25">
      <c r="A33" s="164" t="s">
        <v>91</v>
      </c>
      <c r="B33" s="99" t="s">
        <v>66</v>
      </c>
      <c r="C33" s="14">
        <v>0</v>
      </c>
      <c r="D33" s="15"/>
      <c r="E33" s="15"/>
      <c r="F33" s="15"/>
      <c r="G33" s="15"/>
      <c r="H33" s="15">
        <f>D33+F33+'05-14-20'!H33</f>
        <v>0</v>
      </c>
      <c r="I33" s="15">
        <f>E33+G33+'05-14-20'!I33</f>
        <v>0</v>
      </c>
      <c r="J33" s="14">
        <f t="shared" si="13"/>
        <v>0</v>
      </c>
      <c r="K33" s="15">
        <f t="shared" si="14"/>
        <v>0</v>
      </c>
      <c r="L33" s="15">
        <f t="shared" si="15"/>
        <v>0</v>
      </c>
      <c r="M33" s="25"/>
    </row>
    <row r="34" spans="1:13" s="42" customFormat="1" ht="11.25" customHeight="1" x14ac:dyDescent="0.25">
      <c r="A34" s="164" t="s">
        <v>90</v>
      </c>
      <c r="B34" s="151" t="s">
        <v>104</v>
      </c>
      <c r="C34" s="14">
        <v>12000</v>
      </c>
      <c r="D34" s="14">
        <v>500</v>
      </c>
      <c r="E34" s="14">
        <v>8</v>
      </c>
      <c r="F34" s="14">
        <v>0</v>
      </c>
      <c r="G34" s="14">
        <v>0</v>
      </c>
      <c r="H34" s="15">
        <f>D34+F34+'05-14-20'!H34</f>
        <v>7627.74</v>
      </c>
      <c r="I34" s="15">
        <f>E34+G34+'05-14-20'!I34</f>
        <v>316.07999999999993</v>
      </c>
      <c r="J34" s="14">
        <f t="shared" si="13"/>
        <v>7943.82</v>
      </c>
      <c r="K34" s="14">
        <f>C34-J34</f>
        <v>4056.1800000000003</v>
      </c>
      <c r="L34" s="15">
        <f t="shared" si="15"/>
        <v>3370.5621355000003</v>
      </c>
      <c r="M34" s="44"/>
    </row>
    <row r="35" spans="1:13" s="24" customFormat="1" ht="11.25" customHeight="1" x14ac:dyDescent="0.25">
      <c r="A35" s="166" t="s">
        <v>61</v>
      </c>
      <c r="B35" s="93" t="s">
        <v>63</v>
      </c>
      <c r="C35" s="15">
        <f>765.34+6862.01</f>
        <v>7627.35</v>
      </c>
      <c r="D35" s="15">
        <v>0</v>
      </c>
      <c r="E35" s="15">
        <v>0</v>
      </c>
      <c r="F35" s="15">
        <v>0</v>
      </c>
      <c r="G35" s="15">
        <v>0</v>
      </c>
      <c r="H35" s="15">
        <f>D35+F35+'05-14-20'!H35</f>
        <v>277.20000000000005</v>
      </c>
      <c r="I35" s="15">
        <f>E35+G35+'05-14-20'!I35</f>
        <v>15.79</v>
      </c>
      <c r="J35" s="15">
        <f t="shared" si="13"/>
        <v>292.99000000000007</v>
      </c>
      <c r="K35" s="15">
        <f t="shared" si="14"/>
        <v>7334.3600000000006</v>
      </c>
      <c r="L35" s="15">
        <f t="shared" si="15"/>
        <v>7309.0725214166669</v>
      </c>
    </row>
    <row r="36" spans="1:13" s="24" customFormat="1" ht="11.25" customHeight="1" x14ac:dyDescent="0.25">
      <c r="A36" s="166" t="s">
        <v>68</v>
      </c>
      <c r="B36" s="93" t="s">
        <v>66</v>
      </c>
      <c r="C36" s="15">
        <f>6353.85+7155</f>
        <v>13508.85</v>
      </c>
      <c r="D36" s="15">
        <f>407.24+362.9</f>
        <v>770.14</v>
      </c>
      <c r="E36" s="15">
        <f>6.51+5.8</f>
        <v>12.309999999999999</v>
      </c>
      <c r="F36" s="15">
        <v>0</v>
      </c>
      <c r="G36" s="15">
        <v>0</v>
      </c>
      <c r="H36" s="15">
        <f>D36+F36+'05-14-20'!H36</f>
        <v>6667.96</v>
      </c>
      <c r="I36" s="15">
        <f>E36+G36+'05-14-20'!I36</f>
        <v>106.56000000000002</v>
      </c>
      <c r="J36" s="15">
        <f t="shared" si="13"/>
        <v>6774.52</v>
      </c>
      <c r="K36" s="168">
        <f t="shared" si="14"/>
        <v>6734.33</v>
      </c>
      <c r="L36" s="15">
        <f t="shared" si="15"/>
        <v>6149.6324696666661</v>
      </c>
      <c r="M36" s="25"/>
    </row>
    <row r="37" spans="1:13" s="24" customFormat="1" ht="11.25" customHeight="1" x14ac:dyDescent="0.25">
      <c r="A37" s="166" t="s">
        <v>96</v>
      </c>
      <c r="B37" s="93">
        <v>55110000</v>
      </c>
      <c r="C37" s="15">
        <v>2659</v>
      </c>
      <c r="D37" s="15">
        <v>0</v>
      </c>
      <c r="E37" s="15">
        <v>0</v>
      </c>
      <c r="F37" s="15">
        <v>0</v>
      </c>
      <c r="G37" s="15">
        <v>0</v>
      </c>
      <c r="H37" s="15">
        <f>D37+F37+'05-14-20'!H37</f>
        <v>0</v>
      </c>
      <c r="I37" s="15">
        <f>E37+G37+'05-14-20'!I37</f>
        <v>0</v>
      </c>
      <c r="J37" s="15">
        <f t="shared" si="13"/>
        <v>0</v>
      </c>
      <c r="K37" s="15">
        <f t="shared" si="14"/>
        <v>2659</v>
      </c>
      <c r="L37" s="15">
        <f t="shared" si="15"/>
        <v>2659</v>
      </c>
      <c r="M37" s="25"/>
    </row>
    <row r="38" spans="1:13" s="24" customFormat="1" ht="11.45" customHeight="1" x14ac:dyDescent="0.25">
      <c r="A38" s="166" t="s">
        <v>36</v>
      </c>
      <c r="B38" s="151" t="s">
        <v>103</v>
      </c>
      <c r="C38" s="95">
        <f>3656.34+222.14</f>
        <v>3878.48</v>
      </c>
      <c r="D38" s="14">
        <v>0</v>
      </c>
      <c r="E38" s="14">
        <v>0</v>
      </c>
      <c r="F38" s="14">
        <v>0</v>
      </c>
      <c r="G38" s="14">
        <v>0</v>
      </c>
      <c r="H38" s="15">
        <f>D38+F38+'05-14-20'!H38</f>
        <v>3708.53</v>
      </c>
      <c r="I38" s="15">
        <f>E38+G38+'05-14-20'!I38</f>
        <v>169.95000000000002</v>
      </c>
      <c r="J38" s="15">
        <f t="shared" si="13"/>
        <v>3878.48</v>
      </c>
      <c r="K38" s="14">
        <f t="shared" si="14"/>
        <v>0</v>
      </c>
      <c r="L38" s="15">
        <f t="shared" si="15"/>
        <v>-334.74514466666687</v>
      </c>
    </row>
    <row r="39" spans="1:13" s="25" customFormat="1" ht="11.45" customHeight="1" x14ac:dyDescent="0.25">
      <c r="A39" s="167" t="s">
        <v>42</v>
      </c>
      <c r="B39" s="149" t="s">
        <v>101</v>
      </c>
      <c r="C39" s="95">
        <f>900+1850</f>
        <v>2750</v>
      </c>
      <c r="D39" s="14">
        <v>0</v>
      </c>
      <c r="E39" s="14">
        <v>0</v>
      </c>
      <c r="F39" s="14">
        <v>0</v>
      </c>
      <c r="G39" s="14">
        <v>0</v>
      </c>
      <c r="H39" s="15">
        <f>D39+F39+'05-14-20'!H39</f>
        <v>2324.0699999999997</v>
      </c>
      <c r="I39" s="15">
        <f>E39+G39+'05-14-20'!I39</f>
        <v>37.15</v>
      </c>
      <c r="J39" s="15">
        <f t="shared" si="13"/>
        <v>2361.2199999999998</v>
      </c>
      <c r="K39" s="14">
        <f t="shared" si="14"/>
        <v>388.7800000000002</v>
      </c>
      <c r="L39" s="15">
        <f t="shared" si="15"/>
        <v>184.98703716666705</v>
      </c>
    </row>
    <row r="40" spans="1:13" s="25" customFormat="1" ht="11.45" customHeight="1" x14ac:dyDescent="0.25">
      <c r="A40" s="167" t="s">
        <v>48</v>
      </c>
      <c r="B40" s="149" t="s">
        <v>102</v>
      </c>
      <c r="C40" s="95">
        <v>12366.9</v>
      </c>
      <c r="D40" s="15">
        <v>0</v>
      </c>
      <c r="E40" s="15">
        <v>0</v>
      </c>
      <c r="F40" s="15">
        <v>0</v>
      </c>
      <c r="G40" s="15">
        <v>0</v>
      </c>
      <c r="H40" s="15">
        <f>D40+F40+'05-14-20'!H40</f>
        <v>5628.75</v>
      </c>
      <c r="I40" s="15">
        <f>E40+G40+'05-14-20'!I40</f>
        <v>90.05</v>
      </c>
      <c r="J40" s="15">
        <f t="shared" si="13"/>
        <v>5718.8</v>
      </c>
      <c r="K40" s="15">
        <f t="shared" si="14"/>
        <v>6648.0999999999995</v>
      </c>
      <c r="L40" s="15">
        <f t="shared" si="15"/>
        <v>6154.5199033333329</v>
      </c>
    </row>
    <row r="41" spans="1:13" s="25" customFormat="1" ht="11.45" customHeight="1" x14ac:dyDescent="0.25">
      <c r="A41" s="165" t="s">
        <v>26</v>
      </c>
      <c r="B41" s="149" t="s">
        <v>47</v>
      </c>
      <c r="C41" s="66">
        <v>15220</v>
      </c>
      <c r="D41" s="15">
        <v>0</v>
      </c>
      <c r="E41" s="15">
        <v>0</v>
      </c>
      <c r="F41" s="15">
        <v>1080</v>
      </c>
      <c r="G41" s="15">
        <v>61.56</v>
      </c>
      <c r="H41" s="15">
        <f>D41+F41+'05-14-20'!H41</f>
        <v>12389.4</v>
      </c>
      <c r="I41" s="15">
        <f>E41+G41+'05-14-20'!I41</f>
        <v>706.15999999999985</v>
      </c>
      <c r="J41" s="15">
        <f>H41+I41</f>
        <v>13095.56</v>
      </c>
      <c r="K41" s="14">
        <f>C41-J41</f>
        <v>2124.4400000000005</v>
      </c>
      <c r="L41" s="15">
        <f t="shared" si="15"/>
        <v>994.18404233333422</v>
      </c>
    </row>
    <row r="42" spans="1:13" ht="21.6" customHeight="1" x14ac:dyDescent="0.25">
      <c r="A42" s="206" t="s">
        <v>27</v>
      </c>
      <c r="B42" s="207"/>
      <c r="C42" s="15">
        <f>SUM(C32:C41)</f>
        <v>70610.890000000014</v>
      </c>
      <c r="D42" s="15">
        <f>SUM(D32:D41)</f>
        <v>1270.1399999999999</v>
      </c>
      <c r="E42" s="15">
        <f>SUM(E32:E41)</f>
        <v>20.309999999999999</v>
      </c>
      <c r="F42" s="15">
        <f>SUM(F32:F41)</f>
        <v>1080</v>
      </c>
      <c r="G42" s="15">
        <f>SUM(G32:G41)</f>
        <v>61.56</v>
      </c>
      <c r="H42" s="15">
        <f>SUM(H32, H33:H41)</f>
        <v>38623.65</v>
      </c>
      <c r="I42" s="15">
        <f>SUM(I32, I33:I41)</f>
        <v>1441.7399999999998</v>
      </c>
      <c r="J42" s="15">
        <f>SUM(J32, J33:J41)</f>
        <v>40065.39</v>
      </c>
      <c r="K42" s="15">
        <f>SUM(K32, K33:K41)</f>
        <v>30545.5</v>
      </c>
      <c r="L42" s="15">
        <f>SUM(L32, L33:L41)</f>
        <v>27087.522964749998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ht="10.9" customHeight="1" x14ac:dyDescent="0.25">
      <c r="A45" s="130" t="s">
        <v>28</v>
      </c>
      <c r="B45" s="13" t="s">
        <v>29</v>
      </c>
      <c r="C45" s="95">
        <f>61895+688</f>
        <v>62583</v>
      </c>
      <c r="D45" s="14">
        <f>1117.08+1170.4</f>
        <v>2287.48</v>
      </c>
      <c r="E45" s="14">
        <f>17.86+18.72</f>
        <v>36.58</v>
      </c>
      <c r="F45" s="14">
        <v>264</v>
      </c>
      <c r="G45" s="14">
        <v>15.04</v>
      </c>
      <c r="H45" s="15">
        <f>D45+F45+'05-14-20'!H45</f>
        <v>41669.440000000002</v>
      </c>
      <c r="I45" s="15">
        <f>E45+G45+'05-14-20'!I45</f>
        <v>1289.3599999999999</v>
      </c>
      <c r="J45" s="15">
        <f>H45+I45</f>
        <v>42958.8</v>
      </c>
      <c r="K45" s="14">
        <f>C45-J45</f>
        <v>19624.199999999997</v>
      </c>
      <c r="L45" s="15">
        <f>C45-((J45/24)*26.0714)</f>
        <v>15916.49757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2287.48</v>
      </c>
      <c r="E46" s="59">
        <f t="shared" si="16"/>
        <v>36.58</v>
      </c>
      <c r="F46" s="59">
        <f t="shared" si="16"/>
        <v>264</v>
      </c>
      <c r="G46" s="59">
        <f t="shared" si="16"/>
        <v>15.04</v>
      </c>
      <c r="H46" s="59">
        <f t="shared" si="16"/>
        <v>41669.440000000002</v>
      </c>
      <c r="I46" s="59">
        <f t="shared" si="16"/>
        <v>1289.3599999999999</v>
      </c>
      <c r="J46" s="59">
        <f t="shared" si="16"/>
        <v>42958.8</v>
      </c>
      <c r="K46" s="59">
        <f t="shared" si="16"/>
        <v>19624.199999999997</v>
      </c>
      <c r="L46" s="59">
        <f t="shared" si="16"/>
        <v>15916.49757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ht="10.9" customHeight="1" x14ac:dyDescent="0.25">
      <c r="A49" s="129" t="s">
        <v>31</v>
      </c>
      <c r="B49" s="41">
        <v>55180000</v>
      </c>
      <c r="C49" s="95">
        <f>37736+25000</f>
        <v>62736</v>
      </c>
      <c r="D49" s="14">
        <v>0</v>
      </c>
      <c r="E49" s="14">
        <v>0</v>
      </c>
      <c r="F49" s="14">
        <v>445.91</v>
      </c>
      <c r="G49" s="14">
        <v>25.41</v>
      </c>
      <c r="H49" s="15">
        <f>D49+F49+'05-14-20'!H49</f>
        <v>9292.0399999999991</v>
      </c>
      <c r="I49" s="15">
        <f>E49+G49+'05-14-20'!I49</f>
        <v>529.54000000000019</v>
      </c>
      <c r="J49" s="15">
        <f>H49+I49</f>
        <v>9821.58</v>
      </c>
      <c r="K49" s="14">
        <f>C49-J49</f>
        <v>52914.42</v>
      </c>
      <c r="L49" s="15">
        <f>C49-((J49/24)*26.0714)</f>
        <v>52066.735799499998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445.91</v>
      </c>
      <c r="G50" s="15">
        <f t="shared" si="17"/>
        <v>25.41</v>
      </c>
      <c r="H50" s="15">
        <f t="shared" si="17"/>
        <v>9292.0399999999991</v>
      </c>
      <c r="I50" s="15">
        <f t="shared" si="17"/>
        <v>529.54000000000019</v>
      </c>
      <c r="J50" s="15">
        <f t="shared" si="17"/>
        <v>9821.58</v>
      </c>
      <c r="K50" s="15">
        <f t="shared" si="17"/>
        <v>52914.42</v>
      </c>
      <c r="L50" s="15">
        <f t="shared" si="17"/>
        <v>52066.735799499998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121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120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119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119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118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117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113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114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205" t="s">
        <v>112</v>
      </c>
      <c r="B71" s="205"/>
      <c r="C71" s="205"/>
      <c r="D71" s="205"/>
      <c r="E71" s="205"/>
      <c r="F71" s="205"/>
      <c r="G71" s="83">
        <v>222.14</v>
      </c>
      <c r="M71" s="5"/>
    </row>
    <row r="72" spans="1:13" s="26" customFormat="1" ht="10.9" customHeight="1" x14ac:dyDescent="0.25">
      <c r="A72" s="205" t="s">
        <v>122</v>
      </c>
      <c r="B72" s="205"/>
      <c r="C72" s="205"/>
      <c r="D72" s="205"/>
      <c r="E72" s="205"/>
      <c r="F72" s="205"/>
      <c r="G72" s="116">
        <v>3200</v>
      </c>
    </row>
    <row r="73" spans="1:13" s="26" customFormat="1" ht="10.9" customHeight="1" x14ac:dyDescent="0.25">
      <c r="A73" s="205" t="s">
        <v>115</v>
      </c>
      <c r="B73" s="205"/>
      <c r="C73" s="205"/>
      <c r="D73" s="205"/>
      <c r="E73" s="205"/>
      <c r="F73" s="205"/>
      <c r="G73" s="116">
        <v>4000</v>
      </c>
    </row>
    <row r="74" spans="1:13" s="26" customFormat="1" ht="10.9" customHeight="1" x14ac:dyDescent="0.25">
      <c r="A74" s="205" t="s">
        <v>116</v>
      </c>
      <c r="B74" s="205"/>
      <c r="C74" s="205"/>
      <c r="D74" s="205"/>
      <c r="E74" s="205"/>
      <c r="F74" s="205"/>
      <c r="G74" s="116">
        <v>1800</v>
      </c>
    </row>
    <row r="75" spans="1:13" s="26" customFormat="1" ht="10.9" customHeight="1" x14ac:dyDescent="0.25">
      <c r="A75" s="205" t="s">
        <v>124</v>
      </c>
      <c r="B75" s="205"/>
      <c r="C75" s="205"/>
      <c r="D75" s="205"/>
      <c r="E75" s="205"/>
      <c r="F75" s="205"/>
      <c r="G75" s="116">
        <v>7155</v>
      </c>
    </row>
    <row r="76" spans="1:13" s="26" customFormat="1" ht="10.9" customHeight="1" x14ac:dyDescent="0.25">
      <c r="A76" s="205" t="s">
        <v>123</v>
      </c>
      <c r="B76" s="205"/>
      <c r="C76" s="205"/>
      <c r="D76" s="205"/>
      <c r="E76" s="205"/>
      <c r="F76" s="205"/>
      <c r="G76" s="116">
        <v>6862.01</v>
      </c>
    </row>
    <row r="77" spans="1:13" s="26" customFormat="1" ht="10.9" customHeight="1" x14ac:dyDescent="0.25">
      <c r="A77" s="205"/>
      <c r="B77" s="205"/>
      <c r="C77" s="205"/>
      <c r="D77" s="205"/>
      <c r="E77" s="205"/>
      <c r="F77" s="205"/>
      <c r="G77" s="116"/>
    </row>
  </sheetData>
  <mergeCells count="32">
    <mergeCell ref="A74:F74"/>
    <mergeCell ref="A60:F60"/>
    <mergeCell ref="A61:F61"/>
    <mergeCell ref="A62:F62"/>
    <mergeCell ref="A70:F70"/>
    <mergeCell ref="A64:F64"/>
    <mergeCell ref="A65:F65"/>
    <mergeCell ref="A66:F66"/>
    <mergeCell ref="A67:F67"/>
    <mergeCell ref="A68:F68"/>
    <mergeCell ref="A69:F69"/>
    <mergeCell ref="A13:B13"/>
    <mergeCell ref="A19:B19"/>
    <mergeCell ref="A26:B26"/>
    <mergeCell ref="A29:B29"/>
    <mergeCell ref="A42:B42"/>
    <mergeCell ref="A75:F75"/>
    <mergeCell ref="A77:F77"/>
    <mergeCell ref="A76:F76"/>
    <mergeCell ref="A50:B50"/>
    <mergeCell ref="A71:F71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72:F72"/>
    <mergeCell ref="A73:F73"/>
  </mergeCells>
  <pageMargins left="0.25" right="0" top="0.4" bottom="0" header="0.3" footer="0"/>
  <pageSetup scale="91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="115" zoomScaleNormal="115" workbookViewId="0">
      <pane ySplit="2" topLeftCell="A3" activePane="bottomLeft" state="frozen"/>
      <selection pane="bottomLeft" activeCell="F8" sqref="F8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bestFit="1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125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73" customFormat="1" ht="11.25" customHeight="1" x14ac:dyDescent="0.25">
      <c r="A3" s="169" t="s">
        <v>59</v>
      </c>
      <c r="B3" s="170">
        <v>55010300</v>
      </c>
      <c r="C3" s="171">
        <f>2376+2624-2624+800+243.88+200+21.07</f>
        <v>3640.9500000000003</v>
      </c>
      <c r="D3" s="172">
        <v>0</v>
      </c>
      <c r="E3" s="172">
        <v>0</v>
      </c>
      <c r="F3" s="172">
        <v>0</v>
      </c>
      <c r="G3" s="172">
        <v>0</v>
      </c>
      <c r="H3" s="172">
        <f>D3+F3+'05-28-20'!H3</f>
        <v>3483.6000000000004</v>
      </c>
      <c r="I3" s="172">
        <f>E3+G3+'05-28-20'!I3</f>
        <v>157.35</v>
      </c>
      <c r="J3" s="172">
        <f>H3+I3</f>
        <v>3640.9500000000003</v>
      </c>
      <c r="K3" s="172">
        <f>C3-J3</f>
        <v>0</v>
      </c>
      <c r="L3" s="172">
        <f>C3-((J3/25)*26.0714)</f>
        <v>-156.03655320000007</v>
      </c>
    </row>
    <row r="4" spans="1:12" s="175" customFormat="1" ht="11.25" customHeight="1" x14ac:dyDescent="0.25">
      <c r="A4" s="169" t="s">
        <v>9</v>
      </c>
      <c r="B4" s="170">
        <v>55010500</v>
      </c>
      <c r="C4" s="171">
        <v>3229</v>
      </c>
      <c r="D4" s="174">
        <v>0</v>
      </c>
      <c r="E4" s="174">
        <v>0</v>
      </c>
      <c r="F4" s="174">
        <v>0</v>
      </c>
      <c r="G4" s="174">
        <v>0</v>
      </c>
      <c r="H4" s="172">
        <f>D4+F4+'05-28-20'!H4</f>
        <v>0</v>
      </c>
      <c r="I4" s="172">
        <f>E4+G4+'05-28-20'!I4</f>
        <v>0</v>
      </c>
      <c r="J4" s="172">
        <f>H4+I4</f>
        <v>0</v>
      </c>
      <c r="K4" s="172">
        <f>C4-J4</f>
        <v>3229</v>
      </c>
      <c r="L4" s="172">
        <f t="shared" ref="L4:L12" si="0">C4-((J4/25)*26.0714)</f>
        <v>3229</v>
      </c>
    </row>
    <row r="5" spans="1:12" s="180" customFormat="1" ht="11.25" customHeight="1" x14ac:dyDescent="0.25">
      <c r="A5" s="176" t="s">
        <v>45</v>
      </c>
      <c r="B5" s="177">
        <v>55020200</v>
      </c>
      <c r="C5" s="178">
        <v>24649</v>
      </c>
      <c r="D5" s="179">
        <v>1567.91</v>
      </c>
      <c r="E5" s="179">
        <v>25.08</v>
      </c>
      <c r="F5" s="179">
        <v>0</v>
      </c>
      <c r="G5" s="179">
        <v>0</v>
      </c>
      <c r="H5" s="172">
        <f>D5+F5+'05-28-20'!H5</f>
        <v>17263.55</v>
      </c>
      <c r="I5" s="172">
        <f>E5+G5+'05-28-20'!I5</f>
        <v>275.14999999999998</v>
      </c>
      <c r="J5" s="172">
        <f t="shared" ref="J5:J12" si="1">H5+I5</f>
        <v>17538.7</v>
      </c>
      <c r="K5" s="174">
        <f t="shared" ref="K5:K12" si="2">C5-J5</f>
        <v>7110.2999999999993</v>
      </c>
      <c r="L5" s="172">
        <f t="shared" si="0"/>
        <v>6358.6614727999986</v>
      </c>
    </row>
    <row r="6" spans="1:12" s="180" customFormat="1" ht="11.25" customHeight="1" x14ac:dyDescent="0.25">
      <c r="A6" s="169" t="s">
        <v>10</v>
      </c>
      <c r="B6" s="170">
        <v>55020300</v>
      </c>
      <c r="C6" s="171">
        <f>17974-396.97</f>
        <v>17577.03</v>
      </c>
      <c r="D6" s="174">
        <v>0</v>
      </c>
      <c r="E6" s="174">
        <v>0</v>
      </c>
      <c r="F6" s="174">
        <v>0</v>
      </c>
      <c r="G6" s="174">
        <v>0</v>
      </c>
      <c r="H6" s="172">
        <f>D6+F6+'05-28-20'!H6</f>
        <v>10720.1</v>
      </c>
      <c r="I6" s="172">
        <f>E6+G6+'05-28-20'!I6</f>
        <v>175.03</v>
      </c>
      <c r="J6" s="172">
        <f t="shared" si="1"/>
        <v>10895.130000000001</v>
      </c>
      <c r="K6" s="174">
        <f t="shared" si="2"/>
        <v>6681.8999999999978</v>
      </c>
      <c r="L6" s="172">
        <f t="shared" si="0"/>
        <v>6214.9783087199976</v>
      </c>
    </row>
    <row r="7" spans="1:12" s="180" customFormat="1" ht="11.25" customHeight="1" x14ac:dyDescent="0.25">
      <c r="A7" s="169" t="s">
        <v>11</v>
      </c>
      <c r="B7" s="170">
        <v>55020400</v>
      </c>
      <c r="C7" s="171">
        <f>17974+396.97</f>
        <v>18370.97</v>
      </c>
      <c r="D7" s="174">
        <v>0</v>
      </c>
      <c r="E7" s="174">
        <v>0</v>
      </c>
      <c r="F7" s="174">
        <v>0</v>
      </c>
      <c r="G7" s="174">
        <v>0</v>
      </c>
      <c r="H7" s="172">
        <f>D7+F7+'05-28-20'!H7</f>
        <v>18081.88</v>
      </c>
      <c r="I7" s="172">
        <f>E7+G7+'05-28-20'!I7</f>
        <v>289.09000000000003</v>
      </c>
      <c r="J7" s="172">
        <f t="shared" si="1"/>
        <v>18370.97</v>
      </c>
      <c r="K7" s="174">
        <f t="shared" si="2"/>
        <v>0</v>
      </c>
      <c r="L7" s="172">
        <f t="shared" si="0"/>
        <v>-787.3062903200007</v>
      </c>
    </row>
    <row r="8" spans="1:12" s="180" customFormat="1" ht="11.25" customHeight="1" x14ac:dyDescent="0.25">
      <c r="A8" s="181" t="s">
        <v>46</v>
      </c>
      <c r="B8" s="170">
        <v>55030200</v>
      </c>
      <c r="C8" s="171">
        <v>24330</v>
      </c>
      <c r="D8" s="174">
        <v>444.5</v>
      </c>
      <c r="E8" s="174">
        <v>7.1</v>
      </c>
      <c r="F8" s="174">
        <v>0</v>
      </c>
      <c r="G8" s="174">
        <v>0</v>
      </c>
      <c r="H8" s="172">
        <f>D8+F8+'05-28-20'!H8</f>
        <v>14048.440000000002</v>
      </c>
      <c r="I8" s="172">
        <f>E8+G8+'05-28-20'!I8</f>
        <v>224.60999999999999</v>
      </c>
      <c r="J8" s="172">
        <f t="shared" si="1"/>
        <v>14273.050000000003</v>
      </c>
      <c r="K8" s="174">
        <f t="shared" si="2"/>
        <v>10056.949999999997</v>
      </c>
      <c r="L8" s="172">
        <f t="shared" si="0"/>
        <v>9445.2641691999961</v>
      </c>
    </row>
    <row r="9" spans="1:12" s="180" customFormat="1" ht="11.25" customHeight="1" x14ac:dyDescent="0.25">
      <c r="A9" s="169" t="s">
        <v>94</v>
      </c>
      <c r="B9" s="170">
        <v>55050200</v>
      </c>
      <c r="C9" s="171">
        <v>34000</v>
      </c>
      <c r="D9" s="174">
        <v>844.82</v>
      </c>
      <c r="E9" s="174">
        <v>13.51</v>
      </c>
      <c r="F9" s="174">
        <v>720</v>
      </c>
      <c r="G9" s="174">
        <v>41.03</v>
      </c>
      <c r="H9" s="172">
        <f>D9+F9+'05-28-20'!H9</f>
        <v>24919.440000000002</v>
      </c>
      <c r="I9" s="172">
        <f>E9+G9+'05-28-20'!I9</f>
        <v>689.55</v>
      </c>
      <c r="J9" s="172">
        <f t="shared" si="1"/>
        <v>25608.99</v>
      </c>
      <c r="K9" s="174">
        <f t="shared" si="2"/>
        <v>8391.0099999999984</v>
      </c>
      <c r="L9" s="172">
        <f t="shared" si="0"/>
        <v>7293.5111245599983</v>
      </c>
    </row>
    <row r="10" spans="1:12" s="182" customFormat="1" ht="11.25" customHeight="1" x14ac:dyDescent="0.25">
      <c r="A10" s="169" t="s">
        <v>12</v>
      </c>
      <c r="B10" s="170">
        <v>55070100</v>
      </c>
      <c r="C10" s="171">
        <f>42741+3200+4000+1800</f>
        <v>51741</v>
      </c>
      <c r="D10" s="174">
        <v>958.05</v>
      </c>
      <c r="E10" s="174">
        <v>15.32</v>
      </c>
      <c r="F10" s="174">
        <v>0</v>
      </c>
      <c r="G10" s="174">
        <v>0</v>
      </c>
      <c r="H10" s="172">
        <f>D10+F10+'05-28-20'!H10</f>
        <v>50055.53</v>
      </c>
      <c r="I10" s="172">
        <f>E10+G10+'05-28-20'!I10</f>
        <v>819.40000000000009</v>
      </c>
      <c r="J10" s="172">
        <f t="shared" si="1"/>
        <v>50874.93</v>
      </c>
      <c r="K10" s="174">
        <f t="shared" si="2"/>
        <v>866.06999999999971</v>
      </c>
      <c r="L10" s="172">
        <f t="shared" si="0"/>
        <v>-1314.2260000800015</v>
      </c>
    </row>
    <row r="11" spans="1:12" s="180" customFormat="1" ht="11.25" customHeight="1" x14ac:dyDescent="0.25">
      <c r="A11" s="169" t="s">
        <v>13</v>
      </c>
      <c r="B11" s="170">
        <v>55080100</v>
      </c>
      <c r="C11" s="171">
        <v>23173</v>
      </c>
      <c r="D11" s="174">
        <v>1428.76</v>
      </c>
      <c r="E11" s="174">
        <v>22.85</v>
      </c>
      <c r="F11" s="174">
        <v>0</v>
      </c>
      <c r="G11" s="174">
        <v>0</v>
      </c>
      <c r="H11" s="172">
        <f>D11+F11+'05-28-20'!H11</f>
        <v>16737.13</v>
      </c>
      <c r="I11" s="172">
        <f>E11+G11+'05-28-20'!I11</f>
        <v>343.36</v>
      </c>
      <c r="J11" s="172">
        <f t="shared" si="1"/>
        <v>17080.490000000002</v>
      </c>
      <c r="K11" s="174">
        <f t="shared" si="2"/>
        <v>6092.5099999999984</v>
      </c>
      <c r="L11" s="172">
        <f t="shared" si="0"/>
        <v>5360.5085205600008</v>
      </c>
    </row>
    <row r="12" spans="1:12" s="185" customFormat="1" ht="11.25" customHeight="1" x14ac:dyDescent="0.25">
      <c r="A12" s="183" t="s">
        <v>33</v>
      </c>
      <c r="B12" s="184">
        <v>55190000</v>
      </c>
      <c r="C12" s="171">
        <v>6000</v>
      </c>
      <c r="D12" s="174">
        <v>0</v>
      </c>
      <c r="E12" s="174">
        <v>0</v>
      </c>
      <c r="F12" s="174">
        <v>0</v>
      </c>
      <c r="G12" s="174">
        <v>0</v>
      </c>
      <c r="H12" s="172">
        <f>D12+F12+'05-28-20'!H12</f>
        <v>3702.6000000000004</v>
      </c>
      <c r="I12" s="172">
        <f>E12+G12+'05-28-20'!I12</f>
        <v>59.07</v>
      </c>
      <c r="J12" s="172">
        <f t="shared" si="1"/>
        <v>3761.6700000000005</v>
      </c>
      <c r="K12" s="174">
        <f t="shared" si="2"/>
        <v>2238.3299999999995</v>
      </c>
      <c r="L12" s="172">
        <f t="shared" si="0"/>
        <v>2077.119870479999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206710.95</v>
      </c>
      <c r="D13" s="15">
        <f t="shared" si="3"/>
        <v>5244.04</v>
      </c>
      <c r="E13" s="15">
        <f t="shared" si="3"/>
        <v>83.86</v>
      </c>
      <c r="F13" s="15">
        <f t="shared" si="3"/>
        <v>720</v>
      </c>
      <c r="G13" s="15">
        <f t="shared" si="3"/>
        <v>41.03</v>
      </c>
      <c r="H13" s="15">
        <f t="shared" si="3"/>
        <v>159012.27000000002</v>
      </c>
      <c r="I13" s="15">
        <f t="shared" si="3"/>
        <v>3032.6100000000006</v>
      </c>
      <c r="J13" s="14">
        <f t="shared" si="3"/>
        <v>162044.88</v>
      </c>
      <c r="K13" s="14">
        <f t="shared" si="3"/>
        <v>44666.069999999992</v>
      </c>
      <c r="L13" s="15">
        <f t="shared" si="3"/>
        <v>37721.474622719987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s="180" customFormat="1" ht="11.45" customHeight="1" x14ac:dyDescent="0.25">
      <c r="A16" s="186" t="s">
        <v>15</v>
      </c>
      <c r="B16" s="184">
        <v>55090100</v>
      </c>
      <c r="C16" s="171">
        <v>26923</v>
      </c>
      <c r="D16" s="174">
        <v>196.88</v>
      </c>
      <c r="E16" s="174">
        <v>3.14</v>
      </c>
      <c r="F16" s="174">
        <v>0</v>
      </c>
      <c r="G16" s="174">
        <v>0</v>
      </c>
      <c r="H16" s="172">
        <f>D16+F16+'05-28-20'!H16</f>
        <v>1829.6999999999998</v>
      </c>
      <c r="I16" s="172">
        <f>E16+G16+'05-28-20'!I16</f>
        <v>29.23</v>
      </c>
      <c r="J16" s="172">
        <f>H16+I16</f>
        <v>1858.9299999999998</v>
      </c>
      <c r="K16" s="174">
        <f>C16-J16</f>
        <v>25064.07</v>
      </c>
      <c r="L16" s="172">
        <f t="shared" ref="L16:L18" si="4">C16-((J16/25)*26.0714)</f>
        <v>24984.403695920002</v>
      </c>
    </row>
    <row r="17" spans="1:13" s="180" customFormat="1" ht="11.45" customHeight="1" x14ac:dyDescent="0.25">
      <c r="A17" s="169" t="s">
        <v>16</v>
      </c>
      <c r="B17" s="170">
        <v>55160100</v>
      </c>
      <c r="C17" s="171">
        <v>16062</v>
      </c>
      <c r="D17" s="172">
        <v>0</v>
      </c>
      <c r="E17" s="172">
        <v>0</v>
      </c>
      <c r="F17" s="174">
        <v>0</v>
      </c>
      <c r="G17" s="174">
        <v>0</v>
      </c>
      <c r="H17" s="172">
        <f>D17+F17+'05-28-20'!H17</f>
        <v>4470.76</v>
      </c>
      <c r="I17" s="172">
        <f>E17+G17+'05-28-20'!I17</f>
        <v>88.56</v>
      </c>
      <c r="J17" s="172">
        <f>H17+I17</f>
        <v>4559.3200000000006</v>
      </c>
      <c r="K17" s="174">
        <f>C17-J17</f>
        <v>11502.68</v>
      </c>
      <c r="L17" s="172">
        <f t="shared" si="4"/>
        <v>11307.28578208</v>
      </c>
    </row>
    <row r="18" spans="1:13" s="180" customFormat="1" ht="11.45" customHeight="1" x14ac:dyDescent="0.25">
      <c r="A18" s="186" t="s">
        <v>17</v>
      </c>
      <c r="B18" s="184">
        <v>55100100</v>
      </c>
      <c r="C18" s="171">
        <v>2026</v>
      </c>
      <c r="D18" s="174">
        <v>77.040000000000006</v>
      </c>
      <c r="E18" s="174">
        <v>1.22</v>
      </c>
      <c r="F18" s="174">
        <v>0</v>
      </c>
      <c r="G18" s="174">
        <v>0</v>
      </c>
      <c r="H18" s="172">
        <f>D18+F18+'05-28-20'!H18</f>
        <v>1341.1899999999996</v>
      </c>
      <c r="I18" s="172">
        <f>E18+G18+'05-28-20'!I18</f>
        <v>21.35</v>
      </c>
      <c r="J18" s="172">
        <f>H18+I18</f>
        <v>1362.5399999999995</v>
      </c>
      <c r="K18" s="174">
        <f>C18-J18</f>
        <v>663.46000000000049</v>
      </c>
      <c r="L18" s="172">
        <f t="shared" si="4"/>
        <v>605.06698576000053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273.92</v>
      </c>
      <c r="E19" s="15">
        <f t="shared" si="5"/>
        <v>4.3600000000000003</v>
      </c>
      <c r="F19" s="15">
        <f t="shared" si="5"/>
        <v>0</v>
      </c>
      <c r="G19" s="15">
        <f t="shared" si="5"/>
        <v>0</v>
      </c>
      <c r="H19" s="15">
        <f t="shared" si="5"/>
        <v>7641.65</v>
      </c>
      <c r="I19" s="15">
        <f t="shared" si="5"/>
        <v>139.14000000000001</v>
      </c>
      <c r="J19" s="14">
        <f t="shared" si="5"/>
        <v>7780.7899999999991</v>
      </c>
      <c r="K19" s="15">
        <f t="shared" si="5"/>
        <v>37230.21</v>
      </c>
      <c r="L19" s="15">
        <f t="shared" si="5"/>
        <v>36896.756463760001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185" customFormat="1" ht="11.45" customHeight="1" x14ac:dyDescent="0.25">
      <c r="A23" s="186" t="s">
        <v>93</v>
      </c>
      <c r="B23" s="184">
        <v>55200000</v>
      </c>
      <c r="C23" s="171">
        <f>25000+150+2438.4</f>
        <v>27588.400000000001</v>
      </c>
      <c r="D23" s="174">
        <v>1095</v>
      </c>
      <c r="E23" s="174">
        <v>17.489999999999998</v>
      </c>
      <c r="F23" s="174">
        <v>0</v>
      </c>
      <c r="G23" s="174">
        <v>0</v>
      </c>
      <c r="H23" s="172">
        <f>D23+F23+'05-28-20'!H23</f>
        <v>16860</v>
      </c>
      <c r="I23" s="172">
        <f>E23+G23+'05-28-20'!I23</f>
        <v>269.72000000000003</v>
      </c>
      <c r="J23" s="172">
        <f t="shared" si="7"/>
        <v>17129.72</v>
      </c>
      <c r="K23" s="174">
        <f t="shared" si="8"/>
        <v>10458.68</v>
      </c>
      <c r="L23" s="172">
        <f t="shared" ref="L23:L25" si="10">C23-((J23/25)*26.0714)</f>
        <v>9724.568719679999</v>
      </c>
      <c r="M23" s="187"/>
    </row>
    <row r="24" spans="1:13" s="185" customFormat="1" ht="11.45" customHeight="1" x14ac:dyDescent="0.25">
      <c r="A24" s="186" t="s">
        <v>39</v>
      </c>
      <c r="B24" s="188" t="s">
        <v>50</v>
      </c>
      <c r="C24" s="189">
        <v>14500</v>
      </c>
      <c r="D24" s="190">
        <v>279.3</v>
      </c>
      <c r="E24" s="190">
        <v>4.46</v>
      </c>
      <c r="F24" s="190">
        <v>0</v>
      </c>
      <c r="G24" s="190">
        <v>0</v>
      </c>
      <c r="H24" s="172">
        <f>D24+F24+'05-28-20'!H24</f>
        <v>10028.339999999998</v>
      </c>
      <c r="I24" s="172">
        <f>E24+G24+'05-28-20'!I24</f>
        <v>182.17</v>
      </c>
      <c r="J24" s="172">
        <f t="shared" si="7"/>
        <v>10210.509999999998</v>
      </c>
      <c r="K24" s="174">
        <f t="shared" si="8"/>
        <v>4289.4900000000016</v>
      </c>
      <c r="L24" s="172">
        <f t="shared" si="10"/>
        <v>3851.9083834400026</v>
      </c>
    </row>
    <row r="25" spans="1:13" s="185" customFormat="1" ht="10.9" customHeight="1" x14ac:dyDescent="0.25">
      <c r="A25" s="191" t="s">
        <v>40</v>
      </c>
      <c r="B25" s="192" t="s">
        <v>41</v>
      </c>
      <c r="C25" s="193">
        <v>5271.53</v>
      </c>
      <c r="D25" s="190">
        <v>0</v>
      </c>
      <c r="E25" s="190">
        <v>0</v>
      </c>
      <c r="F25" s="190">
        <v>0</v>
      </c>
      <c r="G25" s="190">
        <v>0</v>
      </c>
      <c r="H25" s="172">
        <f>D25+F25+'05-28-20'!H25</f>
        <v>1968</v>
      </c>
      <c r="I25" s="172">
        <f>E25+G25+'05-28-20'!I25</f>
        <v>112.12</v>
      </c>
      <c r="J25" s="172">
        <f>H25+I25</f>
        <v>2080.12</v>
      </c>
      <c r="K25" s="174">
        <f>C25-J25</f>
        <v>3191.41</v>
      </c>
      <c r="L25" s="172">
        <f t="shared" si="10"/>
        <v>3102.2643772799997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1374.3</v>
      </c>
      <c r="E26" s="49">
        <f t="shared" si="11"/>
        <v>21.95</v>
      </c>
      <c r="F26" s="49">
        <f t="shared" si="11"/>
        <v>0</v>
      </c>
      <c r="G26" s="49">
        <f t="shared" si="11"/>
        <v>0</v>
      </c>
      <c r="H26" s="49">
        <f t="shared" si="11"/>
        <v>28856.339999999997</v>
      </c>
      <c r="I26" s="49">
        <f t="shared" si="11"/>
        <v>564.01</v>
      </c>
      <c r="J26" s="49">
        <f t="shared" si="11"/>
        <v>29420.35</v>
      </c>
      <c r="K26" s="49">
        <f t="shared" si="11"/>
        <v>17939.580000000002</v>
      </c>
      <c r="L26" s="50">
        <f>SUM(L23:L25)</f>
        <v>16678.7414804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293810.35000000003</v>
      </c>
      <c r="D29" s="50">
        <f t="shared" si="12"/>
        <v>6892.26</v>
      </c>
      <c r="E29" s="50">
        <f t="shared" si="12"/>
        <v>110.17</v>
      </c>
      <c r="F29" s="50">
        <f t="shared" si="12"/>
        <v>720</v>
      </c>
      <c r="G29" s="50">
        <f t="shared" si="12"/>
        <v>41.03</v>
      </c>
      <c r="H29" s="50">
        <f t="shared" si="12"/>
        <v>195510.26</v>
      </c>
      <c r="I29" s="50">
        <f t="shared" si="12"/>
        <v>3735.76</v>
      </c>
      <c r="J29" s="50">
        <f t="shared" si="12"/>
        <v>199246.02000000002</v>
      </c>
      <c r="K29" s="50">
        <f t="shared" si="12"/>
        <v>99835.86</v>
      </c>
      <c r="L29" s="50">
        <f t="shared" si="12"/>
        <v>91296.972566879995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195" customFormat="1" x14ac:dyDescent="0.25">
      <c r="A32" s="191" t="s">
        <v>37</v>
      </c>
      <c r="B32" s="194" t="s">
        <v>105</v>
      </c>
      <c r="C32" s="172">
        <v>600.30999999999995</v>
      </c>
      <c r="D32" s="174">
        <v>0</v>
      </c>
      <c r="E32" s="174">
        <v>0</v>
      </c>
      <c r="F32" s="174">
        <v>0</v>
      </c>
      <c r="G32" s="174">
        <v>0</v>
      </c>
      <c r="H32" s="172">
        <f>D32+F32+'05-28-20'!H32</f>
        <v>0</v>
      </c>
      <c r="I32" s="172">
        <f>E32+G32+'05-28-20'!I32</f>
        <v>0</v>
      </c>
      <c r="J32" s="174">
        <f t="shared" ref="J32:J40" si="13">H32+I32</f>
        <v>0</v>
      </c>
      <c r="K32" s="174">
        <f t="shared" ref="K32:K40" si="14">C32-J32</f>
        <v>600.30999999999995</v>
      </c>
      <c r="L32" s="172">
        <f t="shared" ref="L32:L41" si="15">C32-((J32/25)*26.0714)</f>
        <v>600.30999999999995</v>
      </c>
    </row>
    <row r="33" spans="1:13" s="198" customFormat="1" ht="11.25" hidden="1" customHeight="1" x14ac:dyDescent="0.25">
      <c r="A33" s="196" t="s">
        <v>91</v>
      </c>
      <c r="B33" s="197" t="s">
        <v>66</v>
      </c>
      <c r="C33" s="174">
        <v>0</v>
      </c>
      <c r="D33" s="172"/>
      <c r="E33" s="172"/>
      <c r="F33" s="172"/>
      <c r="G33" s="172"/>
      <c r="H33" s="172">
        <f>D33+F33+'05-28-20'!H33</f>
        <v>0</v>
      </c>
      <c r="I33" s="172">
        <f>E33+G33+'05-28-20'!I33</f>
        <v>0</v>
      </c>
      <c r="J33" s="174">
        <f t="shared" si="13"/>
        <v>0</v>
      </c>
      <c r="K33" s="172">
        <f t="shared" si="14"/>
        <v>0</v>
      </c>
      <c r="L33" s="172">
        <f t="shared" si="15"/>
        <v>0</v>
      </c>
      <c r="M33" s="182"/>
    </row>
    <row r="34" spans="1:13" s="195" customFormat="1" ht="11.25" customHeight="1" x14ac:dyDescent="0.25">
      <c r="A34" s="196" t="s">
        <v>90</v>
      </c>
      <c r="B34" s="194" t="s">
        <v>104</v>
      </c>
      <c r="C34" s="174">
        <v>12000</v>
      </c>
      <c r="D34" s="174">
        <v>570</v>
      </c>
      <c r="E34" s="174">
        <v>9.1199999999999992</v>
      </c>
      <c r="F34" s="174">
        <v>0</v>
      </c>
      <c r="G34" s="174">
        <v>0</v>
      </c>
      <c r="H34" s="172">
        <f>D34+F34+'05-28-20'!H34</f>
        <v>8197.74</v>
      </c>
      <c r="I34" s="172">
        <f>E34+G34+'05-28-20'!I34</f>
        <v>325.19999999999993</v>
      </c>
      <c r="J34" s="174">
        <f t="shared" si="13"/>
        <v>8522.94</v>
      </c>
      <c r="K34" s="174">
        <f>C34-J34</f>
        <v>3477.0599999999995</v>
      </c>
      <c r="L34" s="172">
        <f t="shared" si="15"/>
        <v>3111.8008833599997</v>
      </c>
      <c r="M34" s="187"/>
    </row>
    <row r="35" spans="1:13" s="198" customFormat="1" ht="11.25" customHeight="1" x14ac:dyDescent="0.25">
      <c r="A35" s="191" t="s">
        <v>61</v>
      </c>
      <c r="B35" s="199" t="s">
        <v>63</v>
      </c>
      <c r="C35" s="172">
        <f>765.34+6862.01</f>
        <v>7627.35</v>
      </c>
      <c r="D35" s="172">
        <v>0</v>
      </c>
      <c r="E35" s="172">
        <v>0</v>
      </c>
      <c r="F35" s="172">
        <v>0</v>
      </c>
      <c r="G35" s="172">
        <v>0</v>
      </c>
      <c r="H35" s="172">
        <f>D35+F35+'05-28-20'!H35</f>
        <v>277.20000000000005</v>
      </c>
      <c r="I35" s="172">
        <f>E35+G35+'05-28-20'!I35</f>
        <v>15.79</v>
      </c>
      <c r="J35" s="172">
        <f t="shared" si="13"/>
        <v>292.99000000000007</v>
      </c>
      <c r="K35" s="172">
        <f t="shared" si="14"/>
        <v>7334.3600000000006</v>
      </c>
      <c r="L35" s="172">
        <f t="shared" si="15"/>
        <v>7321.8036205600001</v>
      </c>
    </row>
    <row r="36" spans="1:13" s="198" customFormat="1" ht="11.25" customHeight="1" x14ac:dyDescent="0.25">
      <c r="A36" s="191" t="s">
        <v>68</v>
      </c>
      <c r="B36" s="199" t="s">
        <v>66</v>
      </c>
      <c r="C36" s="172">
        <f>6353.85+7155+1200</f>
        <v>14708.85</v>
      </c>
      <c r="D36" s="172">
        <v>783.11</v>
      </c>
      <c r="E36" s="172">
        <v>12.52</v>
      </c>
      <c r="F36" s="172">
        <v>0</v>
      </c>
      <c r="G36" s="172">
        <v>0</v>
      </c>
      <c r="H36" s="172">
        <f>D36+F36+'05-28-20'!H36</f>
        <v>7451.07</v>
      </c>
      <c r="I36" s="172">
        <f>E36+G36+'05-28-20'!I36</f>
        <v>119.08000000000001</v>
      </c>
      <c r="J36" s="172">
        <f t="shared" si="13"/>
        <v>7570.15</v>
      </c>
      <c r="K36" s="200">
        <f t="shared" si="14"/>
        <v>7138.7000000000007</v>
      </c>
      <c r="L36" s="172">
        <f t="shared" si="15"/>
        <v>6814.2736516000004</v>
      </c>
      <c r="M36" s="182"/>
    </row>
    <row r="37" spans="1:13" s="198" customFormat="1" ht="11.25" customHeight="1" x14ac:dyDescent="0.25">
      <c r="A37" s="191" t="s">
        <v>96</v>
      </c>
      <c r="B37" s="199">
        <v>55110000</v>
      </c>
      <c r="C37" s="172">
        <v>2659</v>
      </c>
      <c r="D37" s="172">
        <v>0</v>
      </c>
      <c r="E37" s="172">
        <v>0</v>
      </c>
      <c r="F37" s="172">
        <v>0</v>
      </c>
      <c r="G37" s="172">
        <v>0</v>
      </c>
      <c r="H37" s="172">
        <f>D37+F37+'05-28-20'!H37</f>
        <v>0</v>
      </c>
      <c r="I37" s="172">
        <f>E37+G37+'05-28-20'!I37</f>
        <v>0</v>
      </c>
      <c r="J37" s="172">
        <f t="shared" si="13"/>
        <v>0</v>
      </c>
      <c r="K37" s="172">
        <f t="shared" si="14"/>
        <v>2659</v>
      </c>
      <c r="L37" s="172">
        <f t="shared" si="15"/>
        <v>2659</v>
      </c>
      <c r="M37" s="182"/>
    </row>
    <row r="38" spans="1:13" s="198" customFormat="1" ht="11.45" customHeight="1" x14ac:dyDescent="0.25">
      <c r="A38" s="191" t="s">
        <v>36</v>
      </c>
      <c r="B38" s="194" t="s">
        <v>103</v>
      </c>
      <c r="C38" s="171">
        <f>3656.34+222.14</f>
        <v>3878.48</v>
      </c>
      <c r="D38" s="174">
        <v>0</v>
      </c>
      <c r="E38" s="174">
        <v>0</v>
      </c>
      <c r="F38" s="174">
        <v>0</v>
      </c>
      <c r="G38" s="174">
        <v>0</v>
      </c>
      <c r="H38" s="172">
        <f>D38+F38+'05-28-20'!H38</f>
        <v>3708.53</v>
      </c>
      <c r="I38" s="172">
        <f>E38+G38+'05-28-20'!I38</f>
        <v>169.95000000000002</v>
      </c>
      <c r="J38" s="172">
        <f t="shared" si="13"/>
        <v>3878.48</v>
      </c>
      <c r="K38" s="174">
        <f t="shared" si="14"/>
        <v>0</v>
      </c>
      <c r="L38" s="172">
        <f t="shared" si="15"/>
        <v>-166.21613887999956</v>
      </c>
    </row>
    <row r="39" spans="1:13" s="182" customFormat="1" ht="11.45" customHeight="1" x14ac:dyDescent="0.25">
      <c r="A39" s="201" t="s">
        <v>42</v>
      </c>
      <c r="B39" s="202" t="s">
        <v>101</v>
      </c>
      <c r="C39" s="171">
        <f>900+1850</f>
        <v>2750</v>
      </c>
      <c r="D39" s="174">
        <v>0</v>
      </c>
      <c r="E39" s="174">
        <v>0</v>
      </c>
      <c r="F39" s="174">
        <v>0</v>
      </c>
      <c r="G39" s="174">
        <v>0</v>
      </c>
      <c r="H39" s="172">
        <f>D39+F39+'05-28-20'!H39</f>
        <v>2324.0699999999997</v>
      </c>
      <c r="I39" s="172">
        <f>E39+G39+'05-28-20'!I39</f>
        <v>37.15</v>
      </c>
      <c r="J39" s="172">
        <f t="shared" si="13"/>
        <v>2361.2199999999998</v>
      </c>
      <c r="K39" s="174">
        <f t="shared" si="14"/>
        <v>388.7800000000002</v>
      </c>
      <c r="L39" s="172">
        <f t="shared" si="15"/>
        <v>287.58755568000015</v>
      </c>
    </row>
    <row r="40" spans="1:13" s="182" customFormat="1" ht="11.45" customHeight="1" x14ac:dyDescent="0.25">
      <c r="A40" s="201" t="s">
        <v>48</v>
      </c>
      <c r="B40" s="202" t="s">
        <v>102</v>
      </c>
      <c r="C40" s="171">
        <v>12366.9</v>
      </c>
      <c r="D40" s="172">
        <v>0</v>
      </c>
      <c r="E40" s="172">
        <v>0</v>
      </c>
      <c r="F40" s="172">
        <v>0</v>
      </c>
      <c r="G40" s="172">
        <v>0</v>
      </c>
      <c r="H40" s="172">
        <f>D40+F40+'05-28-20'!H40</f>
        <v>5628.75</v>
      </c>
      <c r="I40" s="172">
        <f>E40+G40+'05-28-20'!I40</f>
        <v>90.05</v>
      </c>
      <c r="J40" s="172">
        <f t="shared" si="13"/>
        <v>5718.8</v>
      </c>
      <c r="K40" s="172">
        <f t="shared" si="14"/>
        <v>6648.0999999999995</v>
      </c>
      <c r="L40" s="172">
        <f t="shared" si="15"/>
        <v>6403.015107199999</v>
      </c>
    </row>
    <row r="41" spans="1:13" s="182" customFormat="1" ht="11.45" customHeight="1" x14ac:dyDescent="0.25">
      <c r="A41" s="203" t="s">
        <v>26</v>
      </c>
      <c r="B41" s="202" t="s">
        <v>47</v>
      </c>
      <c r="C41" s="204">
        <v>15220</v>
      </c>
      <c r="D41" s="172">
        <v>0</v>
      </c>
      <c r="E41" s="172">
        <v>0</v>
      </c>
      <c r="F41" s="172">
        <v>1200</v>
      </c>
      <c r="G41" s="172">
        <v>68.400000000000006</v>
      </c>
      <c r="H41" s="172">
        <f>D41+F41+'05-28-20'!H41</f>
        <v>13589.4</v>
      </c>
      <c r="I41" s="172">
        <f>E41+G41+'05-28-20'!I41</f>
        <v>774.55999999999983</v>
      </c>
      <c r="J41" s="172">
        <f>H41+I41</f>
        <v>14363.96</v>
      </c>
      <c r="K41" s="174">
        <f>C41-J41</f>
        <v>856.04000000000087</v>
      </c>
      <c r="L41" s="172">
        <f t="shared" si="15"/>
        <v>240.45813024000017</v>
      </c>
    </row>
    <row r="42" spans="1:13" ht="21.6" customHeight="1" x14ac:dyDescent="0.25">
      <c r="A42" s="206" t="s">
        <v>27</v>
      </c>
      <c r="B42" s="207"/>
      <c r="C42" s="15">
        <f>SUM(C32:C41)</f>
        <v>71810.890000000014</v>
      </c>
      <c r="D42" s="15">
        <f>SUM(D32:D41)</f>
        <v>1353.1100000000001</v>
      </c>
      <c r="E42" s="15">
        <f>SUM(E32:E41)</f>
        <v>21.64</v>
      </c>
      <c r="F42" s="15">
        <f>SUM(F32:F41)</f>
        <v>1200</v>
      </c>
      <c r="G42" s="15">
        <f>SUM(G32:G41)</f>
        <v>68.400000000000006</v>
      </c>
      <c r="H42" s="15">
        <f>SUM(H32, H33:H41)</f>
        <v>41176.76</v>
      </c>
      <c r="I42" s="15">
        <f>SUM(I32, I33:I41)</f>
        <v>1531.7799999999997</v>
      </c>
      <c r="J42" s="15">
        <f>SUM(J32, J33:J41)</f>
        <v>42708.54</v>
      </c>
      <c r="K42" s="15">
        <f>SUM(K32, K33:K41)</f>
        <v>29102.35</v>
      </c>
      <c r="L42" s="15">
        <f>SUM(L32, L33:L41)</f>
        <v>27272.032809760003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s="180" customFormat="1" ht="10.9" customHeight="1" x14ac:dyDescent="0.25">
      <c r="A45" s="169" t="s">
        <v>28</v>
      </c>
      <c r="B45" s="170" t="s">
        <v>29</v>
      </c>
      <c r="C45" s="171">
        <f>61895+688</f>
        <v>62583</v>
      </c>
      <c r="D45" s="174">
        <v>1067.68</v>
      </c>
      <c r="E45" s="174">
        <v>17.079999999999998</v>
      </c>
      <c r="F45" s="174">
        <v>330</v>
      </c>
      <c r="G45" s="174">
        <v>18.8</v>
      </c>
      <c r="H45" s="172">
        <f>D45+F45+'05-28-20'!H45</f>
        <v>43067.12</v>
      </c>
      <c r="I45" s="172">
        <f>E45+G45+'05-28-20'!I45</f>
        <v>1325.2399999999998</v>
      </c>
      <c r="J45" s="172">
        <f>H45+I45</f>
        <v>44392.36</v>
      </c>
      <c r="K45" s="174">
        <f>C45-J45</f>
        <v>18190.64</v>
      </c>
      <c r="L45" s="172">
        <f>C45-((J45/25)*26.0714)</f>
        <v>16288.161019839994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1067.68</v>
      </c>
      <c r="E46" s="59">
        <f t="shared" si="16"/>
        <v>17.079999999999998</v>
      </c>
      <c r="F46" s="59">
        <f t="shared" si="16"/>
        <v>330</v>
      </c>
      <c r="G46" s="59">
        <f t="shared" si="16"/>
        <v>18.8</v>
      </c>
      <c r="H46" s="59">
        <f t="shared" si="16"/>
        <v>43067.12</v>
      </c>
      <c r="I46" s="59">
        <f t="shared" si="16"/>
        <v>1325.2399999999998</v>
      </c>
      <c r="J46" s="59">
        <f t="shared" si="16"/>
        <v>44392.36</v>
      </c>
      <c r="K46" s="59">
        <f t="shared" si="16"/>
        <v>18190.64</v>
      </c>
      <c r="L46" s="59">
        <f t="shared" si="16"/>
        <v>16288.161019839994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s="180" customFormat="1" ht="10.9" customHeight="1" x14ac:dyDescent="0.25">
      <c r="A49" s="186" t="s">
        <v>31</v>
      </c>
      <c r="B49" s="184">
        <v>55180000</v>
      </c>
      <c r="C49" s="171">
        <f>37736+25000</f>
        <v>62736</v>
      </c>
      <c r="D49" s="174">
        <v>0</v>
      </c>
      <c r="E49" s="174">
        <v>0</v>
      </c>
      <c r="F49" s="174">
        <v>380.12</v>
      </c>
      <c r="G49" s="174">
        <v>21.66</v>
      </c>
      <c r="H49" s="172">
        <f>D49+F49+'05-28-20'!H49</f>
        <v>9672.16</v>
      </c>
      <c r="I49" s="172">
        <f>E49+G49+'05-28-20'!I49</f>
        <v>551.20000000000016</v>
      </c>
      <c r="J49" s="172">
        <f>H49+I49</f>
        <v>10223.36</v>
      </c>
      <c r="K49" s="174">
        <f>C49-J49</f>
        <v>52512.639999999999</v>
      </c>
      <c r="L49" s="172">
        <f>C49-((J49/25)*26.0714)</f>
        <v>52074.507683839998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380.12</v>
      </c>
      <c r="G50" s="15">
        <f t="shared" si="17"/>
        <v>21.66</v>
      </c>
      <c r="H50" s="15">
        <f t="shared" si="17"/>
        <v>9672.16</v>
      </c>
      <c r="I50" s="15">
        <f t="shared" si="17"/>
        <v>551.20000000000016</v>
      </c>
      <c r="J50" s="15">
        <f t="shared" si="17"/>
        <v>10223.36</v>
      </c>
      <c r="K50" s="15">
        <f t="shared" si="17"/>
        <v>52512.639999999999</v>
      </c>
      <c r="L50" s="15">
        <f t="shared" si="17"/>
        <v>52074.507683839998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121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120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119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119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118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117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113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114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205" t="s">
        <v>112</v>
      </c>
      <c r="B71" s="205"/>
      <c r="C71" s="205"/>
      <c r="D71" s="205"/>
      <c r="E71" s="205"/>
      <c r="F71" s="205"/>
      <c r="G71" s="83">
        <v>222.14</v>
      </c>
      <c r="M71" s="5"/>
    </row>
    <row r="72" spans="1:13" s="26" customFormat="1" ht="10.9" customHeight="1" x14ac:dyDescent="0.25">
      <c r="A72" s="205" t="s">
        <v>122</v>
      </c>
      <c r="B72" s="205"/>
      <c r="C72" s="205"/>
      <c r="D72" s="205"/>
      <c r="E72" s="205"/>
      <c r="F72" s="205"/>
      <c r="G72" s="116">
        <v>3200</v>
      </c>
    </row>
    <row r="73" spans="1:13" s="26" customFormat="1" ht="10.9" customHeight="1" x14ac:dyDescent="0.25">
      <c r="A73" s="205" t="s">
        <v>115</v>
      </c>
      <c r="B73" s="205"/>
      <c r="C73" s="205"/>
      <c r="D73" s="205"/>
      <c r="E73" s="205"/>
      <c r="F73" s="205"/>
      <c r="G73" s="116">
        <v>4000</v>
      </c>
    </row>
    <row r="74" spans="1:13" s="26" customFormat="1" ht="10.9" customHeight="1" x14ac:dyDescent="0.25">
      <c r="A74" s="205" t="s">
        <v>116</v>
      </c>
      <c r="B74" s="205"/>
      <c r="C74" s="205"/>
      <c r="D74" s="205"/>
      <c r="E74" s="205"/>
      <c r="F74" s="205"/>
      <c r="G74" s="116">
        <v>1800</v>
      </c>
    </row>
    <row r="75" spans="1:13" s="26" customFormat="1" ht="10.9" customHeight="1" x14ac:dyDescent="0.25">
      <c r="A75" s="205" t="s">
        <v>124</v>
      </c>
      <c r="B75" s="205"/>
      <c r="C75" s="205"/>
      <c r="D75" s="205"/>
      <c r="E75" s="205"/>
      <c r="F75" s="205"/>
      <c r="G75" s="116">
        <v>7155</v>
      </c>
    </row>
    <row r="76" spans="1:13" s="26" customFormat="1" ht="10.9" customHeight="1" x14ac:dyDescent="0.25">
      <c r="A76" s="205" t="s">
        <v>127</v>
      </c>
      <c r="B76" s="205"/>
      <c r="C76" s="205"/>
      <c r="D76" s="205"/>
      <c r="E76" s="205"/>
      <c r="F76" s="205"/>
      <c r="G76" s="116">
        <v>6862.01</v>
      </c>
    </row>
    <row r="77" spans="1:13" s="26" customFormat="1" ht="10.9" customHeight="1" x14ac:dyDescent="0.25">
      <c r="A77" s="205" t="s">
        <v>126</v>
      </c>
      <c r="B77" s="205"/>
      <c r="C77" s="205"/>
      <c r="D77" s="205"/>
      <c r="E77" s="205"/>
      <c r="F77" s="205"/>
      <c r="G77" s="83">
        <v>396.97</v>
      </c>
    </row>
    <row r="78" spans="1:13" s="26" customFormat="1" ht="10.9" customHeight="1" x14ac:dyDescent="0.25">
      <c r="A78" s="205" t="s">
        <v>128</v>
      </c>
      <c r="B78" s="205"/>
      <c r="C78" s="205"/>
      <c r="D78" s="205"/>
      <c r="E78" s="205"/>
      <c r="F78" s="205"/>
      <c r="G78" s="83">
        <v>1200</v>
      </c>
    </row>
  </sheetData>
  <mergeCells count="33">
    <mergeCell ref="A77:F77"/>
    <mergeCell ref="A70:F70"/>
    <mergeCell ref="A71:F71"/>
    <mergeCell ref="A72:F72"/>
    <mergeCell ref="A73:F73"/>
    <mergeCell ref="A74:F74"/>
    <mergeCell ref="A75:F75"/>
    <mergeCell ref="A65:F65"/>
    <mergeCell ref="A66:F66"/>
    <mergeCell ref="A67:F67"/>
    <mergeCell ref="A68:F68"/>
    <mergeCell ref="A76:F76"/>
    <mergeCell ref="A60:F60"/>
    <mergeCell ref="A61:F61"/>
    <mergeCell ref="A62:F62"/>
    <mergeCell ref="A63:F63"/>
    <mergeCell ref="A64:F64"/>
    <mergeCell ref="A78:F78"/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  <mergeCell ref="A69:F69"/>
    <mergeCell ref="A58:F58"/>
    <mergeCell ref="A59:F59"/>
  </mergeCells>
  <pageMargins left="0.25" right="0" top="0.4" bottom="0" header="0.3" footer="0"/>
  <pageSetup scale="91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="160" zoomScaleNormal="160" workbookViewId="0">
      <pane ySplit="2" topLeftCell="A15" activePane="bottomLeft" state="frozen"/>
      <selection pane="bottomLeft" activeCell="M1" sqref="M1:M1048576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bestFit="1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129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73" customFormat="1" ht="11.25" customHeight="1" x14ac:dyDescent="0.25">
      <c r="A3" s="169" t="s">
        <v>59</v>
      </c>
      <c r="B3" s="170">
        <v>55010300</v>
      </c>
      <c r="C3" s="171">
        <f>2376+2624-2624+800+243.88+200+21.07</f>
        <v>3640.9500000000003</v>
      </c>
      <c r="D3" s="172">
        <v>0</v>
      </c>
      <c r="E3" s="172">
        <v>0</v>
      </c>
      <c r="F3" s="172">
        <v>0</v>
      </c>
      <c r="G3" s="172">
        <v>0</v>
      </c>
      <c r="H3" s="172">
        <f>D3+F3+'06-11-20'!H3</f>
        <v>3483.6000000000004</v>
      </c>
      <c r="I3" s="172">
        <f>E3+G3+'06-11-20'!I3</f>
        <v>157.35</v>
      </c>
      <c r="J3" s="172">
        <f>H3+I3</f>
        <v>3640.9500000000003</v>
      </c>
      <c r="K3" s="172">
        <f>C3-J3</f>
        <v>0</v>
      </c>
      <c r="L3" s="172">
        <f>C3-((J3/26)*26.0714)</f>
        <v>-9.9986088461537292</v>
      </c>
    </row>
    <row r="4" spans="1:12" s="175" customFormat="1" ht="11.25" customHeight="1" x14ac:dyDescent="0.25">
      <c r="A4" s="169" t="s">
        <v>9</v>
      </c>
      <c r="B4" s="170">
        <v>55010500</v>
      </c>
      <c r="C4" s="171">
        <v>3229</v>
      </c>
      <c r="D4" s="174">
        <v>0</v>
      </c>
      <c r="E4" s="174">
        <v>0</v>
      </c>
      <c r="F4" s="174">
        <v>0</v>
      </c>
      <c r="G4" s="174">
        <v>0</v>
      </c>
      <c r="H4" s="172">
        <f>D4+F4+'06-11-20'!H4</f>
        <v>0</v>
      </c>
      <c r="I4" s="172">
        <f>E4+G4+'06-11-20'!I4</f>
        <v>0</v>
      </c>
      <c r="J4" s="172">
        <f>H4+I4</f>
        <v>0</v>
      </c>
      <c r="K4" s="172">
        <f>C4-J4</f>
        <v>3229</v>
      </c>
      <c r="L4" s="172">
        <f t="shared" ref="L4:L12" si="0">C4-((J4/26)*26.0714)</f>
        <v>3229</v>
      </c>
    </row>
    <row r="5" spans="1:12" s="180" customFormat="1" ht="11.25" customHeight="1" x14ac:dyDescent="0.25">
      <c r="A5" s="176" t="s">
        <v>45</v>
      </c>
      <c r="B5" s="177">
        <v>55020200</v>
      </c>
      <c r="C5" s="178">
        <v>24649</v>
      </c>
      <c r="D5" s="179">
        <v>1367.68</v>
      </c>
      <c r="E5" s="179">
        <v>21.88</v>
      </c>
      <c r="F5" s="179">
        <v>0</v>
      </c>
      <c r="G5" s="179">
        <v>0</v>
      </c>
      <c r="H5" s="172">
        <f>D5+F5+'06-11-20'!H5</f>
        <v>18631.23</v>
      </c>
      <c r="I5" s="172">
        <f>E5+G5+'06-11-20'!I5</f>
        <v>297.02999999999997</v>
      </c>
      <c r="J5" s="172">
        <f t="shared" ref="J5:J12" si="1">H5+I5</f>
        <v>18928.259999999998</v>
      </c>
      <c r="K5" s="174">
        <f t="shared" ref="K5:K12" si="2">C5-J5</f>
        <v>5720.7400000000016</v>
      </c>
      <c r="L5" s="172">
        <f t="shared" si="0"/>
        <v>5668.7600859999984</v>
      </c>
    </row>
    <row r="6" spans="1:12" s="180" customFormat="1" ht="11.25" customHeight="1" x14ac:dyDescent="0.25">
      <c r="A6" s="169" t="s">
        <v>10</v>
      </c>
      <c r="B6" s="170">
        <v>55020300</v>
      </c>
      <c r="C6" s="171">
        <f>17974-396.97</f>
        <v>17577.03</v>
      </c>
      <c r="D6" s="174">
        <v>0</v>
      </c>
      <c r="E6" s="174">
        <v>0</v>
      </c>
      <c r="F6" s="174">
        <v>0</v>
      </c>
      <c r="G6" s="174">
        <v>0</v>
      </c>
      <c r="H6" s="172">
        <f>D6+F6+'06-11-20'!H6</f>
        <v>10720.1</v>
      </c>
      <c r="I6" s="172">
        <f>E6+G6+'06-11-20'!I6</f>
        <v>175.03</v>
      </c>
      <c r="J6" s="172">
        <f t="shared" si="1"/>
        <v>10895.130000000001</v>
      </c>
      <c r="K6" s="174">
        <f t="shared" si="2"/>
        <v>6681.8999999999978</v>
      </c>
      <c r="L6" s="172">
        <f t="shared" si="0"/>
        <v>6651.9802968461518</v>
      </c>
    </row>
    <row r="7" spans="1:12" s="180" customFormat="1" ht="11.25" customHeight="1" x14ac:dyDescent="0.25">
      <c r="A7" s="169" t="s">
        <v>11</v>
      </c>
      <c r="B7" s="170">
        <v>55020400</v>
      </c>
      <c r="C7" s="171">
        <f>17974+396.97</f>
        <v>18370.97</v>
      </c>
      <c r="D7" s="174">
        <v>0</v>
      </c>
      <c r="E7" s="174">
        <v>0</v>
      </c>
      <c r="F7" s="174">
        <v>0</v>
      </c>
      <c r="G7" s="174">
        <v>0</v>
      </c>
      <c r="H7" s="172">
        <f>D7+F7+'06-11-20'!H7</f>
        <v>18081.88</v>
      </c>
      <c r="I7" s="172">
        <f>E7+G7+'06-11-20'!I7</f>
        <v>289.09000000000003</v>
      </c>
      <c r="J7" s="172">
        <f t="shared" si="1"/>
        <v>18370.97</v>
      </c>
      <c r="K7" s="174">
        <f t="shared" si="2"/>
        <v>0</v>
      </c>
      <c r="L7" s="172">
        <f t="shared" si="0"/>
        <v>-50.44950992307713</v>
      </c>
    </row>
    <row r="8" spans="1:12" s="180" customFormat="1" ht="11.25" customHeight="1" x14ac:dyDescent="0.25">
      <c r="A8" s="181" t="s">
        <v>46</v>
      </c>
      <c r="B8" s="170">
        <v>55030200</v>
      </c>
      <c r="C8" s="171">
        <v>24330</v>
      </c>
      <c r="D8" s="174">
        <v>736.17</v>
      </c>
      <c r="E8" s="174">
        <v>11.77</v>
      </c>
      <c r="F8" s="174">
        <v>0</v>
      </c>
      <c r="G8" s="174">
        <v>0</v>
      </c>
      <c r="H8" s="172">
        <f>D8+F8+'06-11-20'!H8</f>
        <v>14784.610000000002</v>
      </c>
      <c r="I8" s="172">
        <f>E8+G8+'06-11-20'!I8</f>
        <v>236.38</v>
      </c>
      <c r="J8" s="172">
        <f t="shared" si="1"/>
        <v>15020.990000000002</v>
      </c>
      <c r="K8" s="174">
        <f t="shared" si="2"/>
        <v>9309.0099999999984</v>
      </c>
      <c r="L8" s="172">
        <f t="shared" si="0"/>
        <v>9267.7600505384598</v>
      </c>
    </row>
    <row r="9" spans="1:12" s="180" customFormat="1" ht="11.25" customHeight="1" x14ac:dyDescent="0.25">
      <c r="A9" s="169" t="s">
        <v>94</v>
      </c>
      <c r="B9" s="170">
        <v>55050200</v>
      </c>
      <c r="C9" s="171">
        <v>34000</v>
      </c>
      <c r="D9" s="174">
        <v>1045</v>
      </c>
      <c r="E9" s="174">
        <v>16.72</v>
      </c>
      <c r="F9" s="174">
        <v>720</v>
      </c>
      <c r="G9" s="174">
        <v>41.04</v>
      </c>
      <c r="H9" s="172">
        <f>D9+F9+'06-11-20'!H9</f>
        <v>26684.440000000002</v>
      </c>
      <c r="I9" s="172">
        <f>E9+G9+'06-11-20'!I9</f>
        <v>747.31</v>
      </c>
      <c r="J9" s="172">
        <f t="shared" si="1"/>
        <v>27431.750000000004</v>
      </c>
      <c r="K9" s="174">
        <f t="shared" si="2"/>
        <v>6568.2499999999964</v>
      </c>
      <c r="L9" s="172">
        <f t="shared" si="0"/>
        <v>6492.9181942307659</v>
      </c>
    </row>
    <row r="10" spans="1:12" s="182" customFormat="1" ht="11.25" customHeight="1" x14ac:dyDescent="0.25">
      <c r="A10" s="169" t="s">
        <v>12</v>
      </c>
      <c r="B10" s="170">
        <v>55070100</v>
      </c>
      <c r="C10" s="171">
        <f>42741+3200+4000+1800</f>
        <v>51741</v>
      </c>
      <c r="D10" s="174">
        <v>1256.76</v>
      </c>
      <c r="E10" s="174">
        <v>20.100000000000001</v>
      </c>
      <c r="F10" s="174">
        <v>0</v>
      </c>
      <c r="G10" s="174">
        <v>0</v>
      </c>
      <c r="H10" s="172">
        <f>D10+F10+'06-11-20'!H10</f>
        <v>51312.29</v>
      </c>
      <c r="I10" s="172">
        <f>E10+G10+'06-11-20'!I10</f>
        <v>839.50000000000011</v>
      </c>
      <c r="J10" s="172">
        <f t="shared" si="1"/>
        <v>52151.79</v>
      </c>
      <c r="K10" s="117">
        <f t="shared" si="2"/>
        <v>-410.79000000000087</v>
      </c>
      <c r="L10" s="172">
        <f t="shared" si="0"/>
        <v>-554.00683869230852</v>
      </c>
    </row>
    <row r="11" spans="1:12" s="180" customFormat="1" ht="11.25" customHeight="1" x14ac:dyDescent="0.25">
      <c r="A11" s="169" t="s">
        <v>13</v>
      </c>
      <c r="B11" s="170">
        <v>55080100</v>
      </c>
      <c r="C11" s="171">
        <v>23173</v>
      </c>
      <c r="D11" s="174">
        <v>954.11</v>
      </c>
      <c r="E11" s="174">
        <v>15.26</v>
      </c>
      <c r="F11" s="174">
        <v>0</v>
      </c>
      <c r="G11" s="174">
        <v>0</v>
      </c>
      <c r="H11" s="172">
        <f>D11+F11+'06-11-20'!H11</f>
        <v>17691.240000000002</v>
      </c>
      <c r="I11" s="172">
        <f>E11+G11+'06-11-20'!I11</f>
        <v>358.62</v>
      </c>
      <c r="J11" s="172">
        <f t="shared" si="1"/>
        <v>18049.86</v>
      </c>
      <c r="K11" s="174">
        <f t="shared" si="2"/>
        <v>5123.1399999999994</v>
      </c>
      <c r="L11" s="172">
        <f t="shared" si="0"/>
        <v>5073.5723075384594</v>
      </c>
    </row>
    <row r="12" spans="1:12" s="185" customFormat="1" ht="11.25" customHeight="1" x14ac:dyDescent="0.25">
      <c r="A12" s="183" t="s">
        <v>33</v>
      </c>
      <c r="B12" s="184">
        <v>55190000</v>
      </c>
      <c r="C12" s="171">
        <v>6000</v>
      </c>
      <c r="D12" s="174"/>
      <c r="E12" s="174"/>
      <c r="F12" s="174"/>
      <c r="G12" s="174"/>
      <c r="H12" s="172">
        <f>D12+F12+'06-11-20'!H12</f>
        <v>3702.6000000000004</v>
      </c>
      <c r="I12" s="172">
        <f>E12+G12+'06-11-20'!I12</f>
        <v>59.07</v>
      </c>
      <c r="J12" s="172">
        <f t="shared" si="1"/>
        <v>3761.6700000000005</v>
      </c>
      <c r="K12" s="174">
        <f t="shared" si="2"/>
        <v>2238.3299999999995</v>
      </c>
      <c r="L12" s="172">
        <f t="shared" si="0"/>
        <v>2227.9998754615381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206710.95</v>
      </c>
      <c r="D13" s="15">
        <f t="shared" si="3"/>
        <v>5359.7199999999993</v>
      </c>
      <c r="E13" s="15">
        <f t="shared" si="3"/>
        <v>85.73</v>
      </c>
      <c r="F13" s="15">
        <f t="shared" si="3"/>
        <v>720</v>
      </c>
      <c r="G13" s="15">
        <f t="shared" si="3"/>
        <v>41.04</v>
      </c>
      <c r="H13" s="15">
        <f t="shared" si="3"/>
        <v>165091.99</v>
      </c>
      <c r="I13" s="15">
        <f t="shared" si="3"/>
        <v>3159.38</v>
      </c>
      <c r="J13" s="14">
        <f t="shared" si="3"/>
        <v>168251.37000000002</v>
      </c>
      <c r="K13" s="14">
        <f t="shared" si="3"/>
        <v>38459.579999999994</v>
      </c>
      <c r="L13" s="15">
        <f t="shared" si="3"/>
        <v>37997.535853153837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s="180" customFormat="1" ht="11.45" customHeight="1" x14ac:dyDescent="0.25">
      <c r="A16" s="186" t="s">
        <v>15</v>
      </c>
      <c r="B16" s="184">
        <v>55090100</v>
      </c>
      <c r="C16" s="171">
        <v>26923</v>
      </c>
      <c r="D16" s="174">
        <v>196.88</v>
      </c>
      <c r="E16" s="174">
        <v>3.15</v>
      </c>
      <c r="F16" s="174">
        <v>0</v>
      </c>
      <c r="G16" s="174">
        <v>0</v>
      </c>
      <c r="H16" s="172">
        <f>D16+F16+'06-11-20'!H16</f>
        <v>2026.58</v>
      </c>
      <c r="I16" s="172">
        <f>E16+G16+'06-11-20'!I16</f>
        <v>32.380000000000003</v>
      </c>
      <c r="J16" s="172">
        <f>H16+I16</f>
        <v>2058.96</v>
      </c>
      <c r="K16" s="174">
        <f>C16-J16</f>
        <v>24864.04</v>
      </c>
      <c r="L16" s="172">
        <f t="shared" ref="L16:L18" si="4">C16-((J16/26)*26.0714)</f>
        <v>24858.385779076922</v>
      </c>
    </row>
    <row r="17" spans="1:13" s="180" customFormat="1" ht="11.45" customHeight="1" x14ac:dyDescent="0.25">
      <c r="A17" s="169" t="s">
        <v>16</v>
      </c>
      <c r="B17" s="170">
        <v>55160100</v>
      </c>
      <c r="C17" s="171">
        <v>16062</v>
      </c>
      <c r="D17" s="172">
        <v>0</v>
      </c>
      <c r="E17" s="172">
        <v>0</v>
      </c>
      <c r="F17" s="174">
        <v>0</v>
      </c>
      <c r="G17" s="174">
        <v>0</v>
      </c>
      <c r="H17" s="172">
        <f>D17+F17+'06-11-20'!H17</f>
        <v>4470.76</v>
      </c>
      <c r="I17" s="172">
        <f>E17+G17+'06-11-20'!I17</f>
        <v>88.56</v>
      </c>
      <c r="J17" s="172">
        <f>H17+I17</f>
        <v>4559.3200000000006</v>
      </c>
      <c r="K17" s="174">
        <f>C17-J17</f>
        <v>11502.68</v>
      </c>
      <c r="L17" s="172">
        <f t="shared" si="4"/>
        <v>11490.159405846152</v>
      </c>
    </row>
    <row r="18" spans="1:13" s="180" customFormat="1" ht="11.45" customHeight="1" x14ac:dyDescent="0.25">
      <c r="A18" s="186" t="s">
        <v>17</v>
      </c>
      <c r="B18" s="184">
        <v>55100100</v>
      </c>
      <c r="C18" s="171">
        <v>2026</v>
      </c>
      <c r="D18" s="174">
        <v>77.040000000000006</v>
      </c>
      <c r="E18" s="174">
        <v>1.23</v>
      </c>
      <c r="F18" s="174">
        <v>0</v>
      </c>
      <c r="G18" s="174">
        <v>0</v>
      </c>
      <c r="H18" s="172">
        <f>D18+F18+'06-11-20'!H18</f>
        <v>1418.2299999999996</v>
      </c>
      <c r="I18" s="172">
        <f>E18+G18+'06-11-20'!I18</f>
        <v>22.580000000000002</v>
      </c>
      <c r="J18" s="172">
        <f>H18+I18</f>
        <v>1440.8099999999995</v>
      </c>
      <c r="K18" s="174">
        <f>C18-J18</f>
        <v>585.19000000000051</v>
      </c>
      <c r="L18" s="172">
        <f t="shared" si="4"/>
        <v>581.23331407692353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273.92</v>
      </c>
      <c r="E19" s="15">
        <f t="shared" si="5"/>
        <v>4.38</v>
      </c>
      <c r="F19" s="15">
        <f t="shared" si="5"/>
        <v>0</v>
      </c>
      <c r="G19" s="15">
        <f t="shared" si="5"/>
        <v>0</v>
      </c>
      <c r="H19" s="15">
        <f t="shared" si="5"/>
        <v>7915.57</v>
      </c>
      <c r="I19" s="15">
        <f t="shared" si="5"/>
        <v>143.52000000000001</v>
      </c>
      <c r="J19" s="14">
        <f t="shared" si="5"/>
        <v>8059.09</v>
      </c>
      <c r="K19" s="15">
        <f t="shared" si="5"/>
        <v>36951.910000000003</v>
      </c>
      <c r="L19" s="15">
        <f t="shared" si="5"/>
        <v>36929.778499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185" customFormat="1" ht="11.45" customHeight="1" x14ac:dyDescent="0.25">
      <c r="A23" s="186" t="s">
        <v>93</v>
      </c>
      <c r="B23" s="184">
        <v>55200000</v>
      </c>
      <c r="C23" s="171">
        <f>25000+150+2438.4</f>
        <v>27588.400000000001</v>
      </c>
      <c r="D23" s="174">
        <v>1005</v>
      </c>
      <c r="E23" s="174">
        <v>16.079999999999998</v>
      </c>
      <c r="F23" s="174">
        <v>0</v>
      </c>
      <c r="G23" s="174">
        <v>0</v>
      </c>
      <c r="H23" s="172">
        <f>D23+F23+'06-11-20'!H23</f>
        <v>17865</v>
      </c>
      <c r="I23" s="172">
        <f>E23+G23+'06-11-20'!I23</f>
        <v>285.8</v>
      </c>
      <c r="J23" s="172">
        <f t="shared" si="7"/>
        <v>18150.8</v>
      </c>
      <c r="K23" s="174">
        <f t="shared" si="8"/>
        <v>9437.6000000000022</v>
      </c>
      <c r="L23" s="172">
        <f t="shared" ref="L23:L25" si="10">C23-((J23/26)*26.0714)</f>
        <v>9387.7551107692307</v>
      </c>
      <c r="M23" s="187"/>
    </row>
    <row r="24" spans="1:13" s="185" customFormat="1" ht="11.45" customHeight="1" x14ac:dyDescent="0.25">
      <c r="A24" s="186" t="s">
        <v>39</v>
      </c>
      <c r="B24" s="188" t="s">
        <v>50</v>
      </c>
      <c r="C24" s="189">
        <v>14500</v>
      </c>
      <c r="D24" s="190">
        <v>223.44</v>
      </c>
      <c r="E24" s="190">
        <v>3.57</v>
      </c>
      <c r="F24" s="190">
        <v>0</v>
      </c>
      <c r="G24" s="190">
        <v>0</v>
      </c>
      <c r="H24" s="172">
        <f>D24+F24+'06-11-20'!H24</f>
        <v>10251.779999999999</v>
      </c>
      <c r="I24" s="172">
        <f>E24+G24+'06-11-20'!I24</f>
        <v>185.73999999999998</v>
      </c>
      <c r="J24" s="172">
        <f t="shared" si="7"/>
        <v>10437.519999999999</v>
      </c>
      <c r="K24" s="174">
        <f t="shared" si="8"/>
        <v>4062.4800000000014</v>
      </c>
      <c r="L24" s="172">
        <f t="shared" si="10"/>
        <v>4033.8169643076926</v>
      </c>
    </row>
    <row r="25" spans="1:13" s="185" customFormat="1" ht="10.9" customHeight="1" x14ac:dyDescent="0.25">
      <c r="A25" s="191" t="s">
        <v>40</v>
      </c>
      <c r="B25" s="192" t="s">
        <v>41</v>
      </c>
      <c r="C25" s="193">
        <v>5271.53</v>
      </c>
      <c r="D25" s="190">
        <v>0</v>
      </c>
      <c r="E25" s="190">
        <v>0</v>
      </c>
      <c r="F25" s="190">
        <v>0</v>
      </c>
      <c r="G25" s="190">
        <v>0</v>
      </c>
      <c r="H25" s="172">
        <f>D25+F25+'06-11-20'!H25</f>
        <v>1968</v>
      </c>
      <c r="I25" s="172">
        <f>E25+G25+'06-11-20'!I25</f>
        <v>112.12</v>
      </c>
      <c r="J25" s="172">
        <f>H25+I25</f>
        <v>2080.12</v>
      </c>
      <c r="K25" s="174">
        <f>C25-J25</f>
        <v>3191.41</v>
      </c>
      <c r="L25" s="172">
        <f t="shared" si="10"/>
        <v>3185.6976704615386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1228.44</v>
      </c>
      <c r="E26" s="49">
        <f t="shared" si="11"/>
        <v>19.649999999999999</v>
      </c>
      <c r="F26" s="49">
        <f t="shared" si="11"/>
        <v>0</v>
      </c>
      <c r="G26" s="49">
        <f t="shared" si="11"/>
        <v>0</v>
      </c>
      <c r="H26" s="49">
        <f t="shared" si="11"/>
        <v>30084.78</v>
      </c>
      <c r="I26" s="49">
        <f t="shared" si="11"/>
        <v>583.66</v>
      </c>
      <c r="J26" s="49">
        <f t="shared" si="11"/>
        <v>30668.44</v>
      </c>
      <c r="K26" s="49">
        <f t="shared" si="11"/>
        <v>16691.490000000005</v>
      </c>
      <c r="L26" s="50">
        <f>SUM(L23:L25)</f>
        <v>16607.269745538462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293810.35000000003</v>
      </c>
      <c r="D29" s="50">
        <f t="shared" si="12"/>
        <v>6862.08</v>
      </c>
      <c r="E29" s="50">
        <f t="shared" si="12"/>
        <v>109.75999999999999</v>
      </c>
      <c r="F29" s="50">
        <f t="shared" si="12"/>
        <v>720</v>
      </c>
      <c r="G29" s="50">
        <f t="shared" si="12"/>
        <v>41.04</v>
      </c>
      <c r="H29" s="50">
        <f t="shared" si="12"/>
        <v>203092.34</v>
      </c>
      <c r="I29" s="50">
        <f t="shared" si="12"/>
        <v>3886.56</v>
      </c>
      <c r="J29" s="50">
        <f t="shared" si="12"/>
        <v>206978.90000000002</v>
      </c>
      <c r="K29" s="50">
        <f t="shared" si="12"/>
        <v>92102.98</v>
      </c>
      <c r="L29" s="50">
        <f t="shared" si="12"/>
        <v>91534.584097692292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195" customFormat="1" x14ac:dyDescent="0.25">
      <c r="A32" s="191" t="s">
        <v>37</v>
      </c>
      <c r="B32" s="194" t="s">
        <v>105</v>
      </c>
      <c r="C32" s="172">
        <v>600.30999999999995</v>
      </c>
      <c r="D32" s="174">
        <v>0</v>
      </c>
      <c r="E32" s="174">
        <v>0</v>
      </c>
      <c r="F32" s="174">
        <v>0</v>
      </c>
      <c r="G32" s="174">
        <v>0</v>
      </c>
      <c r="H32" s="172">
        <f>D32+F32+'06-11-20'!H32</f>
        <v>0</v>
      </c>
      <c r="I32" s="172">
        <f>E32+G32+'06-11-20'!I32</f>
        <v>0</v>
      </c>
      <c r="J32" s="174">
        <f t="shared" ref="J32:J40" si="13">H32+I32</f>
        <v>0</v>
      </c>
      <c r="K32" s="174">
        <f t="shared" ref="K32:K40" si="14">C32-J32</f>
        <v>600.30999999999995</v>
      </c>
      <c r="L32" s="172">
        <f t="shared" ref="L32:L41" si="15">C32-((J32/26)*26.0714)</f>
        <v>600.30999999999995</v>
      </c>
    </row>
    <row r="33" spans="1:13" s="198" customFormat="1" ht="11.25" hidden="1" customHeight="1" x14ac:dyDescent="0.25">
      <c r="A33" s="196" t="s">
        <v>91</v>
      </c>
      <c r="B33" s="197" t="s">
        <v>66</v>
      </c>
      <c r="C33" s="174">
        <v>0</v>
      </c>
      <c r="D33" s="172"/>
      <c r="E33" s="172"/>
      <c r="F33" s="172"/>
      <c r="G33" s="172"/>
      <c r="H33" s="172">
        <f>D33+F33+'06-11-20'!H33</f>
        <v>0</v>
      </c>
      <c r="I33" s="172">
        <f>E33+G33+'06-11-20'!I33</f>
        <v>0</v>
      </c>
      <c r="J33" s="174">
        <f t="shared" si="13"/>
        <v>0</v>
      </c>
      <c r="K33" s="172">
        <f t="shared" si="14"/>
        <v>0</v>
      </c>
      <c r="L33" s="172">
        <f t="shared" si="15"/>
        <v>0</v>
      </c>
      <c r="M33" s="182"/>
    </row>
    <row r="34" spans="1:13" s="195" customFormat="1" ht="11.25" customHeight="1" x14ac:dyDescent="0.25">
      <c r="A34" s="196" t="s">
        <v>90</v>
      </c>
      <c r="B34" s="194" t="s">
        <v>104</v>
      </c>
      <c r="C34" s="174">
        <v>12000</v>
      </c>
      <c r="D34" s="174">
        <v>500</v>
      </c>
      <c r="E34" s="174">
        <v>8</v>
      </c>
      <c r="F34" s="174">
        <v>0</v>
      </c>
      <c r="G34" s="174">
        <v>0</v>
      </c>
      <c r="H34" s="172">
        <f>D34+F34+'06-11-20'!H34</f>
        <v>8697.74</v>
      </c>
      <c r="I34" s="172">
        <f>E34+G34+'06-11-20'!I34</f>
        <v>333.19999999999993</v>
      </c>
      <c r="J34" s="174">
        <f t="shared" si="13"/>
        <v>9030.94</v>
      </c>
      <c r="K34" s="174">
        <f>C34-J34</f>
        <v>2969.0599999999995</v>
      </c>
      <c r="L34" s="172">
        <f t="shared" si="15"/>
        <v>2944.259649384614</v>
      </c>
      <c r="M34" s="187"/>
    </row>
    <row r="35" spans="1:13" s="198" customFormat="1" ht="11.25" customHeight="1" x14ac:dyDescent="0.25">
      <c r="A35" s="191" t="s">
        <v>61</v>
      </c>
      <c r="B35" s="199" t="s">
        <v>63</v>
      </c>
      <c r="C35" s="172">
        <f>765.34+6862.01</f>
        <v>7627.35</v>
      </c>
      <c r="D35" s="172">
        <v>0</v>
      </c>
      <c r="E35" s="172">
        <v>0</v>
      </c>
      <c r="F35" s="172">
        <v>0</v>
      </c>
      <c r="G35" s="172">
        <v>0</v>
      </c>
      <c r="H35" s="172">
        <f>D35+F35+'06-11-20'!H35</f>
        <v>277.20000000000005</v>
      </c>
      <c r="I35" s="172">
        <f>E35+G35+'06-11-20'!I35</f>
        <v>15.79</v>
      </c>
      <c r="J35" s="172">
        <f t="shared" si="13"/>
        <v>292.99000000000007</v>
      </c>
      <c r="K35" s="172">
        <f t="shared" si="14"/>
        <v>7334.3600000000006</v>
      </c>
      <c r="L35" s="172">
        <f t="shared" si="15"/>
        <v>7333.5554043846159</v>
      </c>
    </row>
    <row r="36" spans="1:13" s="198" customFormat="1" ht="11.25" customHeight="1" x14ac:dyDescent="0.25">
      <c r="A36" s="191" t="s">
        <v>68</v>
      </c>
      <c r="B36" s="199" t="s">
        <v>66</v>
      </c>
      <c r="C36" s="172">
        <f>6353.85+7155+1200</f>
        <v>14708.85</v>
      </c>
      <c r="D36" s="172">
        <v>649.41</v>
      </c>
      <c r="E36" s="172">
        <v>10.39</v>
      </c>
      <c r="F36" s="172">
        <v>0</v>
      </c>
      <c r="G36" s="172">
        <v>0</v>
      </c>
      <c r="H36" s="172">
        <f>D36+F36+'06-11-20'!H36</f>
        <v>8100.48</v>
      </c>
      <c r="I36" s="172">
        <f>E36+G36+'06-11-20'!I36</f>
        <v>129.47000000000003</v>
      </c>
      <c r="J36" s="172">
        <f t="shared" si="13"/>
        <v>8229.9499999999989</v>
      </c>
      <c r="K36" s="200">
        <f t="shared" si="14"/>
        <v>6478.9000000000015</v>
      </c>
      <c r="L36" s="172">
        <f t="shared" si="15"/>
        <v>6456.2992911538477</v>
      </c>
      <c r="M36" s="182"/>
    </row>
    <row r="37" spans="1:13" s="198" customFormat="1" ht="11.25" customHeight="1" x14ac:dyDescent="0.25">
      <c r="A37" s="191" t="s">
        <v>96</v>
      </c>
      <c r="B37" s="199">
        <v>55110000</v>
      </c>
      <c r="C37" s="172">
        <v>2659</v>
      </c>
      <c r="D37" s="172">
        <v>0</v>
      </c>
      <c r="E37" s="172">
        <v>0</v>
      </c>
      <c r="F37" s="172">
        <v>0</v>
      </c>
      <c r="G37" s="172">
        <v>0</v>
      </c>
      <c r="H37" s="172">
        <f>D37+F37+'06-11-20'!H37</f>
        <v>0</v>
      </c>
      <c r="I37" s="172">
        <f>E37+G37+'06-11-20'!I37</f>
        <v>0</v>
      </c>
      <c r="J37" s="172">
        <f t="shared" si="13"/>
        <v>0</v>
      </c>
      <c r="K37" s="172">
        <f t="shared" si="14"/>
        <v>2659</v>
      </c>
      <c r="L37" s="172">
        <f t="shared" si="15"/>
        <v>2659</v>
      </c>
      <c r="M37" s="182"/>
    </row>
    <row r="38" spans="1:13" s="198" customFormat="1" ht="11.45" customHeight="1" x14ac:dyDescent="0.25">
      <c r="A38" s="191" t="s">
        <v>36</v>
      </c>
      <c r="B38" s="194" t="s">
        <v>103</v>
      </c>
      <c r="C38" s="171">
        <f>3656.34+222.14</f>
        <v>3878.48</v>
      </c>
      <c r="D38" s="174">
        <v>0</v>
      </c>
      <c r="E38" s="174">
        <v>0</v>
      </c>
      <c r="F38" s="174">
        <v>0</v>
      </c>
      <c r="G38" s="174">
        <v>0</v>
      </c>
      <c r="H38" s="172">
        <f>D38+F38+'06-11-20'!H38</f>
        <v>3708.53</v>
      </c>
      <c r="I38" s="172">
        <f>E38+G38+'06-11-20'!I38</f>
        <v>169.95000000000002</v>
      </c>
      <c r="J38" s="172">
        <f t="shared" si="13"/>
        <v>3878.48</v>
      </c>
      <c r="K38" s="174">
        <f t="shared" si="14"/>
        <v>0</v>
      </c>
      <c r="L38" s="172">
        <f t="shared" si="15"/>
        <v>-10.650902769230925</v>
      </c>
    </row>
    <row r="39" spans="1:13" s="182" customFormat="1" ht="11.45" customHeight="1" x14ac:dyDescent="0.25">
      <c r="A39" s="201" t="s">
        <v>42</v>
      </c>
      <c r="B39" s="202" t="s">
        <v>101</v>
      </c>
      <c r="C39" s="171">
        <f>900+1850</f>
        <v>2750</v>
      </c>
      <c r="D39" s="174">
        <v>0</v>
      </c>
      <c r="E39" s="174">
        <v>0</v>
      </c>
      <c r="F39" s="174">
        <v>0</v>
      </c>
      <c r="G39" s="174">
        <v>0</v>
      </c>
      <c r="H39" s="172">
        <f>D39+F39+'06-11-20'!H39</f>
        <v>2324.0699999999997</v>
      </c>
      <c r="I39" s="172">
        <f>E39+G39+'06-11-20'!I39</f>
        <v>37.15</v>
      </c>
      <c r="J39" s="172">
        <f t="shared" si="13"/>
        <v>2361.2199999999998</v>
      </c>
      <c r="K39" s="174">
        <f t="shared" si="14"/>
        <v>388.7800000000002</v>
      </c>
      <c r="L39" s="172">
        <f t="shared" si="15"/>
        <v>382.29572661538486</v>
      </c>
    </row>
    <row r="40" spans="1:13" s="182" customFormat="1" ht="11.45" customHeight="1" x14ac:dyDescent="0.25">
      <c r="A40" s="201" t="s">
        <v>48</v>
      </c>
      <c r="B40" s="202" t="s">
        <v>102</v>
      </c>
      <c r="C40" s="171">
        <v>12366.9</v>
      </c>
      <c r="D40" s="172">
        <v>0</v>
      </c>
      <c r="E40" s="172">
        <v>0</v>
      </c>
      <c r="F40" s="172">
        <v>0</v>
      </c>
      <c r="G40" s="172">
        <v>0</v>
      </c>
      <c r="H40" s="172">
        <f>D40+F40+'06-11-20'!H40</f>
        <v>5628.75</v>
      </c>
      <c r="I40" s="172">
        <f>E40+G40+'06-11-20'!I40</f>
        <v>90.05</v>
      </c>
      <c r="J40" s="172">
        <f t="shared" si="13"/>
        <v>5718.8</v>
      </c>
      <c r="K40" s="172">
        <f t="shared" si="14"/>
        <v>6648.0999999999995</v>
      </c>
      <c r="L40" s="172">
        <f t="shared" si="15"/>
        <v>6632.3952953846147</v>
      </c>
    </row>
    <row r="41" spans="1:13" s="182" customFormat="1" ht="11.45" customHeight="1" x14ac:dyDescent="0.25">
      <c r="A41" s="203" t="s">
        <v>26</v>
      </c>
      <c r="B41" s="202" t="s">
        <v>47</v>
      </c>
      <c r="C41" s="204">
        <v>15220</v>
      </c>
      <c r="D41" s="172">
        <v>0</v>
      </c>
      <c r="E41" s="172">
        <v>0</v>
      </c>
      <c r="F41" s="172">
        <v>1200</v>
      </c>
      <c r="G41" s="172">
        <v>68.400000000000006</v>
      </c>
      <c r="H41" s="172">
        <f>D41+F41+'06-11-20'!H41</f>
        <v>14789.4</v>
      </c>
      <c r="I41" s="172">
        <f>E41+G41+'06-11-20'!I41</f>
        <v>842.95999999999981</v>
      </c>
      <c r="J41" s="172">
        <f>H41+I41</f>
        <v>15632.359999999999</v>
      </c>
      <c r="K41" s="117">
        <f>C41-J41</f>
        <v>-412.35999999999876</v>
      </c>
      <c r="L41" s="172">
        <f t="shared" si="15"/>
        <v>-455.28886553846132</v>
      </c>
    </row>
    <row r="42" spans="1:13" ht="21.6" customHeight="1" x14ac:dyDescent="0.25">
      <c r="A42" s="206" t="s">
        <v>27</v>
      </c>
      <c r="B42" s="207"/>
      <c r="C42" s="15">
        <f>SUM(C32:C41)</f>
        <v>71810.890000000014</v>
      </c>
      <c r="D42" s="15">
        <f>SUM(D32:D41)</f>
        <v>1149.4099999999999</v>
      </c>
      <c r="E42" s="15">
        <f>SUM(E32:E41)</f>
        <v>18.39</v>
      </c>
      <c r="F42" s="15">
        <f>SUM(F32:F41)</f>
        <v>1200</v>
      </c>
      <c r="G42" s="15">
        <f>SUM(G32:G41)</f>
        <v>68.400000000000006</v>
      </c>
      <c r="H42" s="15">
        <f>SUM(H32, H33:H41)</f>
        <v>43526.17</v>
      </c>
      <c r="I42" s="15">
        <f>SUM(I32, I33:I41)</f>
        <v>1618.5699999999997</v>
      </c>
      <c r="J42" s="15">
        <f>SUM(J32, J33:J41)</f>
        <v>45144.74</v>
      </c>
      <c r="K42" s="15">
        <f>SUM(K32, K33:K41)</f>
        <v>26666.15</v>
      </c>
      <c r="L42" s="15">
        <f>SUM(L32, L33:L41)</f>
        <v>26542.175598615388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s="180" customFormat="1" ht="10.9" customHeight="1" x14ac:dyDescent="0.25">
      <c r="A45" s="169" t="s">
        <v>28</v>
      </c>
      <c r="B45" s="170" t="s">
        <v>29</v>
      </c>
      <c r="C45" s="171">
        <f>61895+688</f>
        <v>62583</v>
      </c>
      <c r="D45" s="174">
        <v>1273.1199999999999</v>
      </c>
      <c r="E45" s="174">
        <v>20.36</v>
      </c>
      <c r="F45" s="174">
        <v>220</v>
      </c>
      <c r="G45" s="174">
        <v>12.54</v>
      </c>
      <c r="H45" s="172">
        <f>D45+F45+'06-11-20'!H45</f>
        <v>44560.240000000005</v>
      </c>
      <c r="I45" s="172">
        <f>E45+G45+'06-11-20'!I45</f>
        <v>1358.1399999999999</v>
      </c>
      <c r="J45" s="172">
        <f>H45+I45</f>
        <v>45918.380000000005</v>
      </c>
      <c r="K45" s="174">
        <f>C45-J45</f>
        <v>16664.619999999995</v>
      </c>
      <c r="L45" s="172">
        <f>C45-((J45/26)*26.0714)</f>
        <v>16538.521064153836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1273.1199999999999</v>
      </c>
      <c r="E46" s="59">
        <f t="shared" si="16"/>
        <v>20.36</v>
      </c>
      <c r="F46" s="59">
        <f t="shared" si="16"/>
        <v>220</v>
      </c>
      <c r="G46" s="59">
        <f t="shared" si="16"/>
        <v>12.54</v>
      </c>
      <c r="H46" s="59">
        <f t="shared" si="16"/>
        <v>44560.240000000005</v>
      </c>
      <c r="I46" s="59">
        <f t="shared" si="16"/>
        <v>1358.1399999999999</v>
      </c>
      <c r="J46" s="59">
        <f t="shared" si="16"/>
        <v>45918.380000000005</v>
      </c>
      <c r="K46" s="59">
        <f t="shared" si="16"/>
        <v>16664.619999999995</v>
      </c>
      <c r="L46" s="59">
        <f t="shared" si="16"/>
        <v>16538.521064153836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s="180" customFormat="1" ht="10.9" customHeight="1" x14ac:dyDescent="0.25">
      <c r="A49" s="186" t="s">
        <v>31</v>
      </c>
      <c r="B49" s="184">
        <v>55180000</v>
      </c>
      <c r="C49" s="171">
        <f>37736+25000</f>
        <v>62736</v>
      </c>
      <c r="D49" s="174">
        <v>0</v>
      </c>
      <c r="E49" s="174">
        <v>0</v>
      </c>
      <c r="F49" s="174">
        <v>497.08</v>
      </c>
      <c r="G49" s="174">
        <v>28.33</v>
      </c>
      <c r="H49" s="172">
        <f>D49+F49+'06-11-20'!H49</f>
        <v>10169.24</v>
      </c>
      <c r="I49" s="172">
        <f>E49+G49+'06-11-20'!I49</f>
        <v>579.5300000000002</v>
      </c>
      <c r="J49" s="172">
        <f>H49+I49</f>
        <v>10748.77</v>
      </c>
      <c r="K49" s="174">
        <f>C49-J49</f>
        <v>51987.229999999996</v>
      </c>
      <c r="L49" s="172">
        <f>C49-((J49/26)*26.0714)</f>
        <v>51957.712223923074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497.08</v>
      </c>
      <c r="G50" s="15">
        <f t="shared" si="17"/>
        <v>28.33</v>
      </c>
      <c r="H50" s="15">
        <f t="shared" si="17"/>
        <v>10169.24</v>
      </c>
      <c r="I50" s="15">
        <f t="shared" si="17"/>
        <v>579.5300000000002</v>
      </c>
      <c r="J50" s="15">
        <f t="shared" si="17"/>
        <v>10748.77</v>
      </c>
      <c r="K50" s="15">
        <f t="shared" si="17"/>
        <v>51987.229999999996</v>
      </c>
      <c r="L50" s="15">
        <f t="shared" si="17"/>
        <v>51957.712223923074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121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120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119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119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118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117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113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114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205" t="s">
        <v>112</v>
      </c>
      <c r="B71" s="205"/>
      <c r="C71" s="205"/>
      <c r="D71" s="205"/>
      <c r="E71" s="205"/>
      <c r="F71" s="205"/>
      <c r="G71" s="83">
        <v>222.14</v>
      </c>
      <c r="M71" s="5"/>
    </row>
    <row r="72" spans="1:13" s="26" customFormat="1" ht="10.9" customHeight="1" x14ac:dyDescent="0.25">
      <c r="A72" s="205" t="s">
        <v>122</v>
      </c>
      <c r="B72" s="205"/>
      <c r="C72" s="205"/>
      <c r="D72" s="205"/>
      <c r="E72" s="205"/>
      <c r="F72" s="205"/>
      <c r="G72" s="116">
        <v>3200</v>
      </c>
    </row>
    <row r="73" spans="1:13" s="26" customFormat="1" ht="10.9" customHeight="1" x14ac:dyDescent="0.25">
      <c r="A73" s="205" t="s">
        <v>115</v>
      </c>
      <c r="B73" s="205"/>
      <c r="C73" s="205"/>
      <c r="D73" s="205"/>
      <c r="E73" s="205"/>
      <c r="F73" s="205"/>
      <c r="G73" s="116">
        <v>4000</v>
      </c>
    </row>
    <row r="74" spans="1:13" s="26" customFormat="1" ht="10.9" customHeight="1" x14ac:dyDescent="0.25">
      <c r="A74" s="205" t="s">
        <v>116</v>
      </c>
      <c r="B74" s="205"/>
      <c r="C74" s="205"/>
      <c r="D74" s="205"/>
      <c r="E74" s="205"/>
      <c r="F74" s="205"/>
      <c r="G74" s="116">
        <v>1800</v>
      </c>
    </row>
    <row r="75" spans="1:13" s="26" customFormat="1" ht="10.9" customHeight="1" x14ac:dyDescent="0.25">
      <c r="A75" s="205" t="s">
        <v>124</v>
      </c>
      <c r="B75" s="205"/>
      <c r="C75" s="205"/>
      <c r="D75" s="205"/>
      <c r="E75" s="205"/>
      <c r="F75" s="205"/>
      <c r="G75" s="116">
        <v>7155</v>
      </c>
    </row>
    <row r="76" spans="1:13" s="26" customFormat="1" ht="10.9" customHeight="1" x14ac:dyDescent="0.25">
      <c r="A76" s="205" t="s">
        <v>127</v>
      </c>
      <c r="B76" s="205"/>
      <c r="C76" s="205"/>
      <c r="D76" s="205"/>
      <c r="E76" s="205"/>
      <c r="F76" s="205"/>
      <c r="G76" s="116">
        <v>6862.01</v>
      </c>
    </row>
    <row r="77" spans="1:13" s="26" customFormat="1" ht="10.9" customHeight="1" x14ac:dyDescent="0.25">
      <c r="A77" s="205" t="s">
        <v>126</v>
      </c>
      <c r="B77" s="205"/>
      <c r="C77" s="205"/>
      <c r="D77" s="205"/>
      <c r="E77" s="205"/>
      <c r="F77" s="205"/>
      <c r="G77" s="83">
        <v>396.97</v>
      </c>
    </row>
    <row r="78" spans="1:13" s="26" customFormat="1" ht="10.9" customHeight="1" x14ac:dyDescent="0.25">
      <c r="A78" s="205" t="s">
        <v>128</v>
      </c>
      <c r="B78" s="205"/>
      <c r="C78" s="205"/>
      <c r="D78" s="205"/>
      <c r="E78" s="205"/>
      <c r="F78" s="205"/>
      <c r="G78" s="83">
        <v>1200</v>
      </c>
    </row>
  </sheetData>
  <mergeCells count="33">
    <mergeCell ref="A76:F76"/>
    <mergeCell ref="A77:F77"/>
    <mergeCell ref="A78:F78"/>
    <mergeCell ref="A70:F70"/>
    <mergeCell ref="A71:F71"/>
    <mergeCell ref="A72:F72"/>
    <mergeCell ref="A73:F73"/>
    <mergeCell ref="A74:F74"/>
    <mergeCell ref="A75:F75"/>
    <mergeCell ref="A69:F69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</mergeCells>
  <pageMargins left="0.25" right="0" top="0.4" bottom="0" header="0.3" footer="0"/>
  <pageSetup scale="91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zoomScale="130" zoomScaleNormal="130" workbookViewId="0">
      <pane ySplit="2" topLeftCell="A3" activePane="bottomLeft" state="frozen"/>
      <selection pane="bottomLeft"/>
    </sheetView>
  </sheetViews>
  <sheetFormatPr defaultColWidth="28" defaultRowHeight="15" x14ac:dyDescent="0.25"/>
  <cols>
    <col min="1" max="1" width="33.1406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bestFit="1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6384" width="28" style="5"/>
  </cols>
  <sheetData>
    <row r="1" spans="1:12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129</v>
      </c>
    </row>
    <row r="2" spans="1:12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s="173" customFormat="1" ht="11.25" customHeight="1" x14ac:dyDescent="0.25">
      <c r="A3" s="169" t="s">
        <v>59</v>
      </c>
      <c r="B3" s="170">
        <v>55010300</v>
      </c>
      <c r="C3" s="171">
        <f>2376+2624-2624+800+243.88+200+21.07</f>
        <v>3640.9500000000003</v>
      </c>
      <c r="D3" s="172">
        <v>0</v>
      </c>
      <c r="E3" s="172">
        <v>0</v>
      </c>
      <c r="F3" s="172">
        <v>0</v>
      </c>
      <c r="G3" s="172">
        <v>0</v>
      </c>
      <c r="H3" s="172">
        <f>D3+F3+'06-25-20'!H3</f>
        <v>3483.6000000000004</v>
      </c>
      <c r="I3" s="172">
        <f>E3+G3+'06-25-20'!I3</f>
        <v>157.35</v>
      </c>
      <c r="J3" s="172">
        <f>H3+I3</f>
        <v>3640.9500000000003</v>
      </c>
      <c r="K3" s="172">
        <f>C3-J3</f>
        <v>0</v>
      </c>
      <c r="L3" s="172">
        <f>C3-((J3/26.2)*26.0714)</f>
        <v>17.871227862595333</v>
      </c>
    </row>
    <row r="4" spans="1:12" s="175" customFormat="1" ht="11.25" customHeight="1" x14ac:dyDescent="0.25">
      <c r="A4" s="169" t="s">
        <v>9</v>
      </c>
      <c r="B4" s="170">
        <v>55010500</v>
      </c>
      <c r="C4" s="171">
        <v>3229</v>
      </c>
      <c r="D4" s="174">
        <v>0</v>
      </c>
      <c r="E4" s="174">
        <v>0</v>
      </c>
      <c r="F4" s="174">
        <v>0</v>
      </c>
      <c r="G4" s="174">
        <v>0</v>
      </c>
      <c r="H4" s="172">
        <f>D4+F4+'06-25-20'!H4</f>
        <v>0</v>
      </c>
      <c r="I4" s="172">
        <f>E4+G4+'06-25-20'!I4</f>
        <v>0</v>
      </c>
      <c r="J4" s="172">
        <f>H4+I4</f>
        <v>0</v>
      </c>
      <c r="K4" s="172">
        <f>C4-J4</f>
        <v>3229</v>
      </c>
      <c r="L4" s="172">
        <f t="shared" ref="L4:L12" si="0">C4-((J4/26.2)*26.0714)</f>
        <v>3229</v>
      </c>
    </row>
    <row r="5" spans="1:12" s="180" customFormat="1" ht="11.25" customHeight="1" x14ac:dyDescent="0.25">
      <c r="A5" s="176" t="s">
        <v>45</v>
      </c>
      <c r="B5" s="177">
        <v>55020200</v>
      </c>
      <c r="C5" s="178">
        <v>24649</v>
      </c>
      <c r="D5" s="179">
        <v>375.79</v>
      </c>
      <c r="E5" s="179">
        <v>6.01</v>
      </c>
      <c r="F5" s="179">
        <v>0</v>
      </c>
      <c r="G5" s="179">
        <v>0</v>
      </c>
      <c r="H5" s="172">
        <f>D5+F5+'06-25-20'!H5</f>
        <v>19007.02</v>
      </c>
      <c r="I5" s="172">
        <f>E5+G5+'06-25-20'!I5</f>
        <v>303.03999999999996</v>
      </c>
      <c r="J5" s="172">
        <f t="shared" ref="J5:J12" si="1">H5+I5</f>
        <v>19310.060000000001</v>
      </c>
      <c r="K5" s="174">
        <f t="shared" ref="K5:K12" si="2">C5-J5</f>
        <v>5338.9399999999987</v>
      </c>
      <c r="L5" s="172">
        <f t="shared" si="0"/>
        <v>5433.7214395419833</v>
      </c>
    </row>
    <row r="6" spans="1:12" s="180" customFormat="1" ht="11.25" customHeight="1" x14ac:dyDescent="0.25">
      <c r="A6" s="169" t="s">
        <v>10</v>
      </c>
      <c r="B6" s="170">
        <v>55020300</v>
      </c>
      <c r="C6" s="171">
        <f>17974-396.97</f>
        <v>17577.03</v>
      </c>
      <c r="D6" s="174">
        <v>0</v>
      </c>
      <c r="E6" s="174">
        <v>0</v>
      </c>
      <c r="F6" s="174">
        <v>0</v>
      </c>
      <c r="G6" s="174">
        <v>0</v>
      </c>
      <c r="H6" s="172">
        <f>D6+F6+'06-25-20'!H6</f>
        <v>10720.1</v>
      </c>
      <c r="I6" s="172">
        <f>E6+G6+'06-25-20'!I6</f>
        <v>175.03</v>
      </c>
      <c r="J6" s="172">
        <f t="shared" si="1"/>
        <v>10895.130000000001</v>
      </c>
      <c r="K6" s="174">
        <f t="shared" si="2"/>
        <v>6681.8999999999978</v>
      </c>
      <c r="L6" s="172">
        <f t="shared" si="0"/>
        <v>6735.3776228244242</v>
      </c>
    </row>
    <row r="7" spans="1:12" s="180" customFormat="1" ht="11.25" customHeight="1" x14ac:dyDescent="0.25">
      <c r="A7" s="169" t="s">
        <v>11</v>
      </c>
      <c r="B7" s="170">
        <v>55020400</v>
      </c>
      <c r="C7" s="171">
        <f>17974+396.97</f>
        <v>18370.97</v>
      </c>
      <c r="D7" s="174">
        <v>0</v>
      </c>
      <c r="E7" s="174">
        <v>0</v>
      </c>
      <c r="F7" s="174">
        <v>0</v>
      </c>
      <c r="G7" s="174">
        <v>0</v>
      </c>
      <c r="H7" s="172">
        <f>D7+F7+'06-25-20'!H7</f>
        <v>18081.88</v>
      </c>
      <c r="I7" s="172">
        <f>E7+G7+'06-25-20'!I7</f>
        <v>289.09000000000003</v>
      </c>
      <c r="J7" s="172">
        <f t="shared" si="1"/>
        <v>18370.97</v>
      </c>
      <c r="K7" s="174">
        <f t="shared" si="2"/>
        <v>0</v>
      </c>
      <c r="L7" s="172">
        <f t="shared" si="0"/>
        <v>90.172013053434057</v>
      </c>
    </row>
    <row r="8" spans="1:12" s="180" customFormat="1" ht="11.25" customHeight="1" x14ac:dyDescent="0.25">
      <c r="A8" s="181" t="s">
        <v>46</v>
      </c>
      <c r="B8" s="170">
        <v>55030200</v>
      </c>
      <c r="C8" s="171">
        <v>24330</v>
      </c>
      <c r="D8" s="174">
        <v>142.81</v>
      </c>
      <c r="E8" s="174">
        <v>2.2799999999999998</v>
      </c>
      <c r="F8" s="174">
        <v>0</v>
      </c>
      <c r="G8" s="174">
        <v>0</v>
      </c>
      <c r="H8" s="172">
        <f>D8+F8+'06-25-20'!H8</f>
        <v>14927.420000000002</v>
      </c>
      <c r="I8" s="172">
        <f>E8+G8+'06-25-20'!I8</f>
        <v>238.66</v>
      </c>
      <c r="J8" s="172">
        <f t="shared" si="1"/>
        <v>15166.080000000002</v>
      </c>
      <c r="K8" s="174">
        <f t="shared" si="2"/>
        <v>9163.9199999999983</v>
      </c>
      <c r="L8" s="172">
        <f t="shared" si="0"/>
        <v>9238.3611407633562</v>
      </c>
    </row>
    <row r="9" spans="1:12" s="180" customFormat="1" ht="11.25" customHeight="1" x14ac:dyDescent="0.25">
      <c r="A9" s="169" t="s">
        <v>94</v>
      </c>
      <c r="B9" s="170">
        <v>55050200</v>
      </c>
      <c r="C9" s="171">
        <v>34000</v>
      </c>
      <c r="D9" s="174">
        <v>286.26</v>
      </c>
      <c r="E9" s="174">
        <v>4.58</v>
      </c>
      <c r="F9" s="174">
        <v>216</v>
      </c>
      <c r="G9" s="174">
        <v>12.31</v>
      </c>
      <c r="H9" s="172">
        <f>D9+F9+'06-25-20'!H9</f>
        <v>27186.7</v>
      </c>
      <c r="I9" s="172">
        <f>E9+G9+'06-25-20'!I9</f>
        <v>764.19999999999993</v>
      </c>
      <c r="J9" s="172">
        <f t="shared" si="1"/>
        <v>27950.9</v>
      </c>
      <c r="K9" s="174">
        <f t="shared" si="2"/>
        <v>6049.0999999999985</v>
      </c>
      <c r="L9" s="172">
        <f t="shared" si="0"/>
        <v>6186.2941122137345</v>
      </c>
    </row>
    <row r="10" spans="1:12" s="182" customFormat="1" ht="11.25" customHeight="1" x14ac:dyDescent="0.25">
      <c r="A10" s="169" t="s">
        <v>12</v>
      </c>
      <c r="B10" s="170">
        <v>55070100</v>
      </c>
      <c r="C10" s="171">
        <f>42741+3200+4000+1800</f>
        <v>51741</v>
      </c>
      <c r="D10" s="174">
        <v>338.23</v>
      </c>
      <c r="E10" s="174">
        <v>5.41</v>
      </c>
      <c r="F10" s="174">
        <v>0</v>
      </c>
      <c r="G10" s="174">
        <v>0</v>
      </c>
      <c r="H10" s="172">
        <f>D10+F10+'06-25-20'!H10</f>
        <v>51650.520000000004</v>
      </c>
      <c r="I10" s="172">
        <f>E10+G10+'06-25-20'!I10</f>
        <v>844.91000000000008</v>
      </c>
      <c r="J10" s="172">
        <f t="shared" si="1"/>
        <v>52495.430000000008</v>
      </c>
      <c r="K10" s="117">
        <f t="shared" si="2"/>
        <v>-754.43000000000757</v>
      </c>
      <c r="L10" s="172">
        <f t="shared" si="0"/>
        <v>-496.76159167940204</v>
      </c>
    </row>
    <row r="11" spans="1:12" s="180" customFormat="1" ht="11.25" customHeight="1" x14ac:dyDescent="0.25">
      <c r="A11" s="169" t="s">
        <v>13</v>
      </c>
      <c r="B11" s="170">
        <v>55080100</v>
      </c>
      <c r="C11" s="171">
        <v>23173</v>
      </c>
      <c r="D11" s="174">
        <v>342.56</v>
      </c>
      <c r="E11" s="174">
        <v>5.48</v>
      </c>
      <c r="F11" s="174">
        <v>0</v>
      </c>
      <c r="G11" s="174">
        <v>0</v>
      </c>
      <c r="H11" s="172">
        <f>D11+F11+'06-25-20'!H11</f>
        <v>18033.800000000003</v>
      </c>
      <c r="I11" s="172">
        <f>E11+G11+'06-25-20'!I11</f>
        <v>364.1</v>
      </c>
      <c r="J11" s="172">
        <f t="shared" si="1"/>
        <v>18397.900000000001</v>
      </c>
      <c r="K11" s="174">
        <f t="shared" si="2"/>
        <v>4775.0999999999985</v>
      </c>
      <c r="L11" s="172">
        <f t="shared" si="0"/>
        <v>4865.4041961832045</v>
      </c>
    </row>
    <row r="12" spans="1:12" s="185" customFormat="1" ht="11.25" customHeight="1" x14ac:dyDescent="0.25">
      <c r="A12" s="183" t="s">
        <v>33</v>
      </c>
      <c r="B12" s="184">
        <v>55190000</v>
      </c>
      <c r="C12" s="171">
        <v>6000</v>
      </c>
      <c r="D12" s="174">
        <v>0</v>
      </c>
      <c r="E12" s="174">
        <v>0</v>
      </c>
      <c r="F12" s="174">
        <v>0</v>
      </c>
      <c r="G12" s="174">
        <v>0</v>
      </c>
      <c r="H12" s="172">
        <f>D12+F12+'06-25-20'!H12</f>
        <v>3702.6000000000004</v>
      </c>
      <c r="I12" s="172">
        <f>E12+G12+'06-25-20'!I12</f>
        <v>59.07</v>
      </c>
      <c r="J12" s="172">
        <f t="shared" si="1"/>
        <v>3761.6700000000005</v>
      </c>
      <c r="K12" s="174">
        <f t="shared" si="2"/>
        <v>2238.3299999999995</v>
      </c>
      <c r="L12" s="172">
        <f t="shared" si="0"/>
        <v>2256.7937695419841</v>
      </c>
    </row>
    <row r="13" spans="1:12" ht="21.6" customHeight="1" thickBot="1" x14ac:dyDescent="0.3">
      <c r="A13" s="208" t="s">
        <v>14</v>
      </c>
      <c r="B13" s="209"/>
      <c r="C13" s="14">
        <f t="shared" ref="C13:L13" si="3">SUM(C3:C12)</f>
        <v>206710.95</v>
      </c>
      <c r="D13" s="15">
        <f t="shared" si="3"/>
        <v>1485.65</v>
      </c>
      <c r="E13" s="15">
        <f t="shared" si="3"/>
        <v>23.76</v>
      </c>
      <c r="F13" s="15">
        <f t="shared" si="3"/>
        <v>216</v>
      </c>
      <c r="G13" s="15">
        <f t="shared" si="3"/>
        <v>12.31</v>
      </c>
      <c r="H13" s="15">
        <f t="shared" si="3"/>
        <v>166793.63999999998</v>
      </c>
      <c r="I13" s="15">
        <f t="shared" si="3"/>
        <v>3195.45</v>
      </c>
      <c r="J13" s="14">
        <f t="shared" si="3"/>
        <v>169989.09000000003</v>
      </c>
      <c r="K13" s="14">
        <f t="shared" si="3"/>
        <v>36721.859999999986</v>
      </c>
      <c r="L13" s="15">
        <f t="shared" si="3"/>
        <v>37556.233930305316</v>
      </c>
    </row>
    <row r="14" spans="1:12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</row>
    <row r="15" spans="1:12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</row>
    <row r="16" spans="1:12" s="180" customFormat="1" ht="11.45" customHeight="1" x14ac:dyDescent="0.25">
      <c r="A16" s="186" t="s">
        <v>15</v>
      </c>
      <c r="B16" s="184">
        <v>55090100</v>
      </c>
      <c r="C16" s="171">
        <v>26923</v>
      </c>
      <c r="D16" s="174">
        <v>171.2</v>
      </c>
      <c r="E16" s="174">
        <v>2.73</v>
      </c>
      <c r="F16" s="174">
        <v>0</v>
      </c>
      <c r="G16" s="174">
        <v>0</v>
      </c>
      <c r="H16" s="172">
        <f>D16+F16+'06-25-20'!H16</f>
        <v>2197.7799999999997</v>
      </c>
      <c r="I16" s="172">
        <f>E16+G16+'06-25-20'!I16</f>
        <v>35.11</v>
      </c>
      <c r="J16" s="172">
        <f>H16+I16</f>
        <v>2232.89</v>
      </c>
      <c r="K16" s="174">
        <f>C16-J16</f>
        <v>24690.11</v>
      </c>
      <c r="L16" s="172">
        <f t="shared" ref="L16:L18" si="4">C16-((J16/26.2)*26.0714)</f>
        <v>24701.069910458016</v>
      </c>
    </row>
    <row r="17" spans="1:13" s="180" customFormat="1" ht="11.45" customHeight="1" x14ac:dyDescent="0.25">
      <c r="A17" s="169" t="s">
        <v>16</v>
      </c>
      <c r="B17" s="170">
        <v>55160100</v>
      </c>
      <c r="C17" s="171">
        <v>16062</v>
      </c>
      <c r="D17" s="172">
        <v>0</v>
      </c>
      <c r="E17" s="172">
        <v>0</v>
      </c>
      <c r="F17" s="174">
        <v>0</v>
      </c>
      <c r="G17" s="174">
        <v>0</v>
      </c>
      <c r="H17" s="172">
        <f>D17+F17+'06-25-20'!H17</f>
        <v>4470.76</v>
      </c>
      <c r="I17" s="172">
        <f>E17+G17+'06-25-20'!I17</f>
        <v>88.56</v>
      </c>
      <c r="J17" s="172">
        <f>H17+I17</f>
        <v>4559.3200000000006</v>
      </c>
      <c r="K17" s="174">
        <f>C17-J17</f>
        <v>11502.68</v>
      </c>
      <c r="L17" s="172">
        <f t="shared" si="4"/>
        <v>11525.058952366411</v>
      </c>
    </row>
    <row r="18" spans="1:13" s="180" customFormat="1" ht="11.45" customHeight="1" x14ac:dyDescent="0.25">
      <c r="A18" s="186" t="s">
        <v>17</v>
      </c>
      <c r="B18" s="184">
        <v>55100100</v>
      </c>
      <c r="C18" s="171">
        <v>2026</v>
      </c>
      <c r="D18" s="174">
        <v>28.68</v>
      </c>
      <c r="E18" s="174">
        <v>0.45</v>
      </c>
      <c r="F18" s="174">
        <v>0</v>
      </c>
      <c r="G18" s="174">
        <v>0</v>
      </c>
      <c r="H18" s="172">
        <f>D18+F18+'06-25-20'!H18</f>
        <v>1446.9099999999996</v>
      </c>
      <c r="I18" s="172">
        <f>E18+G18+'06-25-20'!I18</f>
        <v>23.03</v>
      </c>
      <c r="J18" s="172">
        <f>H18+I18</f>
        <v>1469.9399999999996</v>
      </c>
      <c r="K18" s="174">
        <f>C18-J18</f>
        <v>556.0600000000004</v>
      </c>
      <c r="L18" s="172">
        <f t="shared" si="4"/>
        <v>563.27504900763392</v>
      </c>
    </row>
    <row r="19" spans="1:13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199.88</v>
      </c>
      <c r="E19" s="15">
        <f t="shared" si="5"/>
        <v>3.18</v>
      </c>
      <c r="F19" s="15">
        <f t="shared" si="5"/>
        <v>0</v>
      </c>
      <c r="G19" s="15">
        <f t="shared" si="5"/>
        <v>0</v>
      </c>
      <c r="H19" s="15">
        <f t="shared" si="5"/>
        <v>8115.45</v>
      </c>
      <c r="I19" s="15">
        <f t="shared" si="5"/>
        <v>146.69999999999999</v>
      </c>
      <c r="J19" s="14">
        <f t="shared" si="5"/>
        <v>8262.1500000000015</v>
      </c>
      <c r="K19" s="15">
        <f t="shared" si="5"/>
        <v>36748.85</v>
      </c>
      <c r="L19" s="15">
        <f t="shared" si="5"/>
        <v>36789.403911832065</v>
      </c>
    </row>
    <row r="20" spans="1:13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</row>
    <row r="21" spans="1:13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3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</row>
    <row r="23" spans="1:13" s="185" customFormat="1" ht="11.45" customHeight="1" x14ac:dyDescent="0.25">
      <c r="A23" s="186" t="s">
        <v>93</v>
      </c>
      <c r="B23" s="184">
        <v>55200000</v>
      </c>
      <c r="C23" s="171">
        <f>25000+150+2438.4</f>
        <v>27588.400000000001</v>
      </c>
      <c r="D23" s="174">
        <v>258.75</v>
      </c>
      <c r="E23" s="174">
        <v>4.13</v>
      </c>
      <c r="F23" s="174">
        <v>0</v>
      </c>
      <c r="G23" s="174">
        <v>0</v>
      </c>
      <c r="H23" s="172">
        <f>D23+F23+'06-25-20'!H23</f>
        <v>18123.75</v>
      </c>
      <c r="I23" s="172">
        <f>E23+G23+'06-25-20'!I23</f>
        <v>289.93</v>
      </c>
      <c r="J23" s="172">
        <f t="shared" si="7"/>
        <v>18413.68</v>
      </c>
      <c r="K23" s="174">
        <f t="shared" si="8"/>
        <v>9174.7200000000012</v>
      </c>
      <c r="L23" s="172">
        <f t="shared" ref="L23:L25" si="10">C23-((J23/26.2)*26.0714)</f>
        <v>9265.1016506870255</v>
      </c>
      <c r="M23" s="187"/>
    </row>
    <row r="24" spans="1:13" s="185" customFormat="1" ht="11.45" customHeight="1" x14ac:dyDescent="0.25">
      <c r="A24" s="186" t="s">
        <v>39</v>
      </c>
      <c r="B24" s="188" t="s">
        <v>50</v>
      </c>
      <c r="C24" s="189">
        <v>14500</v>
      </c>
      <c r="D24" s="190">
        <v>83.79</v>
      </c>
      <c r="E24" s="190">
        <v>1.34</v>
      </c>
      <c r="F24" s="190">
        <v>0</v>
      </c>
      <c r="G24" s="190">
        <v>0</v>
      </c>
      <c r="H24" s="172">
        <f>D24+F24+'06-25-20'!H24</f>
        <v>10335.57</v>
      </c>
      <c r="I24" s="172">
        <f>E24+G24+'06-25-20'!I24</f>
        <v>187.07999999999998</v>
      </c>
      <c r="J24" s="172">
        <f t="shared" si="7"/>
        <v>10522.65</v>
      </c>
      <c r="K24" s="174">
        <f t="shared" si="8"/>
        <v>3977.3500000000004</v>
      </c>
      <c r="L24" s="172">
        <f t="shared" si="10"/>
        <v>4028.9993431297698</v>
      </c>
    </row>
    <row r="25" spans="1:13" s="185" customFormat="1" ht="10.9" customHeight="1" x14ac:dyDescent="0.25">
      <c r="A25" s="191" t="s">
        <v>40</v>
      </c>
      <c r="B25" s="192" t="s">
        <v>41</v>
      </c>
      <c r="C25" s="193">
        <v>5271.53</v>
      </c>
      <c r="D25" s="190">
        <v>0</v>
      </c>
      <c r="E25" s="190">
        <v>0</v>
      </c>
      <c r="F25" s="190">
        <v>0</v>
      </c>
      <c r="G25" s="190">
        <v>0</v>
      </c>
      <c r="H25" s="172">
        <f>D25+F25+'06-25-20'!H25</f>
        <v>1968</v>
      </c>
      <c r="I25" s="172">
        <f>E25+G25+'06-25-20'!I25</f>
        <v>112.12</v>
      </c>
      <c r="J25" s="172">
        <f>H25+I25</f>
        <v>2080.12</v>
      </c>
      <c r="K25" s="174">
        <f>C25-J25</f>
        <v>3191.41</v>
      </c>
      <c r="L25" s="172">
        <f t="shared" si="10"/>
        <v>3201.6200546564883</v>
      </c>
    </row>
    <row r="26" spans="1:13" ht="24.75" customHeight="1" thickBot="1" x14ac:dyDescent="0.3">
      <c r="A26" s="210" t="s">
        <v>22</v>
      </c>
      <c r="B26" s="211"/>
      <c r="C26" s="49">
        <f>SUM(C22:C24)</f>
        <v>42088.4</v>
      </c>
      <c r="D26" s="49">
        <f t="shared" ref="D26:K26" si="11">SUM(D22:D25)</f>
        <v>342.54</v>
      </c>
      <c r="E26" s="49">
        <f t="shared" si="11"/>
        <v>5.47</v>
      </c>
      <c r="F26" s="49">
        <f t="shared" si="11"/>
        <v>0</v>
      </c>
      <c r="G26" s="49">
        <f t="shared" si="11"/>
        <v>0</v>
      </c>
      <c r="H26" s="49">
        <f t="shared" si="11"/>
        <v>30427.32</v>
      </c>
      <c r="I26" s="49">
        <f t="shared" si="11"/>
        <v>589.13</v>
      </c>
      <c r="J26" s="49">
        <f t="shared" si="11"/>
        <v>31016.45</v>
      </c>
      <c r="K26" s="49">
        <f t="shared" si="11"/>
        <v>16343.480000000001</v>
      </c>
      <c r="L26" s="50">
        <f>SUM(L23:L25)</f>
        <v>16495.721048473282</v>
      </c>
    </row>
    <row r="27" spans="1:13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</row>
    <row r="28" spans="1:13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</row>
    <row r="29" spans="1:13" ht="21.6" customHeight="1" x14ac:dyDescent="0.25">
      <c r="A29" s="212" t="s">
        <v>23</v>
      </c>
      <c r="B29" s="212"/>
      <c r="C29" s="50">
        <f t="shared" ref="C29:L29" si="12">C13+C19+C26</f>
        <v>293810.35000000003</v>
      </c>
      <c r="D29" s="50">
        <f t="shared" si="12"/>
        <v>2028.0700000000002</v>
      </c>
      <c r="E29" s="50">
        <f t="shared" si="12"/>
        <v>32.410000000000004</v>
      </c>
      <c r="F29" s="50">
        <f t="shared" si="12"/>
        <v>216</v>
      </c>
      <c r="G29" s="50">
        <f t="shared" si="12"/>
        <v>12.31</v>
      </c>
      <c r="H29" s="50">
        <f t="shared" si="12"/>
        <v>205336.41</v>
      </c>
      <c r="I29" s="50">
        <f t="shared" si="12"/>
        <v>3931.2799999999997</v>
      </c>
      <c r="J29" s="50">
        <f t="shared" si="12"/>
        <v>209267.69000000003</v>
      </c>
      <c r="K29" s="50">
        <f t="shared" si="12"/>
        <v>89814.189999999988</v>
      </c>
      <c r="L29" s="50">
        <f t="shared" si="12"/>
        <v>90841.35889061066</v>
      </c>
    </row>
    <row r="30" spans="1:13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</row>
    <row r="31" spans="1:13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</row>
    <row r="32" spans="1:13" s="195" customFormat="1" x14ac:dyDescent="0.25">
      <c r="A32" s="191" t="s">
        <v>37</v>
      </c>
      <c r="B32" s="194" t="s">
        <v>105</v>
      </c>
      <c r="C32" s="172">
        <v>600.30999999999995</v>
      </c>
      <c r="D32" s="174">
        <v>0</v>
      </c>
      <c r="E32" s="174">
        <v>0</v>
      </c>
      <c r="F32" s="174">
        <v>0</v>
      </c>
      <c r="G32" s="174">
        <v>0</v>
      </c>
      <c r="H32" s="172">
        <f>D32+F32+'06-25-20'!H32</f>
        <v>0</v>
      </c>
      <c r="I32" s="172">
        <f>E32+G32+'06-25-20'!I32</f>
        <v>0</v>
      </c>
      <c r="J32" s="174">
        <f t="shared" ref="J32:J40" si="13">H32+I32</f>
        <v>0</v>
      </c>
      <c r="K32" s="174">
        <f t="shared" ref="K32:K40" si="14">C32-J32</f>
        <v>600.30999999999995</v>
      </c>
      <c r="L32" s="172">
        <f t="shared" ref="L32:L41" si="15">C32-((J32/26.2)*26.0714)</f>
        <v>600.30999999999995</v>
      </c>
    </row>
    <row r="33" spans="1:13" s="198" customFormat="1" ht="11.25" hidden="1" customHeight="1" x14ac:dyDescent="0.25">
      <c r="A33" s="196" t="s">
        <v>91</v>
      </c>
      <c r="B33" s="197" t="s">
        <v>66</v>
      </c>
      <c r="C33" s="174">
        <v>0</v>
      </c>
      <c r="D33" s="172"/>
      <c r="E33" s="172"/>
      <c r="F33" s="172"/>
      <c r="G33" s="172"/>
      <c r="H33" s="172">
        <f>D33+F33+'06-25-20'!H33</f>
        <v>0</v>
      </c>
      <c r="I33" s="172">
        <f>E33+G33+'06-25-20'!I33</f>
        <v>0</v>
      </c>
      <c r="J33" s="174">
        <f t="shared" si="13"/>
        <v>0</v>
      </c>
      <c r="K33" s="172">
        <f t="shared" si="14"/>
        <v>0</v>
      </c>
      <c r="L33" s="172">
        <f t="shared" si="15"/>
        <v>0</v>
      </c>
      <c r="M33" s="182"/>
    </row>
    <row r="34" spans="1:13" s="195" customFormat="1" ht="11.25" customHeight="1" x14ac:dyDescent="0.25">
      <c r="A34" s="196" t="s">
        <v>90</v>
      </c>
      <c r="B34" s="194" t="s">
        <v>104</v>
      </c>
      <c r="C34" s="174">
        <v>12000</v>
      </c>
      <c r="D34" s="174">
        <v>192</v>
      </c>
      <c r="E34" s="174">
        <v>3.07</v>
      </c>
      <c r="F34" s="174">
        <v>0</v>
      </c>
      <c r="G34" s="174">
        <v>0</v>
      </c>
      <c r="H34" s="172">
        <f>D34+F34+'06-25-20'!H34</f>
        <v>8889.74</v>
      </c>
      <c r="I34" s="172">
        <f>E34+G34+'06-25-20'!I34</f>
        <v>336.26999999999992</v>
      </c>
      <c r="J34" s="174">
        <f t="shared" si="13"/>
        <v>9226.01</v>
      </c>
      <c r="K34" s="174">
        <f>C34-J34</f>
        <v>2773.99</v>
      </c>
      <c r="L34" s="172">
        <f t="shared" si="15"/>
        <v>2819.2749193129766</v>
      </c>
      <c r="M34" s="187"/>
    </row>
    <row r="35" spans="1:13" s="198" customFormat="1" ht="11.25" customHeight="1" x14ac:dyDescent="0.25">
      <c r="A35" s="191" t="s">
        <v>61</v>
      </c>
      <c r="B35" s="199" t="s">
        <v>63</v>
      </c>
      <c r="C35" s="172">
        <f>765.34+6862.01</f>
        <v>7627.35</v>
      </c>
      <c r="D35" s="172">
        <v>0</v>
      </c>
      <c r="E35" s="172">
        <v>0</v>
      </c>
      <c r="F35" s="172">
        <v>0</v>
      </c>
      <c r="G35" s="172">
        <v>0</v>
      </c>
      <c r="H35" s="172">
        <f>D35+F35+'06-25-20'!H35</f>
        <v>277.20000000000005</v>
      </c>
      <c r="I35" s="172">
        <f>E35+G35+'06-25-20'!I35</f>
        <v>15.79</v>
      </c>
      <c r="J35" s="172">
        <f t="shared" si="13"/>
        <v>292.99000000000007</v>
      </c>
      <c r="K35" s="172">
        <f t="shared" si="14"/>
        <v>7334.3600000000006</v>
      </c>
      <c r="L35" s="172">
        <f t="shared" si="15"/>
        <v>7335.7981112213747</v>
      </c>
    </row>
    <row r="36" spans="1:13" s="198" customFormat="1" ht="11.25" customHeight="1" x14ac:dyDescent="0.25">
      <c r="A36" s="191" t="s">
        <v>68</v>
      </c>
      <c r="B36" s="199" t="s">
        <v>66</v>
      </c>
      <c r="C36" s="172">
        <f>6353.85+7155+1200</f>
        <v>14708.85</v>
      </c>
      <c r="D36" s="172">
        <v>37.25</v>
      </c>
      <c r="E36" s="172">
        <v>0.59</v>
      </c>
      <c r="F36" s="172">
        <v>0</v>
      </c>
      <c r="G36" s="172">
        <v>0</v>
      </c>
      <c r="H36" s="172">
        <f>D36+F36+'06-25-20'!H36</f>
        <v>8137.73</v>
      </c>
      <c r="I36" s="172">
        <f>E36+G36+'06-25-20'!I36</f>
        <v>130.06000000000003</v>
      </c>
      <c r="J36" s="172">
        <f t="shared" si="13"/>
        <v>8267.7899999999991</v>
      </c>
      <c r="K36" s="200">
        <f t="shared" si="14"/>
        <v>6441.0600000000013</v>
      </c>
      <c r="L36" s="172">
        <f t="shared" si="15"/>
        <v>6481.6415951908402</v>
      </c>
      <c r="M36" s="182"/>
    </row>
    <row r="37" spans="1:13" s="198" customFormat="1" ht="11.25" customHeight="1" x14ac:dyDescent="0.25">
      <c r="A37" s="191" t="s">
        <v>96</v>
      </c>
      <c r="B37" s="199">
        <v>55110000</v>
      </c>
      <c r="C37" s="172">
        <v>2659</v>
      </c>
      <c r="D37" s="172">
        <v>0</v>
      </c>
      <c r="E37" s="172">
        <v>0</v>
      </c>
      <c r="F37" s="172">
        <v>0</v>
      </c>
      <c r="G37" s="172">
        <v>0</v>
      </c>
      <c r="H37" s="172">
        <f>D37+F37+'06-25-20'!H37</f>
        <v>0</v>
      </c>
      <c r="I37" s="172">
        <f>E37+G37+'06-25-20'!I37</f>
        <v>0</v>
      </c>
      <c r="J37" s="172">
        <f t="shared" si="13"/>
        <v>0</v>
      </c>
      <c r="K37" s="172">
        <f t="shared" si="14"/>
        <v>2659</v>
      </c>
      <c r="L37" s="172">
        <f t="shared" si="15"/>
        <v>2659</v>
      </c>
      <c r="M37" s="182"/>
    </row>
    <row r="38" spans="1:13" s="198" customFormat="1" ht="11.45" customHeight="1" x14ac:dyDescent="0.25">
      <c r="A38" s="191" t="s">
        <v>36</v>
      </c>
      <c r="B38" s="194" t="s">
        <v>103</v>
      </c>
      <c r="C38" s="171">
        <f>3656.34+222.14</f>
        <v>3878.48</v>
      </c>
      <c r="D38" s="174">
        <v>0</v>
      </c>
      <c r="E38" s="174">
        <v>0</v>
      </c>
      <c r="F38" s="174">
        <v>0</v>
      </c>
      <c r="G38" s="174">
        <v>0</v>
      </c>
      <c r="H38" s="172">
        <f>D38+F38+'06-25-20'!H38</f>
        <v>3708.53</v>
      </c>
      <c r="I38" s="172">
        <f>E38+G38+'06-25-20'!I38</f>
        <v>169.95000000000002</v>
      </c>
      <c r="J38" s="172">
        <f t="shared" si="13"/>
        <v>3878.48</v>
      </c>
      <c r="K38" s="174">
        <f t="shared" si="14"/>
        <v>0</v>
      </c>
      <c r="L38" s="172">
        <f t="shared" si="15"/>
        <v>19.03711938931292</v>
      </c>
    </row>
    <row r="39" spans="1:13" s="182" customFormat="1" ht="11.45" customHeight="1" x14ac:dyDescent="0.25">
      <c r="A39" s="201" t="s">
        <v>42</v>
      </c>
      <c r="B39" s="202" t="s">
        <v>101</v>
      </c>
      <c r="C39" s="171">
        <f>900+1850</f>
        <v>2750</v>
      </c>
      <c r="D39" s="174">
        <v>0</v>
      </c>
      <c r="E39" s="174">
        <v>0</v>
      </c>
      <c r="F39" s="174">
        <v>0</v>
      </c>
      <c r="G39" s="174">
        <v>0</v>
      </c>
      <c r="H39" s="172">
        <f>D39+F39+'06-25-20'!H39</f>
        <v>2324.0699999999997</v>
      </c>
      <c r="I39" s="172">
        <f>E39+G39+'06-25-20'!I39</f>
        <v>37.15</v>
      </c>
      <c r="J39" s="172">
        <f t="shared" si="13"/>
        <v>2361.2199999999998</v>
      </c>
      <c r="K39" s="174">
        <f t="shared" si="14"/>
        <v>388.7800000000002</v>
      </c>
      <c r="L39" s="172">
        <f t="shared" si="15"/>
        <v>400.36980503816812</v>
      </c>
    </row>
    <row r="40" spans="1:13" s="182" customFormat="1" ht="11.45" customHeight="1" x14ac:dyDescent="0.25">
      <c r="A40" s="201" t="s">
        <v>48</v>
      </c>
      <c r="B40" s="202" t="s">
        <v>102</v>
      </c>
      <c r="C40" s="171">
        <v>12366.9</v>
      </c>
      <c r="D40" s="172">
        <v>0</v>
      </c>
      <c r="E40" s="172">
        <v>0</v>
      </c>
      <c r="F40" s="172">
        <v>0</v>
      </c>
      <c r="G40" s="172">
        <v>0</v>
      </c>
      <c r="H40" s="172">
        <f>D40+F40+'06-25-20'!H40</f>
        <v>5628.75</v>
      </c>
      <c r="I40" s="172">
        <f>E40+G40+'06-25-20'!I40</f>
        <v>90.05</v>
      </c>
      <c r="J40" s="172">
        <f t="shared" si="13"/>
        <v>5718.8</v>
      </c>
      <c r="K40" s="172">
        <f t="shared" si="14"/>
        <v>6648.0999999999995</v>
      </c>
      <c r="L40" s="172">
        <f t="shared" si="15"/>
        <v>6676.1701404580144</v>
      </c>
    </row>
    <row r="41" spans="1:13" s="182" customFormat="1" ht="11.45" customHeight="1" x14ac:dyDescent="0.25">
      <c r="A41" s="203" t="s">
        <v>26</v>
      </c>
      <c r="B41" s="202" t="s">
        <v>47</v>
      </c>
      <c r="C41" s="204">
        <f>15220+412.36+380.52</f>
        <v>16012.880000000001</v>
      </c>
      <c r="D41" s="172">
        <v>0</v>
      </c>
      <c r="E41" s="172">
        <v>0</v>
      </c>
      <c r="F41" s="172">
        <v>360</v>
      </c>
      <c r="G41" s="172">
        <v>20.52</v>
      </c>
      <c r="H41" s="172">
        <f>D41+F41+'06-25-20'!H41</f>
        <v>15149.4</v>
      </c>
      <c r="I41" s="172">
        <f>E41+G41+'06-25-20'!I41</f>
        <v>863.47999999999979</v>
      </c>
      <c r="J41" s="172">
        <f>H41+I41</f>
        <v>16012.88</v>
      </c>
      <c r="K41" s="174">
        <f>C41-J41</f>
        <v>0</v>
      </c>
      <c r="L41" s="172">
        <f t="shared" si="15"/>
        <v>78.59757129771242</v>
      </c>
    </row>
    <row r="42" spans="1:13" ht="21.6" customHeight="1" x14ac:dyDescent="0.25">
      <c r="A42" s="206" t="s">
        <v>27</v>
      </c>
      <c r="B42" s="207"/>
      <c r="C42" s="15">
        <f>SUM(C32:C41)</f>
        <v>72603.77</v>
      </c>
      <c r="D42" s="15">
        <f>SUM(D32:D41)</f>
        <v>229.25</v>
      </c>
      <c r="E42" s="15">
        <f>SUM(E32:E41)</f>
        <v>3.6599999999999997</v>
      </c>
      <c r="F42" s="15">
        <f>SUM(F32:F41)</f>
        <v>360</v>
      </c>
      <c r="G42" s="15">
        <f>SUM(G32:G41)</f>
        <v>20.52</v>
      </c>
      <c r="H42" s="15">
        <f>SUM(H32, H33:H41)</f>
        <v>44115.42</v>
      </c>
      <c r="I42" s="15">
        <f>SUM(I32, I33:I41)</f>
        <v>1642.7499999999998</v>
      </c>
      <c r="J42" s="15">
        <f>SUM(J32, J33:J41)</f>
        <v>45758.17</v>
      </c>
      <c r="K42" s="15">
        <f>SUM(K32, K33:K41)</f>
        <v>26845.599999999999</v>
      </c>
      <c r="L42" s="15">
        <f>SUM(L32, L33:L41)</f>
        <v>27070.199261908401</v>
      </c>
    </row>
    <row r="43" spans="1:13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3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3" s="180" customFormat="1" ht="10.9" customHeight="1" x14ac:dyDescent="0.25">
      <c r="A45" s="169" t="s">
        <v>28</v>
      </c>
      <c r="B45" s="170" t="s">
        <v>29</v>
      </c>
      <c r="C45" s="171">
        <f>61895+688</f>
        <v>62583</v>
      </c>
      <c r="D45" s="174">
        <v>293.33999999999997</v>
      </c>
      <c r="E45" s="174">
        <v>4.6900000000000004</v>
      </c>
      <c r="F45" s="174">
        <v>66</v>
      </c>
      <c r="G45" s="174">
        <v>3.76</v>
      </c>
      <c r="H45" s="172">
        <f>D45+F45+'06-25-20'!H45</f>
        <v>44919.58</v>
      </c>
      <c r="I45" s="172">
        <f>E45+G45+'06-25-20'!I45</f>
        <v>1366.59</v>
      </c>
      <c r="J45" s="172">
        <f>H45+I45</f>
        <v>46286.17</v>
      </c>
      <c r="K45" s="174">
        <f>C45-J45</f>
        <v>16296.830000000002</v>
      </c>
      <c r="L45" s="172">
        <f>C45-((J45/26.2)*26.0714)</f>
        <v>16524.020895496185</v>
      </c>
    </row>
    <row r="46" spans="1:13" ht="21.6" customHeight="1" x14ac:dyDescent="0.25">
      <c r="A46" s="57" t="s">
        <v>30</v>
      </c>
      <c r="B46" s="58"/>
      <c r="C46" s="59">
        <f>C45</f>
        <v>62583</v>
      </c>
      <c r="D46" s="59">
        <f t="shared" ref="D46:L46" si="16">D45</f>
        <v>293.33999999999997</v>
      </c>
      <c r="E46" s="59">
        <f t="shared" si="16"/>
        <v>4.6900000000000004</v>
      </c>
      <c r="F46" s="59">
        <f t="shared" si="16"/>
        <v>66</v>
      </c>
      <c r="G46" s="59">
        <f t="shared" si="16"/>
        <v>3.76</v>
      </c>
      <c r="H46" s="59">
        <f t="shared" si="16"/>
        <v>44919.58</v>
      </c>
      <c r="I46" s="59">
        <f t="shared" si="16"/>
        <v>1366.59</v>
      </c>
      <c r="J46" s="59">
        <f t="shared" si="16"/>
        <v>46286.17</v>
      </c>
      <c r="K46" s="59">
        <f t="shared" si="16"/>
        <v>16296.830000000002</v>
      </c>
      <c r="L46" s="59">
        <f t="shared" si="16"/>
        <v>16524.020895496185</v>
      </c>
    </row>
    <row r="47" spans="1:13" ht="10.9" customHeight="1" x14ac:dyDescent="0.25">
      <c r="A47" s="51"/>
      <c r="B47" s="52"/>
      <c r="C47" s="53"/>
      <c r="D47" s="54"/>
      <c r="E47" s="54"/>
      <c r="F47" s="54"/>
      <c r="G47" s="54"/>
      <c r="H47" s="53"/>
      <c r="I47" s="53"/>
      <c r="J47" s="53"/>
      <c r="K47" s="53"/>
      <c r="L47" s="53"/>
    </row>
    <row r="48" spans="1:13" ht="10.9" customHeight="1" x14ac:dyDescent="0.25">
      <c r="A48" s="51"/>
      <c r="B48" s="52"/>
      <c r="C48" s="53"/>
      <c r="D48" s="54"/>
      <c r="E48" s="54"/>
      <c r="F48" s="54"/>
      <c r="G48" s="54"/>
      <c r="H48" s="53"/>
      <c r="I48" s="53"/>
      <c r="J48" s="53"/>
      <c r="K48" s="53"/>
      <c r="L48" s="53"/>
    </row>
    <row r="49" spans="1:12" s="180" customFormat="1" ht="10.9" customHeight="1" x14ac:dyDescent="0.25">
      <c r="A49" s="186" t="s">
        <v>31</v>
      </c>
      <c r="B49" s="184">
        <v>55180000</v>
      </c>
      <c r="C49" s="171">
        <f>37736+25000</f>
        <v>62736</v>
      </c>
      <c r="D49" s="174">
        <v>0</v>
      </c>
      <c r="E49" s="174">
        <v>0</v>
      </c>
      <c r="F49" s="174">
        <v>131.58000000000001</v>
      </c>
      <c r="G49" s="174">
        <v>7.5</v>
      </c>
      <c r="H49" s="172">
        <f>D49+F49+'06-25-20'!H49</f>
        <v>10300.82</v>
      </c>
      <c r="I49" s="172">
        <f>E49+G49+'06-25-20'!I49</f>
        <v>587.0300000000002</v>
      </c>
      <c r="J49" s="172">
        <f>H49+I49</f>
        <v>10887.85</v>
      </c>
      <c r="K49" s="174">
        <f>C49-J49</f>
        <v>51848.15</v>
      </c>
      <c r="L49" s="172">
        <f>C49-((J49/26.2)*26.0714)</f>
        <v>51901.591889694653</v>
      </c>
    </row>
    <row r="50" spans="1:12" s="43" customFormat="1" ht="21.6" customHeight="1" x14ac:dyDescent="0.25">
      <c r="A50" s="206" t="s">
        <v>32</v>
      </c>
      <c r="B50" s="207"/>
      <c r="C50" s="15">
        <f>SUM(C49)</f>
        <v>62736</v>
      </c>
      <c r="D50" s="15">
        <f t="shared" ref="D50:L50" si="17">SUM(D49)</f>
        <v>0</v>
      </c>
      <c r="E50" s="15">
        <f t="shared" si="17"/>
        <v>0</v>
      </c>
      <c r="F50" s="15">
        <f t="shared" si="17"/>
        <v>131.58000000000001</v>
      </c>
      <c r="G50" s="15">
        <f t="shared" si="17"/>
        <v>7.5</v>
      </c>
      <c r="H50" s="15">
        <f t="shared" si="17"/>
        <v>10300.82</v>
      </c>
      <c r="I50" s="15">
        <f t="shared" si="17"/>
        <v>587.0300000000002</v>
      </c>
      <c r="J50" s="15">
        <f t="shared" si="17"/>
        <v>10887.85</v>
      </c>
      <c r="K50" s="15">
        <f t="shared" si="17"/>
        <v>51848.15</v>
      </c>
      <c r="L50" s="15">
        <f t="shared" si="17"/>
        <v>51901.591889694653</v>
      </c>
    </row>
    <row r="51" spans="1:12" s="43" customFormat="1" ht="11.25" customHeight="1" x14ac:dyDescent="0.2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26" customFormat="1" ht="10.9" customHeight="1" x14ac:dyDescent="0.25">
      <c r="A52" s="205" t="s">
        <v>121</v>
      </c>
      <c r="B52" s="205"/>
      <c r="C52" s="205"/>
      <c r="D52" s="205"/>
      <c r="E52" s="205"/>
      <c r="F52" s="205"/>
      <c r="G52" s="83">
        <v>688</v>
      </c>
    </row>
    <row r="53" spans="1:12" s="26" customFormat="1" ht="10.9" customHeight="1" x14ac:dyDescent="0.25">
      <c r="A53" s="205" t="s">
        <v>120</v>
      </c>
      <c r="B53" s="205"/>
      <c r="C53" s="205"/>
      <c r="D53" s="205"/>
      <c r="E53" s="205"/>
      <c r="F53" s="205"/>
      <c r="G53" s="83">
        <v>12000</v>
      </c>
    </row>
    <row r="54" spans="1:12" s="26" customFormat="1" ht="10.9" customHeight="1" x14ac:dyDescent="0.25">
      <c r="A54" s="205" t="s">
        <v>119</v>
      </c>
      <c r="B54" s="205"/>
      <c r="C54" s="205"/>
      <c r="D54" s="205"/>
      <c r="E54" s="205"/>
      <c r="F54" s="205"/>
      <c r="G54" s="83">
        <v>2376</v>
      </c>
    </row>
    <row r="55" spans="1:12" s="26" customFormat="1" ht="10.9" customHeight="1" x14ac:dyDescent="0.25">
      <c r="A55" s="205" t="s">
        <v>119</v>
      </c>
      <c r="B55" s="205"/>
      <c r="C55" s="205"/>
      <c r="D55" s="205"/>
      <c r="E55" s="205"/>
      <c r="F55" s="205"/>
      <c r="G55" s="83">
        <v>2624</v>
      </c>
    </row>
    <row r="56" spans="1:12" s="26" customFormat="1" ht="10.9" customHeight="1" x14ac:dyDescent="0.25">
      <c r="A56" s="205" t="s">
        <v>118</v>
      </c>
      <c r="B56" s="205"/>
      <c r="C56" s="205"/>
      <c r="D56" s="205"/>
      <c r="E56" s="205"/>
      <c r="F56" s="205"/>
      <c r="G56" s="116">
        <v>2624</v>
      </c>
    </row>
    <row r="57" spans="1:12" s="26" customFormat="1" ht="10.9" customHeight="1" x14ac:dyDescent="0.25">
      <c r="A57" s="205" t="s">
        <v>117</v>
      </c>
      <c r="B57" s="205"/>
      <c r="C57" s="205"/>
      <c r="D57" s="205"/>
      <c r="E57" s="205"/>
      <c r="F57" s="205"/>
      <c r="G57" s="83">
        <v>5271.53</v>
      </c>
    </row>
    <row r="58" spans="1:12" s="26" customFormat="1" ht="10.9" customHeight="1" x14ac:dyDescent="0.25">
      <c r="A58" s="205" t="s">
        <v>62</v>
      </c>
      <c r="B58" s="205"/>
      <c r="C58" s="205"/>
      <c r="D58" s="205"/>
      <c r="E58" s="205"/>
      <c r="F58" s="205"/>
      <c r="G58" s="83">
        <v>765.34</v>
      </c>
    </row>
    <row r="59" spans="1:12" s="26" customFormat="1" ht="10.9" customHeight="1" x14ac:dyDescent="0.25">
      <c r="A59" s="205" t="s">
        <v>67</v>
      </c>
      <c r="B59" s="205"/>
      <c r="C59" s="205"/>
      <c r="D59" s="205"/>
      <c r="E59" s="205"/>
      <c r="F59" s="205"/>
      <c r="G59" s="83">
        <v>6353.95</v>
      </c>
    </row>
    <row r="60" spans="1:12" s="26" customFormat="1" ht="10.9" customHeight="1" x14ac:dyDescent="0.25">
      <c r="A60" s="205" t="s">
        <v>69</v>
      </c>
      <c r="B60" s="205"/>
      <c r="C60" s="205"/>
      <c r="D60" s="205"/>
      <c r="E60" s="205"/>
      <c r="F60" s="205"/>
      <c r="G60" s="83">
        <v>15220</v>
      </c>
    </row>
    <row r="61" spans="1:12" s="26" customFormat="1" ht="10.5" customHeight="1" x14ac:dyDescent="0.25">
      <c r="A61" s="205" t="s">
        <v>73</v>
      </c>
      <c r="B61" s="205"/>
      <c r="C61" s="205"/>
      <c r="D61" s="205"/>
      <c r="E61" s="205"/>
      <c r="F61" s="205"/>
      <c r="G61" s="83">
        <v>1850</v>
      </c>
    </row>
    <row r="62" spans="1:12" ht="10.5" customHeight="1" x14ac:dyDescent="0.25">
      <c r="A62" s="205" t="s">
        <v>77</v>
      </c>
      <c r="B62" s="205"/>
      <c r="C62" s="205"/>
      <c r="D62" s="205"/>
      <c r="E62" s="205"/>
      <c r="F62" s="205"/>
      <c r="G62" s="83">
        <v>800</v>
      </c>
    </row>
    <row r="63" spans="1:12" ht="10.5" customHeight="1" x14ac:dyDescent="0.25">
      <c r="A63" s="205" t="s">
        <v>77</v>
      </c>
      <c r="B63" s="205"/>
      <c r="C63" s="205"/>
      <c r="D63" s="205"/>
      <c r="E63" s="205"/>
      <c r="F63" s="205"/>
      <c r="G63" s="83">
        <v>243.88</v>
      </c>
    </row>
    <row r="64" spans="1:12" ht="10.5" customHeight="1" x14ac:dyDescent="0.25">
      <c r="A64" s="205" t="s">
        <v>78</v>
      </c>
      <c r="B64" s="205"/>
      <c r="C64" s="205"/>
      <c r="D64" s="205"/>
      <c r="E64" s="205"/>
      <c r="F64" s="205"/>
      <c r="G64" s="83">
        <v>200</v>
      </c>
    </row>
    <row r="65" spans="1:13" ht="10.5" customHeight="1" x14ac:dyDescent="0.25">
      <c r="A65" s="205" t="s">
        <v>81</v>
      </c>
      <c r="B65" s="205"/>
      <c r="C65" s="205"/>
      <c r="D65" s="205"/>
      <c r="E65" s="205"/>
      <c r="F65" s="205"/>
      <c r="G65" s="83">
        <v>150</v>
      </c>
    </row>
    <row r="66" spans="1:13" s="26" customFormat="1" ht="10.5" customHeight="1" x14ac:dyDescent="0.25">
      <c r="A66" s="205" t="s">
        <v>82</v>
      </c>
      <c r="B66" s="205"/>
      <c r="C66" s="205"/>
      <c r="D66" s="205"/>
      <c r="E66" s="205"/>
      <c r="F66" s="205"/>
      <c r="G66" s="83">
        <v>243.88</v>
      </c>
      <c r="M66" s="5"/>
    </row>
    <row r="67" spans="1:13" s="26" customFormat="1" ht="10.5" customHeight="1" x14ac:dyDescent="0.25">
      <c r="A67" s="205" t="s">
        <v>86</v>
      </c>
      <c r="B67" s="205"/>
      <c r="C67" s="205"/>
      <c r="D67" s="205"/>
      <c r="E67" s="205"/>
      <c r="F67" s="205"/>
      <c r="G67" s="83">
        <v>21.07</v>
      </c>
      <c r="M67" s="5"/>
    </row>
    <row r="68" spans="1:13" s="26" customFormat="1" ht="10.5" customHeight="1" x14ac:dyDescent="0.25">
      <c r="A68" s="205" t="s">
        <v>113</v>
      </c>
      <c r="B68" s="205"/>
      <c r="C68" s="205"/>
      <c r="D68" s="205"/>
      <c r="E68" s="205"/>
      <c r="F68" s="205"/>
      <c r="G68" s="83">
        <v>2438.4</v>
      </c>
      <c r="M68" s="5"/>
    </row>
    <row r="69" spans="1:13" s="26" customFormat="1" ht="10.9" customHeight="1" x14ac:dyDescent="0.25">
      <c r="A69" s="205" t="s">
        <v>114</v>
      </c>
      <c r="B69" s="205"/>
      <c r="C69" s="205"/>
      <c r="D69" s="205"/>
      <c r="E69" s="205"/>
      <c r="F69" s="205"/>
      <c r="G69" s="83">
        <v>25000</v>
      </c>
    </row>
    <row r="70" spans="1:13" s="26" customFormat="1" ht="10.5" customHeight="1" x14ac:dyDescent="0.25">
      <c r="A70" s="205" t="s">
        <v>107</v>
      </c>
      <c r="B70" s="205"/>
      <c r="C70" s="205"/>
      <c r="D70" s="205"/>
      <c r="E70" s="205"/>
      <c r="F70" s="205"/>
      <c r="G70" s="83">
        <v>1613.34</v>
      </c>
      <c r="M70" s="5"/>
    </row>
    <row r="71" spans="1:13" s="26" customFormat="1" ht="10.5" customHeight="1" x14ac:dyDescent="0.25">
      <c r="A71" s="205" t="s">
        <v>112</v>
      </c>
      <c r="B71" s="205"/>
      <c r="C71" s="205"/>
      <c r="D71" s="205"/>
      <c r="E71" s="205"/>
      <c r="F71" s="205"/>
      <c r="G71" s="83">
        <v>222.14</v>
      </c>
      <c r="M71" s="5"/>
    </row>
    <row r="72" spans="1:13" s="26" customFormat="1" ht="10.9" customHeight="1" x14ac:dyDescent="0.25">
      <c r="A72" s="205" t="s">
        <v>122</v>
      </c>
      <c r="B72" s="205"/>
      <c r="C72" s="205"/>
      <c r="D72" s="205"/>
      <c r="E72" s="205"/>
      <c r="F72" s="205"/>
      <c r="G72" s="116">
        <v>3200</v>
      </c>
    </row>
    <row r="73" spans="1:13" s="26" customFormat="1" ht="10.9" customHeight="1" x14ac:dyDescent="0.25">
      <c r="A73" s="205" t="s">
        <v>115</v>
      </c>
      <c r="B73" s="205"/>
      <c r="C73" s="205"/>
      <c r="D73" s="205"/>
      <c r="E73" s="205"/>
      <c r="F73" s="205"/>
      <c r="G73" s="116">
        <v>4000</v>
      </c>
    </row>
    <row r="74" spans="1:13" s="26" customFormat="1" ht="10.9" customHeight="1" x14ac:dyDescent="0.25">
      <c r="A74" s="205" t="s">
        <v>116</v>
      </c>
      <c r="B74" s="205"/>
      <c r="C74" s="205"/>
      <c r="D74" s="205"/>
      <c r="E74" s="205"/>
      <c r="F74" s="205"/>
      <c r="G74" s="116">
        <v>1800</v>
      </c>
    </row>
    <row r="75" spans="1:13" s="26" customFormat="1" ht="10.9" customHeight="1" x14ac:dyDescent="0.25">
      <c r="A75" s="205" t="s">
        <v>124</v>
      </c>
      <c r="B75" s="205"/>
      <c r="C75" s="205"/>
      <c r="D75" s="205"/>
      <c r="E75" s="205"/>
      <c r="F75" s="205"/>
      <c r="G75" s="116">
        <v>7155</v>
      </c>
    </row>
    <row r="76" spans="1:13" s="26" customFormat="1" ht="10.9" customHeight="1" x14ac:dyDescent="0.25">
      <c r="A76" s="205" t="s">
        <v>127</v>
      </c>
      <c r="B76" s="205"/>
      <c r="C76" s="205"/>
      <c r="D76" s="205"/>
      <c r="E76" s="205"/>
      <c r="F76" s="205"/>
      <c r="G76" s="116">
        <v>6862.01</v>
      </c>
    </row>
    <row r="77" spans="1:13" s="26" customFormat="1" ht="10.9" customHeight="1" x14ac:dyDescent="0.25">
      <c r="A77" s="205" t="s">
        <v>126</v>
      </c>
      <c r="B77" s="205"/>
      <c r="C77" s="205"/>
      <c r="D77" s="205"/>
      <c r="E77" s="205"/>
      <c r="F77" s="205"/>
      <c r="G77" s="83">
        <v>396.97</v>
      </c>
    </row>
    <row r="78" spans="1:13" s="26" customFormat="1" ht="10.9" customHeight="1" x14ac:dyDescent="0.25">
      <c r="A78" s="205" t="s">
        <v>128</v>
      </c>
      <c r="B78" s="205"/>
      <c r="C78" s="205"/>
      <c r="D78" s="205"/>
      <c r="E78" s="205"/>
      <c r="F78" s="205"/>
      <c r="G78" s="83">
        <v>1200</v>
      </c>
    </row>
    <row r="79" spans="1:13" s="26" customFormat="1" ht="10.9" customHeight="1" x14ac:dyDescent="0.25">
      <c r="A79" s="205" t="s">
        <v>130</v>
      </c>
      <c r="B79" s="205"/>
      <c r="C79" s="205"/>
      <c r="D79" s="205"/>
      <c r="E79" s="205"/>
      <c r="F79" s="205"/>
      <c r="G79" s="83">
        <v>412.36</v>
      </c>
    </row>
    <row r="80" spans="1:13" ht="10.5" customHeight="1" x14ac:dyDescent="0.25">
      <c r="A80" s="205" t="s">
        <v>131</v>
      </c>
      <c r="B80" s="205"/>
      <c r="C80" s="205"/>
      <c r="D80" s="205"/>
      <c r="E80" s="205"/>
      <c r="F80" s="205"/>
      <c r="G80" s="83">
        <v>380.52</v>
      </c>
    </row>
  </sheetData>
  <mergeCells count="35">
    <mergeCell ref="A57:F57"/>
    <mergeCell ref="A13:B13"/>
    <mergeCell ref="A19:B19"/>
    <mergeCell ref="A26:B26"/>
    <mergeCell ref="A29:B29"/>
    <mergeCell ref="A42:B42"/>
    <mergeCell ref="A50:B50"/>
    <mergeCell ref="A52:F52"/>
    <mergeCell ref="A53:F53"/>
    <mergeCell ref="A54:F54"/>
    <mergeCell ref="A55:F55"/>
    <mergeCell ref="A56:F56"/>
    <mergeCell ref="A75:F75"/>
    <mergeCell ref="A69:F69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70:F70"/>
    <mergeCell ref="A71:F71"/>
    <mergeCell ref="A72:F72"/>
    <mergeCell ref="A73:F73"/>
    <mergeCell ref="A74:F74"/>
    <mergeCell ref="A80:F80"/>
    <mergeCell ref="A76:F76"/>
    <mergeCell ref="A77:F77"/>
    <mergeCell ref="A78:F78"/>
    <mergeCell ref="A79:F79"/>
  </mergeCells>
  <pageMargins left="0.25" right="0" top="0.4" bottom="0" header="0.3" footer="0"/>
  <pageSetup scale="9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="145" zoomScaleNormal="145" workbookViewId="0">
      <pane ySplit="2" topLeftCell="A6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56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88" t="s">
        <v>59</v>
      </c>
      <c r="B3" s="89">
        <v>55010300</v>
      </c>
      <c r="C3" s="90">
        <f>2376+2624-2624</f>
        <v>2376</v>
      </c>
      <c r="D3" s="87">
        <v>0</v>
      </c>
      <c r="E3" s="87">
        <v>0</v>
      </c>
      <c r="F3" s="87">
        <v>1044</v>
      </c>
      <c r="G3" s="87">
        <v>59.5</v>
      </c>
      <c r="H3" s="87">
        <f>D3+F3</f>
        <v>1044</v>
      </c>
      <c r="I3" s="87">
        <f>E3+G3</f>
        <v>59.5</v>
      </c>
      <c r="J3" s="87">
        <f>H3+I3</f>
        <v>1103.5</v>
      </c>
      <c r="K3" s="87">
        <f>C3-J3</f>
        <v>1272.5</v>
      </c>
      <c r="L3" s="87">
        <f>C3-((J3/3)*26.0714)</f>
        <v>-7213.9299666666666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D4+F4+'7-25-19'!H3</f>
        <v>0</v>
      </c>
      <c r="I4" s="15">
        <f>E4+G4+'7-25-19'!I3</f>
        <v>0</v>
      </c>
      <c r="J4" s="15">
        <f>H4+I4</f>
        <v>0</v>
      </c>
      <c r="K4" s="15">
        <f>C4-J4</f>
        <v>3229</v>
      </c>
      <c r="L4" s="15">
        <f>C4-((J4/3)*26.0714)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444.76</v>
      </c>
      <c r="E5" s="21">
        <v>7.1</v>
      </c>
      <c r="F5" s="21">
        <v>0</v>
      </c>
      <c r="G5" s="21">
        <v>0</v>
      </c>
      <c r="H5" s="15">
        <f>D5+F5+'7-25-19'!H4</f>
        <v>2933.12</v>
      </c>
      <c r="I5" s="15">
        <f>E5+G5+'7-25-19'!I4</f>
        <v>68.66</v>
      </c>
      <c r="J5" s="15">
        <f t="shared" ref="J5:J12" si="0">H5+I5</f>
        <v>3001.7799999999997</v>
      </c>
      <c r="K5" s="14">
        <f t="shared" ref="K5:K12" si="1">C5-J5</f>
        <v>21647.22</v>
      </c>
      <c r="L5" s="15">
        <f t="shared" ref="L5:L12" si="2">C5-((J5/3)*26.0714)</f>
        <v>-1437.8690306666649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f>-117.57+142.14</f>
        <v>24.569999999999993</v>
      </c>
      <c r="E6" s="14">
        <f>-1.88+2.27</f>
        <v>0.39000000000000012</v>
      </c>
      <c r="F6" s="14">
        <v>0</v>
      </c>
      <c r="G6" s="14">
        <v>0</v>
      </c>
      <c r="H6" s="15">
        <f>D6+F6+'7-25-19'!H5</f>
        <v>690.8599999999999</v>
      </c>
      <c r="I6" s="15">
        <f>E6+G6+'7-25-19'!I5</f>
        <v>11.04</v>
      </c>
      <c r="J6" s="15">
        <f t="shared" si="0"/>
        <v>701.89999999999986</v>
      </c>
      <c r="K6" s="14">
        <f t="shared" si="1"/>
        <v>17272.099999999999</v>
      </c>
      <c r="L6" s="15">
        <f t="shared" si="2"/>
        <v>11874.161446666669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467.12</v>
      </c>
      <c r="E7" s="14">
        <v>7.45</v>
      </c>
      <c r="F7" s="14">
        <v>0</v>
      </c>
      <c r="G7" s="14">
        <v>0</v>
      </c>
      <c r="H7" s="15">
        <f>D7+F7+'7-25-19'!H6</f>
        <v>1349.8000000000002</v>
      </c>
      <c r="I7" s="15">
        <f>E7+G7+'7-25-19'!I6</f>
        <v>21.56</v>
      </c>
      <c r="J7" s="15">
        <f t="shared" si="0"/>
        <v>1371.3600000000001</v>
      </c>
      <c r="K7" s="14">
        <f t="shared" si="1"/>
        <v>16602.64</v>
      </c>
      <c r="L7" s="15">
        <f t="shared" si="2"/>
        <v>6056.2416319999975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1321.43</v>
      </c>
      <c r="E8" s="14">
        <v>21.13</v>
      </c>
      <c r="F8" s="14">
        <v>0</v>
      </c>
      <c r="G8" s="14">
        <v>0</v>
      </c>
      <c r="H8" s="15">
        <f>D8+F8+'7-25-19'!H7</f>
        <v>5133.3300000000008</v>
      </c>
      <c r="I8" s="15">
        <f>E8+G8+'7-25-19'!I7</f>
        <v>82.11</v>
      </c>
      <c r="J8" s="15">
        <f t="shared" si="0"/>
        <v>5215.4400000000005</v>
      </c>
      <c r="K8" s="14">
        <f t="shared" si="1"/>
        <v>19114.559999999998</v>
      </c>
      <c r="L8" s="15">
        <f t="shared" si="2"/>
        <v>-20994.607472000011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1497.8</v>
      </c>
      <c r="E9" s="14">
        <v>23.96</v>
      </c>
      <c r="F9" s="14">
        <v>672.36</v>
      </c>
      <c r="G9" s="14">
        <v>38.31</v>
      </c>
      <c r="H9" s="15">
        <f>D9+F9+'7-25-19'!H8</f>
        <v>7842.5999999999995</v>
      </c>
      <c r="I9" s="15">
        <f>E9+G9+'7-25-19'!I8</f>
        <v>295.98</v>
      </c>
      <c r="J9" s="15">
        <f t="shared" si="0"/>
        <v>8138.58</v>
      </c>
      <c r="K9" s="14">
        <f t="shared" si="1"/>
        <v>25861.42</v>
      </c>
      <c r="L9" s="15">
        <f t="shared" si="2"/>
        <v>-36728.058204000001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f>-46.95+2159.05</f>
        <v>2112.1000000000004</v>
      </c>
      <c r="E10" s="14">
        <f>-0.75+34.54</f>
        <v>33.79</v>
      </c>
      <c r="F10" s="14">
        <v>120</v>
      </c>
      <c r="G10" s="14">
        <v>6.84</v>
      </c>
      <c r="H10" s="15">
        <f>D10+F10+'7-25-19'!H9</f>
        <v>6740.5400000000009</v>
      </c>
      <c r="I10" s="15">
        <f>E10+G10+'7-25-19'!I9</f>
        <v>126.52</v>
      </c>
      <c r="J10" s="15">
        <f t="shared" si="0"/>
        <v>6867.0600000000013</v>
      </c>
      <c r="K10" s="14">
        <f t="shared" si="1"/>
        <v>35873.94</v>
      </c>
      <c r="L10" s="15">
        <f t="shared" si="2"/>
        <v>-16936.956028000015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96.17</v>
      </c>
      <c r="E11" s="14">
        <v>1.53</v>
      </c>
      <c r="F11" s="14">
        <v>544.39</v>
      </c>
      <c r="G11" s="14">
        <v>31.02</v>
      </c>
      <c r="H11" s="15">
        <f>D11+F11+'7-25-19'!H10</f>
        <v>1882.79</v>
      </c>
      <c r="I11" s="15">
        <f>E11+G11+'7-25-19'!I10</f>
        <v>95.9</v>
      </c>
      <c r="J11" s="15">
        <f t="shared" si="0"/>
        <v>1978.69</v>
      </c>
      <c r="K11" s="14">
        <f t="shared" si="1"/>
        <v>21194.31</v>
      </c>
      <c r="L11" s="15">
        <f t="shared" si="2"/>
        <v>5977.2605113333302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D12+F12+'7-25-19'!H11</f>
        <v>0</v>
      </c>
      <c r="I12" s="15">
        <f>E12+G12+'7-25-19'!I11</f>
        <v>0</v>
      </c>
      <c r="J12" s="15">
        <f t="shared" si="0"/>
        <v>0</v>
      </c>
      <c r="K12" s="14">
        <f t="shared" si="1"/>
        <v>6000</v>
      </c>
      <c r="L12" s="15">
        <f t="shared" si="2"/>
        <v>6000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5963.9500000000007</v>
      </c>
      <c r="E13" s="15">
        <f t="shared" si="3"/>
        <v>95.35</v>
      </c>
      <c r="F13" s="15">
        <f t="shared" si="3"/>
        <v>1336.75</v>
      </c>
      <c r="G13" s="15">
        <f t="shared" si="3"/>
        <v>76.17</v>
      </c>
      <c r="H13" s="15">
        <f t="shared" si="3"/>
        <v>26573.040000000001</v>
      </c>
      <c r="I13" s="15">
        <f t="shared" si="3"/>
        <v>701.77</v>
      </c>
      <c r="J13" s="14">
        <f t="shared" si="3"/>
        <v>27274.809999999998</v>
      </c>
      <c r="K13" s="14">
        <f t="shared" si="3"/>
        <v>166795.19</v>
      </c>
      <c r="L13" s="15">
        <f t="shared" si="3"/>
        <v>-42960.827144666691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D16+F16+'7-25-19'!H15</f>
        <v>0</v>
      </c>
      <c r="I16" s="15">
        <f>E16+G16+'7-25-19'!I15</f>
        <v>0</v>
      </c>
      <c r="J16" s="15">
        <f>H16+I16</f>
        <v>0</v>
      </c>
      <c r="K16" s="14">
        <f>C16-J16</f>
        <v>26923</v>
      </c>
      <c r="L16" s="15">
        <f t="shared" ref="L16:L18" si="4">C16-((J16/3)*26.0714)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285.2</v>
      </c>
      <c r="E17" s="15">
        <v>4.55</v>
      </c>
      <c r="F17" s="14">
        <v>184.2</v>
      </c>
      <c r="G17" s="14">
        <v>10.48</v>
      </c>
      <c r="H17" s="15">
        <f>D17+F17+'7-25-19'!H16</f>
        <v>1381.38</v>
      </c>
      <c r="I17" s="15">
        <f>E17+G17+'7-25-19'!I16</f>
        <v>39.260000000000005</v>
      </c>
      <c r="J17" s="15">
        <f>H17+I17</f>
        <v>1420.64</v>
      </c>
      <c r="K17" s="14">
        <f>C17-J17</f>
        <v>14641.36</v>
      </c>
      <c r="L17" s="15">
        <f t="shared" si="4"/>
        <v>3715.9754346666668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272.83999999999997</v>
      </c>
      <c r="E18" s="14">
        <v>4.3499999999999996</v>
      </c>
      <c r="F18" s="14">
        <v>0</v>
      </c>
      <c r="G18" s="14">
        <v>0</v>
      </c>
      <c r="H18" s="15">
        <f>D18+F18+'7-25-19'!H17</f>
        <v>272.83999999999997</v>
      </c>
      <c r="I18" s="15">
        <f>E18+G18+'7-25-19'!I17</f>
        <v>4.3499999999999996</v>
      </c>
      <c r="J18" s="15">
        <f>H18+I18</f>
        <v>277.19</v>
      </c>
      <c r="K18" s="14">
        <f>C18-J18</f>
        <v>1748.81</v>
      </c>
      <c r="L18" s="15">
        <f t="shared" si="4"/>
        <v>-382.91045533333318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558.04</v>
      </c>
      <c r="E19" s="15">
        <f t="shared" si="5"/>
        <v>8.8999999999999986</v>
      </c>
      <c r="F19" s="15">
        <f t="shared" si="5"/>
        <v>184.2</v>
      </c>
      <c r="G19" s="15">
        <f t="shared" si="5"/>
        <v>10.48</v>
      </c>
      <c r="H19" s="15">
        <f t="shared" si="5"/>
        <v>1654.22</v>
      </c>
      <c r="I19" s="15">
        <f t="shared" si="5"/>
        <v>43.610000000000007</v>
      </c>
      <c r="J19" s="14">
        <f t="shared" si="5"/>
        <v>1697.8300000000002</v>
      </c>
      <c r="K19" s="15">
        <f t="shared" si="5"/>
        <v>43313.17</v>
      </c>
      <c r="L19" s="15">
        <f t="shared" si="5"/>
        <v>30256.064979333332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825</v>
      </c>
      <c r="E23" s="14">
        <v>13.2</v>
      </c>
      <c r="F23" s="14">
        <v>0</v>
      </c>
      <c r="G23" s="14">
        <v>0</v>
      </c>
      <c r="H23" s="15">
        <f>D23+F23+'7-25-19'!H22</f>
        <v>1860</v>
      </c>
      <c r="I23" s="15">
        <f>E23+G23+'7-25-19'!I22</f>
        <v>29.76</v>
      </c>
      <c r="J23" s="15">
        <f t="shared" si="7"/>
        <v>1889.76</v>
      </c>
      <c r="K23" s="14">
        <f t="shared" si="8"/>
        <v>23110.240000000002</v>
      </c>
      <c r="L23" s="15">
        <f t="shared" ref="L23:L25" si="10">C23-((J23/3)*26.0714)</f>
        <v>8577.1037120000001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298.38</v>
      </c>
      <c r="E24" s="48">
        <v>4.7699999999999996</v>
      </c>
      <c r="F24" s="48">
        <v>0</v>
      </c>
      <c r="G24" s="48">
        <v>0</v>
      </c>
      <c r="H24" s="15">
        <f>D24+F24+'7-25-19'!H23</f>
        <v>825.84</v>
      </c>
      <c r="I24" s="15">
        <f>E24+G24+'7-25-19'!I23</f>
        <v>13.2</v>
      </c>
      <c r="J24" s="15">
        <f t="shared" si="7"/>
        <v>839.04000000000008</v>
      </c>
      <c r="K24" s="14">
        <f t="shared" si="8"/>
        <v>13660.96</v>
      </c>
      <c r="L24" s="15">
        <f t="shared" si="10"/>
        <v>7208.350848</v>
      </c>
      <c r="M24" s="79"/>
      <c r="N24" s="47"/>
    </row>
    <row r="25" spans="1:18" s="43" customFormat="1" ht="10.9" customHeight="1" x14ac:dyDescent="0.25">
      <c r="A25" s="84" t="s">
        <v>40</v>
      </c>
      <c r="B25" s="85" t="s">
        <v>41</v>
      </c>
      <c r="C25" s="86"/>
      <c r="D25" s="48">
        <v>0</v>
      </c>
      <c r="E25" s="48">
        <v>0</v>
      </c>
      <c r="F25" s="48">
        <v>0</v>
      </c>
      <c r="G25" s="48">
        <v>0</v>
      </c>
      <c r="H25" s="15">
        <f>D25+F25+'7-25-19'!H24</f>
        <v>0</v>
      </c>
      <c r="I25" s="15">
        <f>E25+G25+'7-25-19'!I24</f>
        <v>0</v>
      </c>
      <c r="J25" s="15">
        <f>H25+I25</f>
        <v>0</v>
      </c>
      <c r="K25" s="14">
        <f>C25-J25</f>
        <v>0</v>
      </c>
      <c r="L25" s="15">
        <f t="shared" si="10"/>
        <v>0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1123.3800000000001</v>
      </c>
      <c r="E26" s="49">
        <f t="shared" si="11"/>
        <v>17.97</v>
      </c>
      <c r="F26" s="49">
        <f t="shared" si="11"/>
        <v>0</v>
      </c>
      <c r="G26" s="49">
        <f t="shared" si="11"/>
        <v>0</v>
      </c>
      <c r="H26" s="49">
        <f t="shared" si="11"/>
        <v>2685.84</v>
      </c>
      <c r="I26" s="49">
        <f t="shared" si="11"/>
        <v>42.96</v>
      </c>
      <c r="J26" s="49">
        <f t="shared" si="11"/>
        <v>2728.8</v>
      </c>
      <c r="K26" s="49">
        <f t="shared" si="11"/>
        <v>36771.199999999997</v>
      </c>
      <c r="L26" s="15">
        <f>C26-((J26/3)*26.0714)</f>
        <v>15785.454559999998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2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8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7645.3700000000008</v>
      </c>
      <c r="E29" s="50">
        <f t="shared" si="12"/>
        <v>122.22</v>
      </c>
      <c r="F29" s="50">
        <f t="shared" si="12"/>
        <v>1520.95</v>
      </c>
      <c r="G29" s="50">
        <f t="shared" si="12"/>
        <v>86.65</v>
      </c>
      <c r="H29" s="50">
        <f t="shared" si="12"/>
        <v>30913.100000000002</v>
      </c>
      <c r="I29" s="50">
        <f t="shared" si="12"/>
        <v>788.34</v>
      </c>
      <c r="J29" s="50">
        <f t="shared" si="12"/>
        <v>31701.439999999999</v>
      </c>
      <c r="K29" s="50">
        <f t="shared" si="12"/>
        <v>246879.56</v>
      </c>
      <c r="L29" s="50">
        <f t="shared" si="12"/>
        <v>3080.6923946666393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00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D32+F32+'7-25-19'!H31</f>
        <v>0</v>
      </c>
      <c r="I32" s="15">
        <f>E32+G32+'7-25-19'!I31</f>
        <v>0</v>
      </c>
      <c r="J32" s="14">
        <f t="shared" ref="J32:J36" si="13">H32+I32</f>
        <v>0</v>
      </c>
      <c r="K32" s="14">
        <f t="shared" ref="K32:K36" si="14">C32-J32</f>
        <v>600.30999999999995</v>
      </c>
      <c r="L32" s="15">
        <f t="shared" ref="L32:L37" si="15">C32-((J32/3)*26.0714)</f>
        <v>600.30999999999995</v>
      </c>
      <c r="M32" s="69"/>
      <c r="N32" s="69"/>
      <c r="R32" s="73"/>
    </row>
    <row r="33" spans="1:16" s="24" customFormat="1" x14ac:dyDescent="0.25">
      <c r="A33" s="98" t="s">
        <v>52</v>
      </c>
      <c r="B33" s="99" t="s">
        <v>25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D33+F33+'7-25-19'!H32</f>
        <v>0</v>
      </c>
      <c r="I33" s="15">
        <f>E33+G33+'7-25-19'!I32</f>
        <v>0</v>
      </c>
      <c r="J33" s="14">
        <f t="shared" si="13"/>
        <v>0</v>
      </c>
      <c r="K33" s="15">
        <f t="shared" si="14"/>
        <v>12000</v>
      </c>
      <c r="L33" s="15">
        <f t="shared" si="15"/>
        <v>12000</v>
      </c>
      <c r="M33" s="69"/>
      <c r="N33" s="25"/>
    </row>
    <row r="34" spans="1:16" s="24" customFormat="1" ht="11.45" customHeight="1" x14ac:dyDescent="0.25">
      <c r="A34" s="94" t="s">
        <v>36</v>
      </c>
      <c r="B34" s="93" t="s">
        <v>38</v>
      </c>
      <c r="C34" s="95">
        <v>2043</v>
      </c>
      <c r="D34" s="14">
        <v>0</v>
      </c>
      <c r="E34" s="14">
        <v>0</v>
      </c>
      <c r="F34" s="14">
        <v>0</v>
      </c>
      <c r="G34" s="14">
        <v>0</v>
      </c>
      <c r="H34" s="15">
        <f>D34+F34+'7-25-19'!H33</f>
        <v>0</v>
      </c>
      <c r="I34" s="15">
        <f>E34+G34+'7-25-19'!I33</f>
        <v>0</v>
      </c>
      <c r="J34" s="15">
        <f t="shared" si="13"/>
        <v>0</v>
      </c>
      <c r="K34" s="14">
        <f t="shared" si="14"/>
        <v>2043</v>
      </c>
      <c r="L34" s="15">
        <f t="shared" si="15"/>
        <v>2043</v>
      </c>
      <c r="M34" s="71"/>
      <c r="N34" s="25"/>
    </row>
    <row r="35" spans="1:16" s="25" customFormat="1" ht="11.45" customHeight="1" x14ac:dyDescent="0.25">
      <c r="A35" s="12" t="s">
        <v>42</v>
      </c>
      <c r="B35" s="13" t="s">
        <v>43</v>
      </c>
      <c r="C35" s="95">
        <v>900</v>
      </c>
      <c r="D35" s="14">
        <v>46.88</v>
      </c>
      <c r="E35" s="14">
        <v>0.74</v>
      </c>
      <c r="F35" s="14">
        <v>0</v>
      </c>
      <c r="G35" s="14">
        <v>0</v>
      </c>
      <c r="H35" s="15">
        <f>D35+F35+'7-25-19'!H34</f>
        <v>152.82</v>
      </c>
      <c r="I35" s="15">
        <f>E35+G35+'7-25-19'!I34</f>
        <v>2.4299999999999997</v>
      </c>
      <c r="J35" s="15">
        <f t="shared" si="13"/>
        <v>155.25</v>
      </c>
      <c r="K35" s="14">
        <f t="shared" si="14"/>
        <v>744.75</v>
      </c>
      <c r="L35" s="15">
        <f t="shared" si="15"/>
        <v>-449.19495000000006</v>
      </c>
      <c r="M35" s="45"/>
      <c r="N35" s="72"/>
      <c r="O35" s="44"/>
    </row>
    <row r="36" spans="1:16" s="25" customFormat="1" ht="11.45" customHeight="1" x14ac:dyDescent="0.25">
      <c r="A36" s="12" t="s">
        <v>48</v>
      </c>
      <c r="B36" s="13" t="s">
        <v>49</v>
      </c>
      <c r="C36" s="95">
        <v>12366.9</v>
      </c>
      <c r="D36" s="15">
        <v>772.5</v>
      </c>
      <c r="E36" s="15">
        <v>12.36</v>
      </c>
      <c r="F36" s="15">
        <v>0</v>
      </c>
      <c r="G36" s="15">
        <v>0</v>
      </c>
      <c r="H36" s="15">
        <f>D36+F36+'7-25-19'!H35</f>
        <v>1417.5</v>
      </c>
      <c r="I36" s="15">
        <f>E36+G36+'7-25-19'!I35</f>
        <v>22.68</v>
      </c>
      <c r="J36" s="15">
        <f t="shared" si="13"/>
        <v>1440.18</v>
      </c>
      <c r="K36" s="15">
        <f t="shared" si="14"/>
        <v>10926.72</v>
      </c>
      <c r="L36" s="15">
        <f t="shared" si="15"/>
        <v>-148.93628400000125</v>
      </c>
      <c r="M36" s="69"/>
      <c r="N36" s="55"/>
    </row>
    <row r="37" spans="1:16" s="25" customFormat="1" ht="11.45" customHeight="1" x14ac:dyDescent="0.25">
      <c r="A37" s="88" t="s">
        <v>26</v>
      </c>
      <c r="B37" s="89" t="s">
        <v>47</v>
      </c>
      <c r="C37" s="90"/>
      <c r="D37" s="15">
        <v>0</v>
      </c>
      <c r="E37" s="15">
        <v>0</v>
      </c>
      <c r="F37" s="15">
        <v>0</v>
      </c>
      <c r="G37" s="15">
        <v>0</v>
      </c>
      <c r="H37" s="15">
        <f>D37+F37+'7-25-19'!H36</f>
        <v>1016.4</v>
      </c>
      <c r="I37" s="15">
        <f>E37+G37+'7-25-19'!I36</f>
        <v>57.92</v>
      </c>
      <c r="J37" s="15">
        <f>H37+I37</f>
        <v>1074.32</v>
      </c>
      <c r="K37" s="14">
        <f>C37-J37</f>
        <v>-1074.32</v>
      </c>
      <c r="L37" s="15">
        <f t="shared" si="15"/>
        <v>-9336.3421493333317</v>
      </c>
      <c r="M37" s="4"/>
      <c r="N37" s="55"/>
    </row>
    <row r="38" spans="1:16" ht="21.6" customHeight="1" x14ac:dyDescent="0.25">
      <c r="A38" s="206" t="s">
        <v>27</v>
      </c>
      <c r="B38" s="207"/>
      <c r="C38" s="15">
        <f>SUM(C32:C37)</f>
        <v>27910.21</v>
      </c>
      <c r="D38" s="15">
        <f>SUM(D32:D37)</f>
        <v>819.38</v>
      </c>
      <c r="E38" s="15">
        <f>SUM(E32:E37)</f>
        <v>13.1</v>
      </c>
      <c r="F38" s="15">
        <f>SUM(F32:F37)</f>
        <v>0</v>
      </c>
      <c r="G38" s="15">
        <f>SUM(G32:G37)</f>
        <v>0</v>
      </c>
      <c r="H38" s="15">
        <f>SUM(H32, H33:H37)</f>
        <v>2586.7199999999998</v>
      </c>
      <c r="I38" s="15">
        <f>SUM(I32, I33:I37)</f>
        <v>83.03</v>
      </c>
      <c r="J38" s="15">
        <f>SUM(J32, J33:J37)</f>
        <v>2669.75</v>
      </c>
      <c r="K38" s="15">
        <f>SUM(K32, K33:K37)</f>
        <v>25240.46</v>
      </c>
      <c r="L38" s="15">
        <f>SUM(L32, L33:L37)</f>
        <v>4708.8366166666674</v>
      </c>
      <c r="M38" s="45"/>
    </row>
    <row r="39" spans="1:16" ht="10.9" customHeight="1" x14ac:dyDescent="0.25">
      <c r="A39" s="51"/>
      <c r="B39" s="52"/>
      <c r="C39" s="53"/>
      <c r="D39" s="54"/>
      <c r="E39" s="54"/>
      <c r="F39" s="54"/>
      <c r="G39" s="54"/>
      <c r="H39" s="53"/>
      <c r="I39" s="53"/>
      <c r="J39" s="53"/>
      <c r="K39" s="53"/>
      <c r="L39" s="53"/>
      <c r="M39" s="46"/>
      <c r="N39" s="25"/>
    </row>
    <row r="40" spans="1:16" ht="10.9" customHeight="1" x14ac:dyDescent="0.25">
      <c r="A40" s="51"/>
      <c r="B40" s="52"/>
      <c r="C40" s="53"/>
      <c r="D40" s="54"/>
      <c r="E40" s="54"/>
      <c r="F40" s="54"/>
      <c r="G40" s="54"/>
      <c r="H40" s="53"/>
      <c r="I40" s="53"/>
      <c r="J40" s="53"/>
      <c r="K40" s="53"/>
      <c r="L40" s="53"/>
      <c r="M40" s="46"/>
      <c r="N40" s="47"/>
    </row>
    <row r="41" spans="1:16" ht="10.9" customHeight="1" x14ac:dyDescent="0.25">
      <c r="A41" s="12" t="s">
        <v>28</v>
      </c>
      <c r="B41" s="13" t="s">
        <v>29</v>
      </c>
      <c r="C41" s="95">
        <f>61895+688</f>
        <v>62583</v>
      </c>
      <c r="D41" s="14">
        <v>721.11</v>
      </c>
      <c r="E41" s="14">
        <v>11.51</v>
      </c>
      <c r="F41" s="14">
        <v>858.76</v>
      </c>
      <c r="G41" s="14">
        <v>48.94</v>
      </c>
      <c r="H41" s="15">
        <f>D41+F41+'7-25-19'!H40</f>
        <v>5370.21</v>
      </c>
      <c r="I41" s="15">
        <f>E41+G41+'7-25-19'!I40</f>
        <v>221.02999999999997</v>
      </c>
      <c r="J41" s="15">
        <f>H41+I41</f>
        <v>5591.24</v>
      </c>
      <c r="K41" s="14">
        <f>C41-J41</f>
        <v>56991.76</v>
      </c>
      <c r="L41" s="15">
        <f>C41-((J41/3)*26.0714)</f>
        <v>13992.515154666668</v>
      </c>
      <c r="N41" s="56"/>
    </row>
    <row r="42" spans="1:16" ht="21.6" customHeight="1" x14ac:dyDescent="0.25">
      <c r="A42" s="57" t="s">
        <v>30</v>
      </c>
      <c r="B42" s="58"/>
      <c r="C42" s="59">
        <f>C41</f>
        <v>62583</v>
      </c>
      <c r="D42" s="59">
        <f t="shared" ref="D42:L42" si="16">D41</f>
        <v>721.11</v>
      </c>
      <c r="E42" s="59">
        <f t="shared" si="16"/>
        <v>11.51</v>
      </c>
      <c r="F42" s="59">
        <f t="shared" si="16"/>
        <v>858.76</v>
      </c>
      <c r="G42" s="59">
        <f t="shared" si="16"/>
        <v>48.94</v>
      </c>
      <c r="H42" s="59">
        <f t="shared" si="16"/>
        <v>5370.21</v>
      </c>
      <c r="I42" s="59">
        <f t="shared" si="16"/>
        <v>221.02999999999997</v>
      </c>
      <c r="J42" s="59">
        <f t="shared" si="16"/>
        <v>5591.24</v>
      </c>
      <c r="K42" s="59">
        <f t="shared" si="16"/>
        <v>56991.76</v>
      </c>
      <c r="L42" s="59">
        <f t="shared" si="16"/>
        <v>13992.515154666668</v>
      </c>
    </row>
    <row r="43" spans="1:16" ht="10.9" customHeight="1" x14ac:dyDescent="0.25">
      <c r="A43" s="51"/>
      <c r="B43" s="52"/>
      <c r="C43" s="53"/>
      <c r="D43" s="54"/>
      <c r="E43" s="54"/>
      <c r="F43" s="54"/>
      <c r="G43" s="54"/>
      <c r="H43" s="53"/>
      <c r="I43" s="53"/>
      <c r="J43" s="53"/>
      <c r="K43" s="53"/>
      <c r="L43" s="53"/>
    </row>
    <row r="44" spans="1:16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  <c r="M44" s="46"/>
    </row>
    <row r="45" spans="1:16" ht="10.9" customHeight="1" x14ac:dyDescent="0.25">
      <c r="A45" s="40" t="s">
        <v>31</v>
      </c>
      <c r="B45" s="41">
        <v>55180000</v>
      </c>
      <c r="C45" s="95">
        <v>37736</v>
      </c>
      <c r="D45" s="14">
        <v>0</v>
      </c>
      <c r="E45" s="14">
        <v>0</v>
      </c>
      <c r="F45" s="14">
        <v>652.1</v>
      </c>
      <c r="G45" s="14">
        <v>37.159999999999997</v>
      </c>
      <c r="H45" s="15">
        <f>D45+F45+'7-25-19'!H44</f>
        <v>1725.6999999999998</v>
      </c>
      <c r="I45" s="15">
        <f>E45+G45+'7-25-19'!I44</f>
        <v>98.34</v>
      </c>
      <c r="J45" s="15">
        <f>H45+I45</f>
        <v>1824.0399999999997</v>
      </c>
      <c r="K45" s="14">
        <f>C45-J45</f>
        <v>35911.96</v>
      </c>
      <c r="L45" s="15">
        <f>C45-((J45/3)*26.0714)</f>
        <v>21884.241181333338</v>
      </c>
      <c r="N45" s="60"/>
    </row>
    <row r="46" spans="1:16" s="43" customFormat="1" ht="21.6" customHeight="1" x14ac:dyDescent="0.25">
      <c r="A46" s="206" t="s">
        <v>32</v>
      </c>
      <c r="B46" s="207"/>
      <c r="C46" s="15">
        <f>SUM(C45)</f>
        <v>37736</v>
      </c>
      <c r="D46" s="15">
        <f t="shared" ref="D46:L46" si="17">SUM(D45)</f>
        <v>0</v>
      </c>
      <c r="E46" s="15">
        <f t="shared" si="17"/>
        <v>0</v>
      </c>
      <c r="F46" s="15">
        <f t="shared" si="17"/>
        <v>652.1</v>
      </c>
      <c r="G46" s="15">
        <f t="shared" si="17"/>
        <v>37.159999999999997</v>
      </c>
      <c r="H46" s="15">
        <f t="shared" si="17"/>
        <v>1725.6999999999998</v>
      </c>
      <c r="I46" s="15">
        <f t="shared" si="17"/>
        <v>98.34</v>
      </c>
      <c r="J46" s="15">
        <f t="shared" si="17"/>
        <v>1824.0399999999997</v>
      </c>
      <c r="K46" s="15">
        <f t="shared" si="17"/>
        <v>35911.96</v>
      </c>
      <c r="L46" s="15">
        <f t="shared" si="17"/>
        <v>21884.241181333338</v>
      </c>
      <c r="M46" s="45"/>
      <c r="N46" s="5"/>
    </row>
    <row r="47" spans="1:16" s="43" customFormat="1" ht="11.25" customHeight="1" x14ac:dyDescent="0.25">
      <c r="A47" s="61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4"/>
      <c r="N47" s="25"/>
    </row>
    <row r="48" spans="1:16" s="26" customFormat="1" ht="10.9" customHeight="1" x14ac:dyDescent="0.25">
      <c r="A48" s="205" t="s">
        <v>51</v>
      </c>
      <c r="B48" s="205"/>
      <c r="C48" s="205"/>
      <c r="D48" s="205"/>
      <c r="E48" s="205"/>
      <c r="F48" s="205"/>
      <c r="G48" s="83">
        <v>688</v>
      </c>
      <c r="M48" s="4"/>
      <c r="N48" s="5"/>
      <c r="O48" s="5"/>
      <c r="P48" s="5"/>
    </row>
    <row r="49" spans="1:16" s="26" customFormat="1" ht="10.9" customHeight="1" x14ac:dyDescent="0.25">
      <c r="A49" s="205" t="s">
        <v>55</v>
      </c>
      <c r="B49" s="205"/>
      <c r="C49" s="205"/>
      <c r="D49" s="205"/>
      <c r="E49" s="205"/>
      <c r="F49" s="205"/>
      <c r="G49" s="83">
        <v>12000</v>
      </c>
      <c r="M49" s="4"/>
      <c r="N49" s="5"/>
      <c r="O49" s="5"/>
      <c r="P49" s="5"/>
    </row>
    <row r="50" spans="1:16" s="26" customFormat="1" ht="10.9" customHeight="1" x14ac:dyDescent="0.25">
      <c r="A50" s="205" t="s">
        <v>57</v>
      </c>
      <c r="B50" s="205"/>
      <c r="C50" s="205"/>
      <c r="D50" s="205"/>
      <c r="E50" s="205"/>
      <c r="F50" s="205"/>
      <c r="G50" s="83">
        <v>2376</v>
      </c>
      <c r="M50" s="4"/>
      <c r="N50" s="5"/>
      <c r="O50" s="5"/>
      <c r="P50" s="5"/>
    </row>
    <row r="51" spans="1:16" s="26" customFormat="1" ht="10.9" customHeight="1" x14ac:dyDescent="0.25">
      <c r="A51" s="205" t="s">
        <v>57</v>
      </c>
      <c r="B51" s="205"/>
      <c r="C51" s="205"/>
      <c r="D51" s="205"/>
      <c r="E51" s="205"/>
      <c r="F51" s="205"/>
      <c r="G51" s="83">
        <v>2624</v>
      </c>
      <c r="M51" s="4"/>
      <c r="N51" s="5"/>
      <c r="O51" s="5"/>
      <c r="P51" s="5"/>
    </row>
    <row r="52" spans="1:16" s="26" customFormat="1" ht="10.9" customHeight="1" x14ac:dyDescent="0.25">
      <c r="A52" s="205" t="s">
        <v>58</v>
      </c>
      <c r="B52" s="205"/>
      <c r="C52" s="205"/>
      <c r="D52" s="205"/>
      <c r="E52" s="205"/>
      <c r="F52" s="205"/>
      <c r="G52" s="103">
        <v>2624</v>
      </c>
      <c r="M52" s="4"/>
      <c r="N52" s="5"/>
      <c r="O52" s="5"/>
      <c r="P52" s="5"/>
    </row>
    <row r="53" spans="1:16" s="26" customFormat="1" ht="10.9" customHeight="1" x14ac:dyDescent="0.25">
      <c r="A53" s="205"/>
      <c r="B53" s="205"/>
      <c r="C53" s="205"/>
      <c r="D53" s="205"/>
      <c r="E53" s="205"/>
      <c r="F53" s="205"/>
      <c r="G53" s="83"/>
      <c r="M53" s="4"/>
      <c r="N53" s="5"/>
      <c r="O53" s="5"/>
      <c r="P53" s="5"/>
    </row>
    <row r="54" spans="1:16" s="26" customFormat="1" ht="10.9" customHeight="1" x14ac:dyDescent="0.25">
      <c r="A54" s="205"/>
      <c r="B54" s="205"/>
      <c r="C54" s="205"/>
      <c r="D54" s="205"/>
      <c r="E54" s="205"/>
      <c r="F54" s="205"/>
      <c r="G54" s="83"/>
      <c r="M54" s="4"/>
      <c r="N54" s="5"/>
      <c r="O54" s="5"/>
      <c r="P54" s="5"/>
    </row>
    <row r="55" spans="1:16" s="26" customFormat="1" ht="10.9" customHeight="1" x14ac:dyDescent="0.25">
      <c r="A55" s="205"/>
      <c r="B55" s="205"/>
      <c r="C55" s="205"/>
      <c r="D55" s="205"/>
      <c r="E55" s="205"/>
      <c r="F55" s="205"/>
      <c r="G55" s="83"/>
      <c r="M55" s="4"/>
      <c r="N55" s="5"/>
      <c r="O55" s="5"/>
      <c r="P55" s="5"/>
    </row>
    <row r="56" spans="1:16" s="26" customFormat="1" ht="10.9" customHeight="1" x14ac:dyDescent="0.25">
      <c r="A56" s="205"/>
      <c r="B56" s="205"/>
      <c r="C56" s="205"/>
      <c r="D56" s="205"/>
      <c r="E56" s="205"/>
      <c r="F56" s="205"/>
      <c r="G56" s="83"/>
      <c r="M56" s="4"/>
      <c r="N56" s="5"/>
      <c r="O56" s="5"/>
      <c r="P56" s="5"/>
    </row>
    <row r="57" spans="1:16" s="26" customFormat="1" ht="10.9" customHeight="1" x14ac:dyDescent="0.25">
      <c r="A57" s="205"/>
      <c r="B57" s="205"/>
      <c r="C57" s="205"/>
      <c r="D57" s="205"/>
      <c r="E57" s="205"/>
      <c r="F57" s="205"/>
      <c r="G57" s="83"/>
      <c r="M57" s="4"/>
      <c r="N57" s="5"/>
      <c r="O57" s="5"/>
      <c r="P57" s="5"/>
    </row>
    <row r="58" spans="1:16" s="26" customFormat="1" ht="10.9" customHeight="1" x14ac:dyDescent="0.25">
      <c r="A58" s="205"/>
      <c r="B58" s="205"/>
      <c r="C58" s="205"/>
      <c r="D58" s="205"/>
      <c r="E58" s="205"/>
      <c r="F58" s="205"/>
      <c r="G58" s="83"/>
      <c r="M58" s="4"/>
      <c r="N58" s="5"/>
      <c r="O58" s="5"/>
      <c r="P58" s="5"/>
    </row>
  </sheetData>
  <mergeCells count="17">
    <mergeCell ref="A54:F54"/>
    <mergeCell ref="A55:F55"/>
    <mergeCell ref="A56:F56"/>
    <mergeCell ref="A57:F57"/>
    <mergeCell ref="A58:F58"/>
    <mergeCell ref="A53:F53"/>
    <mergeCell ref="A13:B13"/>
    <mergeCell ref="A19:B19"/>
    <mergeCell ref="A26:B26"/>
    <mergeCell ref="A29:B29"/>
    <mergeCell ref="A38:B38"/>
    <mergeCell ref="A46:B46"/>
    <mergeCell ref="A48:F48"/>
    <mergeCell ref="A49:F49"/>
    <mergeCell ref="A50:F50"/>
    <mergeCell ref="A51:F51"/>
    <mergeCell ref="A52:F52"/>
  </mergeCells>
  <pageMargins left="0.25" right="0" top="0.4" bottom="0" header="0.3" footer="0"/>
  <pageSetup scale="9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B1" zoomScale="145" zoomScaleNormal="145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64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</f>
        <v>2376</v>
      </c>
      <c r="D3" s="15">
        <v>0</v>
      </c>
      <c r="E3" s="15">
        <v>0</v>
      </c>
      <c r="F3" s="15">
        <f>1018.8+693</f>
        <v>1711.8</v>
      </c>
      <c r="G3" s="15">
        <f>58.07+39.5</f>
        <v>97.57</v>
      </c>
      <c r="H3" s="15">
        <f>D3+F3+'08-08-19'!H3</f>
        <v>2755.8</v>
      </c>
      <c r="I3" s="15">
        <f>E3+G3+'08-08-19'!I3</f>
        <v>157.07</v>
      </c>
      <c r="J3" s="15">
        <f>H3+I3</f>
        <v>2912.8700000000003</v>
      </c>
      <c r="K3" s="107">
        <f>C3-J3</f>
        <v>-536.87000000000035</v>
      </c>
      <c r="L3" s="15">
        <f>C3-((J3/4)*26.0714)</f>
        <v>-16609.649729500004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D4+F4+'08-08-19'!H4</f>
        <v>0</v>
      </c>
      <c r="I4" s="15">
        <f>E4+G4+'08-08-19'!I4</f>
        <v>0</v>
      </c>
      <c r="J4" s="15">
        <f>H4+I4</f>
        <v>0</v>
      </c>
      <c r="K4" s="15">
        <f>C4-J4</f>
        <v>3229</v>
      </c>
      <c r="L4" s="15">
        <f t="shared" ref="L4:L12" si="0">C4-((J4/4)*26.0714)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17.88</v>
      </c>
      <c r="E5" s="21">
        <v>0.28000000000000003</v>
      </c>
      <c r="F5" s="21">
        <v>0</v>
      </c>
      <c r="G5" s="21">
        <v>0</v>
      </c>
      <c r="H5" s="15">
        <f>D5+F5+'08-08-19'!H5</f>
        <v>2951</v>
      </c>
      <c r="I5" s="15">
        <f>E5+G5+'08-08-19'!I5</f>
        <v>68.94</v>
      </c>
      <c r="J5" s="15">
        <f t="shared" ref="J5:J12" si="1">H5+I5</f>
        <v>3019.94</v>
      </c>
      <c r="K5" s="14">
        <f t="shared" ref="K5:K12" si="2">C5-J5</f>
        <v>21629.06</v>
      </c>
      <c r="L5" s="15">
        <f t="shared" si="0"/>
        <v>4965.4840709999989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378.67</v>
      </c>
      <c r="E6" s="14">
        <v>6.05</v>
      </c>
      <c r="F6" s="14">
        <v>0</v>
      </c>
      <c r="G6" s="14">
        <v>0</v>
      </c>
      <c r="H6" s="15">
        <f>D6+F6+'08-08-19'!H6</f>
        <v>1069.53</v>
      </c>
      <c r="I6" s="15">
        <f>E6+G6+'08-08-19'!I6</f>
        <v>17.09</v>
      </c>
      <c r="J6" s="15">
        <f t="shared" si="1"/>
        <v>1086.6199999999999</v>
      </c>
      <c r="K6" s="14">
        <f t="shared" si="2"/>
        <v>16887.38</v>
      </c>
      <c r="L6" s="15">
        <f t="shared" si="0"/>
        <v>10891.573833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f>1058.05+108.58</f>
        <v>1166.6299999999999</v>
      </c>
      <c r="E7" s="14">
        <f>16.92+1.73</f>
        <v>18.650000000000002</v>
      </c>
      <c r="F7" s="14">
        <v>0</v>
      </c>
      <c r="G7" s="14">
        <v>0</v>
      </c>
      <c r="H7" s="15">
        <f>D7+F7+'08-08-19'!H7</f>
        <v>2516.4300000000003</v>
      </c>
      <c r="I7" s="15">
        <f>E7+G7+'08-08-19'!I7</f>
        <v>40.21</v>
      </c>
      <c r="J7" s="15">
        <f t="shared" si="1"/>
        <v>2556.6400000000003</v>
      </c>
      <c r="K7" s="14">
        <f t="shared" si="2"/>
        <v>15417.36</v>
      </c>
      <c r="L7" s="15">
        <f t="shared" si="0"/>
        <v>1310.2039759999971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205.35</v>
      </c>
      <c r="E8" s="14">
        <v>3.28</v>
      </c>
      <c r="F8" s="14">
        <v>0</v>
      </c>
      <c r="G8" s="14">
        <v>0</v>
      </c>
      <c r="H8" s="15">
        <f>D8+F8+'08-08-19'!H8</f>
        <v>5338.6800000000012</v>
      </c>
      <c r="I8" s="15">
        <f>E8+G8+'08-08-19'!I8</f>
        <v>85.39</v>
      </c>
      <c r="J8" s="15">
        <f t="shared" si="1"/>
        <v>5424.0700000000015</v>
      </c>
      <c r="K8" s="14">
        <f t="shared" si="2"/>
        <v>18905.93</v>
      </c>
      <c r="L8" s="15">
        <f t="shared" si="0"/>
        <v>-11023.27464950001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522.45000000000005</v>
      </c>
      <c r="E9" s="14">
        <v>8.35</v>
      </c>
      <c r="F9" s="14">
        <f>-1018.8</f>
        <v>-1018.8</v>
      </c>
      <c r="G9" s="14">
        <f>-58.07</f>
        <v>-58.07</v>
      </c>
      <c r="H9" s="15">
        <f>D9+F9+'08-08-19'!H9</f>
        <v>7346.25</v>
      </c>
      <c r="I9" s="15">
        <f>E9+G9+'08-08-19'!I9</f>
        <v>246.26000000000002</v>
      </c>
      <c r="J9" s="15">
        <f t="shared" si="1"/>
        <v>7592.51</v>
      </c>
      <c r="K9" s="14">
        <f t="shared" si="2"/>
        <v>26407.489999999998</v>
      </c>
      <c r="L9" s="15">
        <f t="shared" si="0"/>
        <v>-15486.841303500005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f>281.62+1031.69</f>
        <v>1313.31</v>
      </c>
      <c r="E10" s="14">
        <f>4.5+16.5</f>
        <v>21</v>
      </c>
      <c r="F10" s="14">
        <v>0</v>
      </c>
      <c r="G10" s="14">
        <v>0</v>
      </c>
      <c r="H10" s="15">
        <f>D10+F10+'08-08-19'!H10</f>
        <v>8053.85</v>
      </c>
      <c r="I10" s="15">
        <f>E10+G10+'08-08-19'!I10</f>
        <v>147.51999999999998</v>
      </c>
      <c r="J10" s="15">
        <f t="shared" si="1"/>
        <v>8201.3700000000008</v>
      </c>
      <c r="K10" s="14">
        <f t="shared" si="2"/>
        <v>34539.629999999997</v>
      </c>
      <c r="L10" s="15">
        <f t="shared" si="0"/>
        <v>-10714.299454500004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157.80000000000001</v>
      </c>
      <c r="E11" s="14">
        <v>2.52</v>
      </c>
      <c r="F11" s="14">
        <v>242.55</v>
      </c>
      <c r="G11" s="14">
        <v>13.82</v>
      </c>
      <c r="H11" s="15">
        <f>D11+F11+'08-08-19'!H11</f>
        <v>2283.14</v>
      </c>
      <c r="I11" s="15">
        <f>E11+G11+'08-08-19'!I11</f>
        <v>112.24000000000001</v>
      </c>
      <c r="J11" s="15">
        <f t="shared" si="1"/>
        <v>2395.38</v>
      </c>
      <c r="K11" s="14">
        <f t="shared" si="2"/>
        <v>20777.62</v>
      </c>
      <c r="L11" s="15">
        <f t="shared" si="0"/>
        <v>7560.2724669999989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0</v>
      </c>
      <c r="E12" s="14">
        <v>0</v>
      </c>
      <c r="F12" s="14">
        <v>0</v>
      </c>
      <c r="G12" s="14">
        <v>0</v>
      </c>
      <c r="H12" s="15">
        <f>D12+F12+'08-08-19'!H12</f>
        <v>0</v>
      </c>
      <c r="I12" s="15">
        <f>E12+G12+'08-08-19'!I12</f>
        <v>0</v>
      </c>
      <c r="J12" s="15">
        <f t="shared" si="1"/>
        <v>0</v>
      </c>
      <c r="K12" s="14">
        <f t="shared" si="2"/>
        <v>6000</v>
      </c>
      <c r="L12" s="15">
        <f t="shared" si="0"/>
        <v>6000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3762.0899999999997</v>
      </c>
      <c r="E13" s="15">
        <f t="shared" si="3"/>
        <v>60.13000000000001</v>
      </c>
      <c r="F13" s="15">
        <f t="shared" si="3"/>
        <v>-776.25</v>
      </c>
      <c r="G13" s="15">
        <f t="shared" si="3"/>
        <v>-44.25</v>
      </c>
      <c r="H13" s="15">
        <f t="shared" si="3"/>
        <v>29558.879999999997</v>
      </c>
      <c r="I13" s="15">
        <f t="shared" si="3"/>
        <v>717.65</v>
      </c>
      <c r="J13" s="14">
        <f t="shared" si="3"/>
        <v>30276.530000000002</v>
      </c>
      <c r="K13" s="14">
        <f t="shared" si="3"/>
        <v>163793.47</v>
      </c>
      <c r="L13" s="15">
        <f t="shared" si="3"/>
        <v>-3267.8810605000217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D16+F16+'08-08-19'!H16</f>
        <v>0</v>
      </c>
      <c r="I16" s="15">
        <f>E16+G16+'08-08-19'!I16</f>
        <v>0</v>
      </c>
      <c r="J16" s="15">
        <f>H16+I16</f>
        <v>0</v>
      </c>
      <c r="K16" s="14">
        <f>C16-J16</f>
        <v>26923</v>
      </c>
      <c r="L16" s="15">
        <f t="shared" ref="L16:L18" si="4">C16-((J16/4)*26.0714)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31.05</v>
      </c>
      <c r="E17" s="15">
        <v>0.49</v>
      </c>
      <c r="F17" s="14">
        <v>0</v>
      </c>
      <c r="G17" s="14">
        <v>0</v>
      </c>
      <c r="H17" s="15">
        <f>D17+F17+'08-08-19'!H17</f>
        <v>1412.43</v>
      </c>
      <c r="I17" s="15">
        <f>E17+G17+'08-08-19'!I17</f>
        <v>39.750000000000007</v>
      </c>
      <c r="J17" s="15">
        <f>H17+I17</f>
        <v>1452.18</v>
      </c>
      <c r="K17" s="14">
        <f>C17-J17</f>
        <v>14609.82</v>
      </c>
      <c r="L17" s="15">
        <f t="shared" si="4"/>
        <v>6596.9085869999999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59.22</v>
      </c>
      <c r="E18" s="14">
        <v>0.94</v>
      </c>
      <c r="F18" s="14">
        <v>0</v>
      </c>
      <c r="G18" s="14">
        <v>0</v>
      </c>
      <c r="H18" s="15">
        <f>D18+F18+'08-08-19'!H18</f>
        <v>332.05999999999995</v>
      </c>
      <c r="I18" s="15">
        <f>E18+G18+'08-08-19'!I18</f>
        <v>5.2899999999999991</v>
      </c>
      <c r="J18" s="15">
        <f>H18+I18</f>
        <v>337.34999999999997</v>
      </c>
      <c r="K18" s="14">
        <f>C18-J18</f>
        <v>1688.65</v>
      </c>
      <c r="L18" s="15">
        <f t="shared" si="4"/>
        <v>-172.79669749999994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90.27</v>
      </c>
      <c r="E19" s="15">
        <f t="shared" si="5"/>
        <v>1.43</v>
      </c>
      <c r="F19" s="15">
        <f t="shared" si="5"/>
        <v>0</v>
      </c>
      <c r="G19" s="15">
        <f t="shared" si="5"/>
        <v>0</v>
      </c>
      <c r="H19" s="15">
        <f t="shared" si="5"/>
        <v>1744.49</v>
      </c>
      <c r="I19" s="15">
        <f t="shared" si="5"/>
        <v>45.040000000000006</v>
      </c>
      <c r="J19" s="14">
        <f t="shared" si="5"/>
        <v>1789.53</v>
      </c>
      <c r="K19" s="15">
        <f t="shared" si="5"/>
        <v>43221.47</v>
      </c>
      <c r="L19" s="15">
        <f t="shared" si="5"/>
        <v>33347.111889499996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300</v>
      </c>
      <c r="E23" s="14">
        <v>4.8</v>
      </c>
      <c r="F23" s="14">
        <v>0</v>
      </c>
      <c r="G23" s="14">
        <v>0</v>
      </c>
      <c r="H23" s="15">
        <f>D23+F23+'08-08-19'!H23</f>
        <v>2160</v>
      </c>
      <c r="I23" s="15">
        <f>E23+G23+'08-08-19'!I23</f>
        <v>34.56</v>
      </c>
      <c r="J23" s="15">
        <f t="shared" si="7"/>
        <v>2194.56</v>
      </c>
      <c r="K23" s="14">
        <f t="shared" si="8"/>
        <v>22805.439999999999</v>
      </c>
      <c r="L23" s="15">
        <f t="shared" ref="L23:L25" si="10">C23-((J23/4)*26.0714)</f>
        <v>10696.187104000001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98.9</v>
      </c>
      <c r="E24" s="48">
        <v>1.58</v>
      </c>
      <c r="F24" s="48">
        <v>0</v>
      </c>
      <c r="G24" s="48">
        <v>0</v>
      </c>
      <c r="H24" s="15">
        <f>D24+F24+'08-08-19'!H24</f>
        <v>924.74</v>
      </c>
      <c r="I24" s="15">
        <f>E24+G24+'08-08-19'!I24</f>
        <v>14.78</v>
      </c>
      <c r="J24" s="15">
        <f t="shared" si="7"/>
        <v>939.52</v>
      </c>
      <c r="K24" s="14">
        <f t="shared" si="8"/>
        <v>13560.48</v>
      </c>
      <c r="L24" s="15">
        <f t="shared" si="10"/>
        <v>8376.3495679999996</v>
      </c>
      <c r="M24" s="79"/>
      <c r="N24" s="47"/>
    </row>
    <row r="25" spans="1:18" s="43" customFormat="1" ht="10.9" customHeight="1" x14ac:dyDescent="0.25">
      <c r="A25" s="104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D25+F25+'08-08-19'!H25</f>
        <v>0</v>
      </c>
      <c r="I25" s="15">
        <f>E25+G25+'08-08-19'!I25</f>
        <v>0</v>
      </c>
      <c r="J25" s="15">
        <f>H25+I25</f>
        <v>0</v>
      </c>
      <c r="K25" s="14">
        <f>C25-J25</f>
        <v>5271.53</v>
      </c>
      <c r="L25" s="15">
        <f t="shared" si="10"/>
        <v>5271.53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398.9</v>
      </c>
      <c r="E26" s="49">
        <f t="shared" si="11"/>
        <v>6.38</v>
      </c>
      <c r="F26" s="49">
        <f t="shared" si="11"/>
        <v>0</v>
      </c>
      <c r="G26" s="49">
        <f t="shared" si="11"/>
        <v>0</v>
      </c>
      <c r="H26" s="49">
        <f t="shared" si="11"/>
        <v>3084.74</v>
      </c>
      <c r="I26" s="49">
        <f t="shared" si="11"/>
        <v>49.34</v>
      </c>
      <c r="J26" s="49">
        <f t="shared" si="11"/>
        <v>3134.08</v>
      </c>
      <c r="K26" s="49">
        <f t="shared" si="11"/>
        <v>41637.449999999997</v>
      </c>
      <c r="L26" s="15">
        <f>C26-((J26/4)*26.0714)</f>
        <v>19072.536671999998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2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8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4251.2599999999993</v>
      </c>
      <c r="E29" s="50">
        <f t="shared" si="12"/>
        <v>67.940000000000012</v>
      </c>
      <c r="F29" s="50">
        <f t="shared" si="12"/>
        <v>-776.25</v>
      </c>
      <c r="G29" s="50">
        <f t="shared" si="12"/>
        <v>-44.25</v>
      </c>
      <c r="H29" s="50">
        <f t="shared" si="12"/>
        <v>34388.11</v>
      </c>
      <c r="I29" s="50">
        <f t="shared" si="12"/>
        <v>812.03</v>
      </c>
      <c r="J29" s="50">
        <f t="shared" si="12"/>
        <v>35200.14</v>
      </c>
      <c r="K29" s="50">
        <f t="shared" si="12"/>
        <v>248652.39</v>
      </c>
      <c r="L29" s="50">
        <f t="shared" si="12"/>
        <v>49151.767500999973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04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D32+F32+'08-08-19'!H32</f>
        <v>0</v>
      </c>
      <c r="I32" s="15">
        <f>E32+G32+'08-08-19'!I32</f>
        <v>0</v>
      </c>
      <c r="J32" s="14">
        <f t="shared" ref="J32:J37" si="13">H32+I32</f>
        <v>0</v>
      </c>
      <c r="K32" s="14">
        <f t="shared" ref="K32:K37" si="14">C32-J32</f>
        <v>600.30999999999995</v>
      </c>
      <c r="L32" s="15">
        <f t="shared" ref="L32:L38" si="15">C32-((J32/4)*26.0714)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D33+F33+'08-08-19'!H33</f>
        <v>0</v>
      </c>
      <c r="I33" s="15">
        <f>E33+G33+'08-08-19'!I33</f>
        <v>0</v>
      </c>
      <c r="J33" s="14">
        <f t="shared" si="13"/>
        <v>0</v>
      </c>
      <c r="K33" s="15">
        <f t="shared" si="14"/>
        <v>12000</v>
      </c>
      <c r="L33" s="15">
        <f t="shared" si="15"/>
        <v>12000</v>
      </c>
      <c r="M33" s="69"/>
      <c r="N33" s="25"/>
    </row>
    <row r="34" spans="1:15" s="24" customFormat="1" ht="11.25" customHeight="1" x14ac:dyDescent="0.25">
      <c r="A34" s="92" t="s">
        <v>61</v>
      </c>
      <c r="B34" s="91" t="s">
        <v>63</v>
      </c>
      <c r="C34" s="87">
        <v>765.34</v>
      </c>
      <c r="D34" s="87">
        <v>0</v>
      </c>
      <c r="E34" s="87">
        <v>0</v>
      </c>
      <c r="F34" s="87">
        <v>0</v>
      </c>
      <c r="G34" s="87">
        <v>0</v>
      </c>
      <c r="H34" s="87">
        <f>D34+F34</f>
        <v>0</v>
      </c>
      <c r="I34" s="87">
        <f>E34+G34</f>
        <v>0</v>
      </c>
      <c r="J34" s="87">
        <f t="shared" ref="J34" si="16">H34+I34</f>
        <v>0</v>
      </c>
      <c r="K34" s="87">
        <f t="shared" ref="K34" si="17">C34-J34</f>
        <v>765.34</v>
      </c>
      <c r="L34" s="87">
        <f t="shared" ref="L34" si="18">C34-((J34/4)*26.0714)</f>
        <v>765.34</v>
      </c>
      <c r="M34" s="69"/>
      <c r="N34" s="25"/>
    </row>
    <row r="35" spans="1:15" s="24" customFormat="1" ht="11.45" customHeight="1" x14ac:dyDescent="0.25">
      <c r="A35" s="94" t="s">
        <v>36</v>
      </c>
      <c r="B35" s="93" t="s">
        <v>38</v>
      </c>
      <c r="C35" s="95">
        <v>2043</v>
      </c>
      <c r="D35" s="14">
        <v>0</v>
      </c>
      <c r="E35" s="14">
        <v>0</v>
      </c>
      <c r="F35" s="14">
        <v>0</v>
      </c>
      <c r="G35" s="14">
        <v>0</v>
      </c>
      <c r="H35" s="15">
        <f>D35+F35+'08-08-19'!H34</f>
        <v>0</v>
      </c>
      <c r="I35" s="15">
        <f>E35+G35+'08-08-19'!I34</f>
        <v>0</v>
      </c>
      <c r="J35" s="15">
        <f t="shared" si="13"/>
        <v>0</v>
      </c>
      <c r="K35" s="14">
        <f t="shared" si="14"/>
        <v>2043</v>
      </c>
      <c r="L35" s="15">
        <f t="shared" si="15"/>
        <v>2043</v>
      </c>
      <c r="M35" s="71"/>
      <c r="N35" s="25"/>
    </row>
    <row r="36" spans="1:15" s="25" customFormat="1" ht="11.45" customHeight="1" x14ac:dyDescent="0.25">
      <c r="A36" s="12" t="s">
        <v>42</v>
      </c>
      <c r="B36" s="13" t="s">
        <v>43</v>
      </c>
      <c r="C36" s="95">
        <v>900</v>
      </c>
      <c r="D36" s="14">
        <v>50.63</v>
      </c>
      <c r="E36" s="14">
        <v>0.81</v>
      </c>
      <c r="F36" s="14">
        <v>0</v>
      </c>
      <c r="G36" s="14">
        <v>0</v>
      </c>
      <c r="H36" s="15">
        <f>D36+F36+'08-08-19'!H35</f>
        <v>203.45</v>
      </c>
      <c r="I36" s="15">
        <f>E36+G36+'08-08-19'!I35</f>
        <v>3.2399999999999998</v>
      </c>
      <c r="J36" s="15">
        <f t="shared" si="13"/>
        <v>206.69</v>
      </c>
      <c r="K36" s="14">
        <f t="shared" si="14"/>
        <v>693.31</v>
      </c>
      <c r="L36" s="15">
        <f t="shared" si="15"/>
        <v>-447.17441650000001</v>
      </c>
      <c r="M36" s="45"/>
      <c r="N36" s="72"/>
      <c r="O36" s="44"/>
    </row>
    <row r="37" spans="1:15" s="25" customFormat="1" ht="11.45" customHeight="1" x14ac:dyDescent="0.25">
      <c r="A37" s="12" t="s">
        <v>48</v>
      </c>
      <c r="B37" s="13" t="s">
        <v>49</v>
      </c>
      <c r="C37" s="95">
        <v>12366.9</v>
      </c>
      <c r="D37" s="15">
        <v>322.5</v>
      </c>
      <c r="E37" s="15">
        <v>5.16</v>
      </c>
      <c r="F37" s="15">
        <v>0</v>
      </c>
      <c r="G37" s="15">
        <v>0</v>
      </c>
      <c r="H37" s="15">
        <f>D37+F37+'08-08-19'!H36</f>
        <v>1740</v>
      </c>
      <c r="I37" s="15">
        <f>E37+G37+'08-08-19'!I36</f>
        <v>27.84</v>
      </c>
      <c r="J37" s="15">
        <f t="shared" si="13"/>
        <v>1767.84</v>
      </c>
      <c r="K37" s="15">
        <f t="shared" si="14"/>
        <v>10599.06</v>
      </c>
      <c r="L37" s="15">
        <f t="shared" si="15"/>
        <v>844.38405600000078</v>
      </c>
      <c r="M37" s="69"/>
      <c r="N37" s="55"/>
    </row>
    <row r="38" spans="1:15" s="25" customFormat="1" ht="11.45" customHeight="1" x14ac:dyDescent="0.25">
      <c r="A38" s="88" t="s">
        <v>26</v>
      </c>
      <c r="B38" s="89" t="s">
        <v>47</v>
      </c>
      <c r="C38" s="90"/>
      <c r="D38" s="15">
        <v>0</v>
      </c>
      <c r="E38" s="15">
        <v>0</v>
      </c>
      <c r="F38" s="15">
        <v>0</v>
      </c>
      <c r="G38" s="15">
        <v>0</v>
      </c>
      <c r="H38" s="15">
        <f>D38+F38+'08-08-19'!H37</f>
        <v>1016.4</v>
      </c>
      <c r="I38" s="15">
        <f>E38+G38+'08-08-19'!I37</f>
        <v>57.92</v>
      </c>
      <c r="J38" s="15">
        <f>H38+I38</f>
        <v>1074.32</v>
      </c>
      <c r="K38" s="14">
        <f>C38-J38</f>
        <v>-1074.32</v>
      </c>
      <c r="L38" s="15">
        <f t="shared" si="15"/>
        <v>-7002.2566120000001</v>
      </c>
      <c r="M38" s="4"/>
      <c r="N38" s="55"/>
    </row>
    <row r="39" spans="1:15" ht="21.6" customHeight="1" x14ac:dyDescent="0.25">
      <c r="A39" s="206" t="s">
        <v>27</v>
      </c>
      <c r="B39" s="207"/>
      <c r="C39" s="15">
        <f>SUM(C32:C38)</f>
        <v>28675.55</v>
      </c>
      <c r="D39" s="15">
        <f>SUM(D32:D38)</f>
        <v>373.13</v>
      </c>
      <c r="E39" s="15">
        <f>SUM(E32:E38)</f>
        <v>5.9700000000000006</v>
      </c>
      <c r="F39" s="15">
        <f>SUM(F32:F38)</f>
        <v>0</v>
      </c>
      <c r="G39" s="15">
        <f>SUM(G32:G38)</f>
        <v>0</v>
      </c>
      <c r="H39" s="15">
        <f>SUM(H32, H33:H38)</f>
        <v>2959.85</v>
      </c>
      <c r="I39" s="15">
        <f>SUM(I32, I33:I38)</f>
        <v>89</v>
      </c>
      <c r="J39" s="15">
        <f>SUM(J32, J33:J38)</f>
        <v>3048.85</v>
      </c>
      <c r="K39" s="15">
        <f>SUM(K32, K33:K38)</f>
        <v>25626.699999999997</v>
      </c>
      <c r="L39" s="15">
        <f>SUM(L32, L33:L38)</f>
        <v>8803.6030275000012</v>
      </c>
      <c r="M39" s="45"/>
    </row>
    <row r="40" spans="1:15" ht="10.9" customHeight="1" x14ac:dyDescent="0.25">
      <c r="A40" s="51"/>
      <c r="B40" s="52"/>
      <c r="C40" s="53"/>
      <c r="D40" s="54"/>
      <c r="E40" s="54"/>
      <c r="F40" s="54"/>
      <c r="G40" s="54"/>
      <c r="H40" s="53"/>
      <c r="I40" s="53"/>
      <c r="J40" s="53"/>
      <c r="K40" s="53"/>
      <c r="L40" s="53"/>
      <c r="M40" s="46"/>
      <c r="N40" s="2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47"/>
    </row>
    <row r="42" spans="1:15" ht="10.9" customHeight="1" x14ac:dyDescent="0.25">
      <c r="A42" s="12" t="s">
        <v>28</v>
      </c>
      <c r="B42" s="13" t="s">
        <v>29</v>
      </c>
      <c r="C42" s="95">
        <f>61895+688</f>
        <v>62583</v>
      </c>
      <c r="D42" s="14">
        <v>750.31</v>
      </c>
      <c r="E42" s="14">
        <v>12</v>
      </c>
      <c r="F42" s="14">
        <v>924.6</v>
      </c>
      <c r="G42" s="14">
        <v>52.7</v>
      </c>
      <c r="H42" s="15">
        <f>D42+F42+'08-08-19'!H41</f>
        <v>7045.12</v>
      </c>
      <c r="I42" s="15">
        <f>E42+G42+'08-08-19'!I41</f>
        <v>285.72999999999996</v>
      </c>
      <c r="J42" s="15">
        <f>H42+I42</f>
        <v>7330.8499999999995</v>
      </c>
      <c r="K42" s="14">
        <f>C42-J42</f>
        <v>55252.15</v>
      </c>
      <c r="L42" s="15">
        <f>C42-((J42/4)*26.0714)</f>
        <v>14801.619327500004</v>
      </c>
      <c r="N42" s="56"/>
    </row>
    <row r="43" spans="1:15" ht="21.6" customHeight="1" x14ac:dyDescent="0.25">
      <c r="A43" s="57" t="s">
        <v>30</v>
      </c>
      <c r="B43" s="58"/>
      <c r="C43" s="59">
        <f>C42</f>
        <v>62583</v>
      </c>
      <c r="D43" s="59">
        <f t="shared" ref="D43:L43" si="19">D42</f>
        <v>750.31</v>
      </c>
      <c r="E43" s="59">
        <f t="shared" si="19"/>
        <v>12</v>
      </c>
      <c r="F43" s="59">
        <f t="shared" si="19"/>
        <v>924.6</v>
      </c>
      <c r="G43" s="59">
        <f t="shared" si="19"/>
        <v>52.7</v>
      </c>
      <c r="H43" s="59">
        <f t="shared" si="19"/>
        <v>7045.12</v>
      </c>
      <c r="I43" s="59">
        <f t="shared" si="19"/>
        <v>285.72999999999996</v>
      </c>
      <c r="J43" s="59">
        <f t="shared" si="19"/>
        <v>7330.8499999999995</v>
      </c>
      <c r="K43" s="59">
        <f t="shared" si="19"/>
        <v>55252.15</v>
      </c>
      <c r="L43" s="59">
        <f t="shared" si="19"/>
        <v>14801.619327500004</v>
      </c>
    </row>
    <row r="44" spans="1:15" ht="10.9" customHeight="1" x14ac:dyDescent="0.25">
      <c r="A44" s="51"/>
      <c r="B44" s="52"/>
      <c r="C44" s="53"/>
      <c r="D44" s="54"/>
      <c r="E44" s="54"/>
      <c r="F44" s="54"/>
      <c r="G44" s="54"/>
      <c r="H44" s="53"/>
      <c r="I44" s="53"/>
      <c r="J44" s="53"/>
      <c r="K44" s="53"/>
      <c r="L44" s="53"/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  <c r="M45" s="46"/>
    </row>
    <row r="46" spans="1:15" ht="10.9" customHeight="1" x14ac:dyDescent="0.25">
      <c r="A46" s="40" t="s">
        <v>31</v>
      </c>
      <c r="B46" s="41">
        <v>55180000</v>
      </c>
      <c r="C46" s="95">
        <v>37736</v>
      </c>
      <c r="D46" s="14">
        <v>0</v>
      </c>
      <c r="E46" s="14">
        <v>0</v>
      </c>
      <c r="F46" s="14">
        <v>359.3</v>
      </c>
      <c r="G46" s="14">
        <v>20.48</v>
      </c>
      <c r="H46" s="15">
        <f>D46+F46+'08-08-19'!H45</f>
        <v>2085</v>
      </c>
      <c r="I46" s="15">
        <f>E46+G46+'08-08-19'!I45</f>
        <v>118.82000000000001</v>
      </c>
      <c r="J46" s="15">
        <f>H46+I46</f>
        <v>2203.8200000000002</v>
      </c>
      <c r="K46" s="14">
        <f>C46-J46</f>
        <v>35532.18</v>
      </c>
      <c r="L46" s="15">
        <f>C46-((J46/4)*26.0714)</f>
        <v>23371.831812999997</v>
      </c>
      <c r="N46" s="60"/>
    </row>
    <row r="47" spans="1:15" s="43" customFormat="1" ht="21.6" customHeight="1" x14ac:dyDescent="0.25">
      <c r="A47" s="206" t="s">
        <v>32</v>
      </c>
      <c r="B47" s="207"/>
      <c r="C47" s="15">
        <f>SUM(C46)</f>
        <v>37736</v>
      </c>
      <c r="D47" s="15">
        <f t="shared" ref="D47:L47" si="20">SUM(D46)</f>
        <v>0</v>
      </c>
      <c r="E47" s="15">
        <f t="shared" si="20"/>
        <v>0</v>
      </c>
      <c r="F47" s="15">
        <f t="shared" si="20"/>
        <v>359.3</v>
      </c>
      <c r="G47" s="15">
        <f t="shared" si="20"/>
        <v>20.48</v>
      </c>
      <c r="H47" s="15">
        <f t="shared" si="20"/>
        <v>2085</v>
      </c>
      <c r="I47" s="15">
        <f t="shared" si="20"/>
        <v>118.82000000000001</v>
      </c>
      <c r="J47" s="15">
        <f t="shared" si="20"/>
        <v>2203.8200000000002</v>
      </c>
      <c r="K47" s="15">
        <f t="shared" si="20"/>
        <v>35532.18</v>
      </c>
      <c r="L47" s="15">
        <f t="shared" si="20"/>
        <v>23371.831812999997</v>
      </c>
      <c r="M47" s="45"/>
      <c r="N47" s="5"/>
    </row>
    <row r="48" spans="1:15" s="43" customFormat="1" ht="11.25" customHeight="1" x14ac:dyDescent="0.25">
      <c r="A48" s="61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4"/>
      <c r="N48" s="25"/>
    </row>
    <row r="49" spans="1:16" s="26" customFormat="1" ht="10.9" customHeight="1" x14ac:dyDescent="0.25">
      <c r="A49" s="205" t="s">
        <v>51</v>
      </c>
      <c r="B49" s="205"/>
      <c r="C49" s="205"/>
      <c r="D49" s="205"/>
      <c r="E49" s="205"/>
      <c r="F49" s="205"/>
      <c r="G49" s="83">
        <v>688</v>
      </c>
      <c r="M49" s="4"/>
      <c r="N49" s="5"/>
      <c r="O49" s="5"/>
      <c r="P49" s="5"/>
    </row>
    <row r="50" spans="1:16" s="26" customFormat="1" ht="10.9" customHeight="1" x14ac:dyDescent="0.25">
      <c r="A50" s="205" t="s">
        <v>55</v>
      </c>
      <c r="B50" s="205"/>
      <c r="C50" s="205"/>
      <c r="D50" s="205"/>
      <c r="E50" s="205"/>
      <c r="F50" s="205"/>
      <c r="G50" s="83">
        <v>12000</v>
      </c>
      <c r="M50" s="4"/>
      <c r="N50" s="5"/>
      <c r="O50" s="5"/>
      <c r="P50" s="5"/>
    </row>
    <row r="51" spans="1:16" s="26" customFormat="1" ht="10.9" customHeight="1" x14ac:dyDescent="0.25">
      <c r="A51" s="205" t="s">
        <v>57</v>
      </c>
      <c r="B51" s="205"/>
      <c r="C51" s="205"/>
      <c r="D51" s="205"/>
      <c r="E51" s="205"/>
      <c r="F51" s="205"/>
      <c r="G51" s="83">
        <v>2376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2624</v>
      </c>
      <c r="M52" s="4"/>
      <c r="N52" s="5"/>
      <c r="O52" s="5"/>
      <c r="P52" s="5"/>
    </row>
    <row r="53" spans="1:16" s="26" customFormat="1" ht="10.9" customHeight="1" x14ac:dyDescent="0.25">
      <c r="A53" s="205" t="s">
        <v>58</v>
      </c>
      <c r="B53" s="205"/>
      <c r="C53" s="205"/>
      <c r="D53" s="205"/>
      <c r="E53" s="205"/>
      <c r="F53" s="205"/>
      <c r="G53" s="10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60</v>
      </c>
      <c r="B54" s="205"/>
      <c r="C54" s="205"/>
      <c r="D54" s="205"/>
      <c r="E54" s="205"/>
      <c r="F54" s="205"/>
      <c r="G54" s="83">
        <v>5271.53</v>
      </c>
      <c r="M54" s="4"/>
      <c r="N54" s="5"/>
      <c r="O54" s="5"/>
      <c r="P54" s="5"/>
    </row>
    <row r="55" spans="1:16" s="26" customFormat="1" ht="10.9" customHeight="1" x14ac:dyDescent="0.25">
      <c r="A55" s="205" t="s">
        <v>62</v>
      </c>
      <c r="B55" s="205"/>
      <c r="C55" s="205"/>
      <c r="D55" s="205"/>
      <c r="E55" s="205"/>
      <c r="F55" s="205"/>
      <c r="G55" s="83">
        <v>765.34</v>
      </c>
      <c r="M55" s="4"/>
      <c r="N55" s="5"/>
      <c r="O55" s="5"/>
      <c r="P55" s="5"/>
    </row>
    <row r="56" spans="1:16" s="26" customFormat="1" ht="10.9" customHeight="1" x14ac:dyDescent="0.25">
      <c r="A56" s="205"/>
      <c r="B56" s="205"/>
      <c r="C56" s="205"/>
      <c r="D56" s="205"/>
      <c r="E56" s="205"/>
      <c r="F56" s="205"/>
      <c r="G56" s="83"/>
      <c r="M56" s="4"/>
      <c r="N56" s="5"/>
      <c r="O56" s="5"/>
      <c r="P56" s="5"/>
    </row>
    <row r="57" spans="1:16" s="26" customFormat="1" ht="10.9" customHeight="1" x14ac:dyDescent="0.25">
      <c r="A57" s="205"/>
      <c r="B57" s="205"/>
      <c r="C57" s="205"/>
      <c r="D57" s="205"/>
      <c r="E57" s="205"/>
      <c r="F57" s="205"/>
      <c r="G57" s="83"/>
      <c r="M57" s="4"/>
      <c r="N57" s="5"/>
      <c r="O57" s="5"/>
      <c r="P57" s="5"/>
    </row>
    <row r="58" spans="1:16" s="26" customFormat="1" ht="10.9" customHeight="1" x14ac:dyDescent="0.25">
      <c r="A58" s="205"/>
      <c r="B58" s="205"/>
      <c r="C58" s="205"/>
      <c r="D58" s="205"/>
      <c r="E58" s="205"/>
      <c r="F58" s="205"/>
      <c r="G58" s="83"/>
      <c r="M58" s="4"/>
      <c r="N58" s="5"/>
      <c r="O58" s="5"/>
      <c r="P58" s="5"/>
    </row>
  </sheetData>
  <mergeCells count="16">
    <mergeCell ref="A47:B47"/>
    <mergeCell ref="A13:B13"/>
    <mergeCell ref="A19:B19"/>
    <mergeCell ref="A26:B26"/>
    <mergeCell ref="A29:B29"/>
    <mergeCell ref="A39:B39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</mergeCells>
  <pageMargins left="0.25" right="0" top="0.4" bottom="0" header="0.3" footer="0"/>
  <pageSetup scale="9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145" zoomScaleNormal="145" workbookViewId="0">
      <pane ySplit="2" topLeftCell="A21" activePane="bottomLeft" state="frozen"/>
      <selection pane="bottomLeft" activeCell="C47" sqref="C47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9.285156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65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</f>
        <v>2376</v>
      </c>
      <c r="D3" s="15">
        <v>0</v>
      </c>
      <c r="E3" s="15">
        <v>0</v>
      </c>
      <c r="F3" s="15">
        <v>0</v>
      </c>
      <c r="G3" s="15">
        <v>0</v>
      </c>
      <c r="H3" s="15">
        <f>D3+F3+'08-22-19'!H3</f>
        <v>2755.8</v>
      </c>
      <c r="I3" s="15">
        <f>E3+G3+'08-22-19'!I3</f>
        <v>157.07</v>
      </c>
      <c r="J3" s="15">
        <f>H3+I3</f>
        <v>2912.8700000000003</v>
      </c>
      <c r="K3" s="107">
        <f>C3-J3</f>
        <v>-536.87000000000035</v>
      </c>
      <c r="L3" s="15">
        <f>C3-((J3/5)*26.0714)</f>
        <v>-12812.519783600002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D4+F4+'08-22-19'!H4</f>
        <v>0</v>
      </c>
      <c r="I4" s="15">
        <f>E4+G4+'08-22-19'!I4</f>
        <v>0</v>
      </c>
      <c r="J4" s="15">
        <f>H4+I4</f>
        <v>0</v>
      </c>
      <c r="K4" s="15">
        <f>C4-J4</f>
        <v>3229</v>
      </c>
      <c r="L4" s="15">
        <f t="shared" ref="L4:L12" si="0">C4-((J4/5)*26.0714)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541.92999999999995</v>
      </c>
      <c r="E5" s="21">
        <v>5.03</v>
      </c>
      <c r="F5" s="21">
        <v>0</v>
      </c>
      <c r="G5" s="21">
        <v>0</v>
      </c>
      <c r="H5" s="15">
        <f>D5+F5+'08-22-19'!H5</f>
        <v>3492.93</v>
      </c>
      <c r="I5" s="15">
        <f>E5+G5+'08-22-19'!I5</f>
        <v>73.97</v>
      </c>
      <c r="J5" s="15">
        <f t="shared" ref="J5:J12" si="1">H5+I5</f>
        <v>3566.8999999999996</v>
      </c>
      <c r="K5" s="14">
        <f t="shared" ref="K5:K12" si="2">C5-J5</f>
        <v>21082.1</v>
      </c>
      <c r="L5" s="15">
        <f t="shared" si="0"/>
        <v>6050.1846680000017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239.77</v>
      </c>
      <c r="E6" s="14">
        <v>7.46</v>
      </c>
      <c r="F6" s="14">
        <v>0</v>
      </c>
      <c r="G6" s="14">
        <v>0</v>
      </c>
      <c r="H6" s="15">
        <f>D6+F6+'08-22-19'!H6</f>
        <v>1309.3</v>
      </c>
      <c r="I6" s="15">
        <f>E6+G6+'08-22-19'!I6</f>
        <v>24.55</v>
      </c>
      <c r="J6" s="15">
        <f t="shared" si="1"/>
        <v>1333.85</v>
      </c>
      <c r="K6" s="14">
        <f t="shared" si="2"/>
        <v>16640.150000000001</v>
      </c>
      <c r="L6" s="15">
        <f t="shared" si="0"/>
        <v>11018.932622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308.95</v>
      </c>
      <c r="E7" s="14">
        <v>4.93</v>
      </c>
      <c r="F7" s="14">
        <v>0</v>
      </c>
      <c r="G7" s="14">
        <v>0</v>
      </c>
      <c r="H7" s="15">
        <f>D7+F7+'08-22-19'!H7</f>
        <v>2825.38</v>
      </c>
      <c r="I7" s="15">
        <f>E7+G7+'08-22-19'!I7</f>
        <v>45.14</v>
      </c>
      <c r="J7" s="15">
        <f t="shared" si="1"/>
        <v>2870.52</v>
      </c>
      <c r="K7" s="14">
        <f t="shared" si="2"/>
        <v>15103.48</v>
      </c>
      <c r="L7" s="15">
        <f t="shared" si="0"/>
        <v>3006.3049743999982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195.8</v>
      </c>
      <c r="E8" s="14">
        <v>3.12</v>
      </c>
      <c r="F8" s="14">
        <v>0</v>
      </c>
      <c r="G8" s="14">
        <v>0</v>
      </c>
      <c r="H8" s="15">
        <f>D8+F8+'08-22-19'!H8</f>
        <v>5534.4800000000014</v>
      </c>
      <c r="I8" s="15">
        <f>E8+G8+'08-22-19'!I8</f>
        <v>88.51</v>
      </c>
      <c r="J8" s="15">
        <f t="shared" si="1"/>
        <v>5622.9900000000016</v>
      </c>
      <c r="K8" s="14">
        <f t="shared" si="2"/>
        <v>18707.009999999998</v>
      </c>
      <c r="L8" s="15">
        <f t="shared" si="0"/>
        <v>-4989.8442972000121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585.27</v>
      </c>
      <c r="E9" s="14">
        <v>9.35</v>
      </c>
      <c r="F9" s="14">
        <v>0</v>
      </c>
      <c r="G9" s="14">
        <v>0</v>
      </c>
      <c r="H9" s="15">
        <f>D9+F9+'08-22-19'!H9</f>
        <v>7931.52</v>
      </c>
      <c r="I9" s="15">
        <f>E9+G9+'08-22-19'!I9</f>
        <v>255.61</v>
      </c>
      <c r="J9" s="15">
        <f t="shared" si="1"/>
        <v>8187.13</v>
      </c>
      <c r="K9" s="14">
        <f t="shared" si="2"/>
        <v>25812.87</v>
      </c>
      <c r="L9" s="15">
        <f t="shared" si="0"/>
        <v>-8689.988216400001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f>207.48+1378.86</f>
        <v>1586.34</v>
      </c>
      <c r="E10" s="14">
        <f>3.31+22.05</f>
        <v>25.36</v>
      </c>
      <c r="F10" s="14">
        <v>0</v>
      </c>
      <c r="G10" s="14">
        <v>0</v>
      </c>
      <c r="H10" s="15">
        <f>D10+F10+'08-22-19'!H10</f>
        <v>9640.19</v>
      </c>
      <c r="I10" s="15">
        <f>E10+G10+'08-22-19'!I10</f>
        <v>172.88</v>
      </c>
      <c r="J10" s="15">
        <f t="shared" si="1"/>
        <v>9813.07</v>
      </c>
      <c r="K10" s="14">
        <f t="shared" si="2"/>
        <v>32927.93</v>
      </c>
      <c r="L10" s="15">
        <f t="shared" si="0"/>
        <v>-8427.0946395999999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340.35</v>
      </c>
      <c r="E11" s="14">
        <v>5.43</v>
      </c>
      <c r="F11" s="14">
        <v>0</v>
      </c>
      <c r="G11" s="14">
        <v>0</v>
      </c>
      <c r="H11" s="15">
        <f>D11+F11+'08-22-19'!H11</f>
        <v>2623.49</v>
      </c>
      <c r="I11" s="15">
        <f>E11+G11+'08-22-19'!I11</f>
        <v>117.67000000000002</v>
      </c>
      <c r="J11" s="15">
        <f t="shared" si="1"/>
        <v>2741.16</v>
      </c>
      <c r="K11" s="14">
        <f t="shared" si="2"/>
        <v>20431.84</v>
      </c>
      <c r="L11" s="15">
        <f t="shared" si="0"/>
        <v>8879.8242351999997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61.02</v>
      </c>
      <c r="E12" s="14">
        <v>0.97</v>
      </c>
      <c r="F12" s="14">
        <v>0</v>
      </c>
      <c r="G12" s="14">
        <v>0</v>
      </c>
      <c r="H12" s="15">
        <f>D12+F12+'08-22-19'!H12</f>
        <v>61.02</v>
      </c>
      <c r="I12" s="15">
        <f>E12+G12+'08-22-19'!I12</f>
        <v>0.97</v>
      </c>
      <c r="J12" s="15">
        <f t="shared" si="1"/>
        <v>61.99</v>
      </c>
      <c r="K12" s="14">
        <f t="shared" si="2"/>
        <v>5938.01</v>
      </c>
      <c r="L12" s="15">
        <f t="shared" si="0"/>
        <v>5676.7667828000003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3859.4299999999994</v>
      </c>
      <c r="E13" s="15">
        <f t="shared" si="3"/>
        <v>61.65</v>
      </c>
      <c r="F13" s="15">
        <f t="shared" si="3"/>
        <v>0</v>
      </c>
      <c r="G13" s="15">
        <f t="shared" si="3"/>
        <v>0</v>
      </c>
      <c r="H13" s="15">
        <f t="shared" si="3"/>
        <v>33418.31</v>
      </c>
      <c r="I13" s="15">
        <f t="shared" si="3"/>
        <v>779.30000000000018</v>
      </c>
      <c r="J13" s="14">
        <f t="shared" si="3"/>
        <v>34197.61</v>
      </c>
      <c r="K13" s="14">
        <f t="shared" si="3"/>
        <v>159872.38999999998</v>
      </c>
      <c r="L13" s="15">
        <f t="shared" si="3"/>
        <v>15754.086129199986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D16+F16+'08-22-19'!H16</f>
        <v>0</v>
      </c>
      <c r="I16" s="15">
        <f>E16+G16+'08-22-19'!I16</f>
        <v>0</v>
      </c>
      <c r="J16" s="15">
        <f>H16+I16</f>
        <v>0</v>
      </c>
      <c r="K16" s="14">
        <f>C16-J16</f>
        <v>26923</v>
      </c>
      <c r="L16" s="15">
        <f t="shared" ref="L16:L18" si="4">C16-((J16/5)*26.0714)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164.45</v>
      </c>
      <c r="E17" s="15">
        <v>2.62</v>
      </c>
      <c r="F17" s="14">
        <v>0</v>
      </c>
      <c r="G17" s="14">
        <v>0</v>
      </c>
      <c r="H17" s="15">
        <f>D17+F17+'08-22-19'!H17</f>
        <v>1576.88</v>
      </c>
      <c r="I17" s="15">
        <f>E17+G17+'08-22-19'!I17</f>
        <v>42.370000000000005</v>
      </c>
      <c r="J17" s="15">
        <f>H17+I17</f>
        <v>1619.25</v>
      </c>
      <c r="K17" s="14">
        <f>C17-J17</f>
        <v>14442.75</v>
      </c>
      <c r="L17" s="15">
        <f t="shared" si="4"/>
        <v>7618.7771099999991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101.52</v>
      </c>
      <c r="E18" s="14">
        <v>1.61</v>
      </c>
      <c r="F18" s="14">
        <v>0</v>
      </c>
      <c r="G18" s="14">
        <v>0</v>
      </c>
      <c r="H18" s="15">
        <f>D18+F18+'08-22-19'!H18</f>
        <v>433.57999999999993</v>
      </c>
      <c r="I18" s="15">
        <f>E18+G18+'08-22-19'!I18</f>
        <v>6.8999999999999995</v>
      </c>
      <c r="J18" s="15">
        <f>H18+I18</f>
        <v>440.4799999999999</v>
      </c>
      <c r="K18" s="14">
        <f>C18-J18</f>
        <v>1585.52</v>
      </c>
      <c r="L18" s="15">
        <f t="shared" si="4"/>
        <v>-270.78605439999956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265.96999999999997</v>
      </c>
      <c r="E19" s="15">
        <f t="shared" si="5"/>
        <v>4.2300000000000004</v>
      </c>
      <c r="F19" s="15">
        <f t="shared" si="5"/>
        <v>0</v>
      </c>
      <c r="G19" s="15">
        <f t="shared" si="5"/>
        <v>0</v>
      </c>
      <c r="H19" s="15">
        <f t="shared" si="5"/>
        <v>2010.46</v>
      </c>
      <c r="I19" s="15">
        <f t="shared" si="5"/>
        <v>49.27</v>
      </c>
      <c r="J19" s="14">
        <f t="shared" si="5"/>
        <v>2059.73</v>
      </c>
      <c r="K19" s="15">
        <f t="shared" si="5"/>
        <v>42951.27</v>
      </c>
      <c r="L19" s="15">
        <f t="shared" si="5"/>
        <v>34270.991055599996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375</v>
      </c>
      <c r="E23" s="14">
        <v>6</v>
      </c>
      <c r="F23" s="14">
        <v>0</v>
      </c>
      <c r="G23" s="14">
        <v>0</v>
      </c>
      <c r="H23" s="15">
        <f>D23+F23+'08-22-19'!H23</f>
        <v>2535</v>
      </c>
      <c r="I23" s="15">
        <f>E23+G23+'08-22-19'!I23</f>
        <v>40.56</v>
      </c>
      <c r="J23" s="15">
        <f t="shared" si="7"/>
        <v>2575.56</v>
      </c>
      <c r="K23" s="14">
        <f t="shared" si="8"/>
        <v>22424.44</v>
      </c>
      <c r="L23" s="15">
        <f t="shared" ref="L23:L25" si="10">C23-((J23/5)*26.0714)</f>
        <v>11570.3090032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294.39999999999998</v>
      </c>
      <c r="E24" s="48">
        <v>4.7</v>
      </c>
      <c r="F24" s="48">
        <v>0</v>
      </c>
      <c r="G24" s="48">
        <v>0</v>
      </c>
      <c r="H24" s="15">
        <f>D24+F24+'08-22-19'!H24</f>
        <v>1219.1399999999999</v>
      </c>
      <c r="I24" s="15">
        <f>E24+G24+'08-22-19'!I24</f>
        <v>19.48</v>
      </c>
      <c r="J24" s="15">
        <f t="shared" si="7"/>
        <v>1238.6199999999999</v>
      </c>
      <c r="K24" s="14">
        <f t="shared" si="8"/>
        <v>13261.380000000001</v>
      </c>
      <c r="L24" s="15">
        <f t="shared" si="10"/>
        <v>8041.4885064</v>
      </c>
      <c r="M24" s="79"/>
      <c r="N24" s="47"/>
    </row>
    <row r="25" spans="1:18" s="43" customFormat="1" ht="10.9" customHeight="1" x14ac:dyDescent="0.25">
      <c r="A25" s="106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0</v>
      </c>
      <c r="G25" s="48">
        <v>0</v>
      </c>
      <c r="H25" s="15">
        <f>D25+F25+'08-22-19'!H25</f>
        <v>0</v>
      </c>
      <c r="I25" s="15">
        <f>E25+G25+'08-22-19'!I25</f>
        <v>0</v>
      </c>
      <c r="J25" s="15">
        <f>H25+I25</f>
        <v>0</v>
      </c>
      <c r="K25" s="14">
        <f>C25-J25</f>
        <v>5271.53</v>
      </c>
      <c r="L25" s="15">
        <f t="shared" si="10"/>
        <v>5271.53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669.4</v>
      </c>
      <c r="E26" s="49">
        <f t="shared" si="11"/>
        <v>10.7</v>
      </c>
      <c r="F26" s="49">
        <f t="shared" si="11"/>
        <v>0</v>
      </c>
      <c r="G26" s="49">
        <f t="shared" si="11"/>
        <v>0</v>
      </c>
      <c r="H26" s="49">
        <f t="shared" si="11"/>
        <v>3754.14</v>
      </c>
      <c r="I26" s="49">
        <f t="shared" si="11"/>
        <v>60.040000000000006</v>
      </c>
      <c r="J26" s="49">
        <f t="shared" si="11"/>
        <v>3814.18</v>
      </c>
      <c r="K26" s="49">
        <f t="shared" si="11"/>
        <v>40957.35</v>
      </c>
      <c r="L26" s="15">
        <f>C26-((J26/5)*26.0714)</f>
        <v>19611.797509600001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2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8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4794.7999999999993</v>
      </c>
      <c r="E29" s="50">
        <f t="shared" si="12"/>
        <v>76.58</v>
      </c>
      <c r="F29" s="50">
        <f t="shared" si="12"/>
        <v>0</v>
      </c>
      <c r="G29" s="50">
        <f t="shared" si="12"/>
        <v>0</v>
      </c>
      <c r="H29" s="50">
        <f t="shared" si="12"/>
        <v>39182.909999999996</v>
      </c>
      <c r="I29" s="50">
        <f t="shared" si="12"/>
        <v>888.61000000000013</v>
      </c>
      <c r="J29" s="50">
        <f t="shared" si="12"/>
        <v>40071.520000000004</v>
      </c>
      <c r="K29" s="50">
        <f t="shared" si="12"/>
        <v>243781.00999999998</v>
      </c>
      <c r="L29" s="50">
        <f t="shared" si="12"/>
        <v>69636.874694399987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06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D32+F32+'08-22-19'!H32</f>
        <v>0</v>
      </c>
      <c r="I32" s="15">
        <f>E32+G32+'08-22-19'!I32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C32-((J32/5)*26.0714)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D33+F33+'08-22-19'!H33</f>
        <v>0</v>
      </c>
      <c r="I33" s="15">
        <f>E33+G33+'08-22-19'!I33</f>
        <v>0</v>
      </c>
      <c r="J33" s="14">
        <f t="shared" si="13"/>
        <v>0</v>
      </c>
      <c r="K33" s="15">
        <f t="shared" si="14"/>
        <v>12000</v>
      </c>
      <c r="L33" s="15">
        <f t="shared" si="15"/>
        <v>12000</v>
      </c>
      <c r="M33" s="69"/>
      <c r="N33" s="25"/>
    </row>
    <row r="34" spans="1:15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D34+F34+'08-22-19'!H34</f>
        <v>0</v>
      </c>
      <c r="I34" s="15">
        <f>E34+G34+'08-22-19'!I34</f>
        <v>0</v>
      </c>
      <c r="J34" s="15">
        <f t="shared" si="13"/>
        <v>0</v>
      </c>
      <c r="K34" s="15">
        <f t="shared" si="14"/>
        <v>765.34</v>
      </c>
      <c r="L34" s="15">
        <f t="shared" si="15"/>
        <v>765.34</v>
      </c>
      <c r="M34" s="69"/>
      <c r="N34" s="25"/>
    </row>
    <row r="35" spans="1:15" s="24" customFormat="1" ht="11.25" customHeight="1" x14ac:dyDescent="0.25">
      <c r="A35" s="92" t="s">
        <v>68</v>
      </c>
      <c r="B35" s="91" t="s">
        <v>66</v>
      </c>
      <c r="C35" s="87">
        <v>6353.85</v>
      </c>
      <c r="D35" s="87">
        <v>210.04</v>
      </c>
      <c r="E35" s="87">
        <v>3.35</v>
      </c>
      <c r="F35" s="87">
        <v>0</v>
      </c>
      <c r="G35" s="87">
        <v>0</v>
      </c>
      <c r="H35" s="87">
        <f>D35+F35</f>
        <v>210.04</v>
      </c>
      <c r="I35" s="87">
        <f>E35+G35</f>
        <v>3.35</v>
      </c>
      <c r="J35" s="87">
        <f t="shared" ref="J35" si="16">H35+I35</f>
        <v>213.39</v>
      </c>
      <c r="K35" s="87">
        <f t="shared" ref="K35" si="17">C35-J35</f>
        <v>6140.46</v>
      </c>
      <c r="L35" s="87">
        <f t="shared" ref="L35" si="18">C35-((J35/5)*26.0714)</f>
        <v>5241.1747908000007</v>
      </c>
      <c r="M35" s="69"/>
      <c r="N35" s="25"/>
    </row>
    <row r="36" spans="1:15" s="24" customFormat="1" ht="11.45" customHeight="1" x14ac:dyDescent="0.25">
      <c r="A36" s="94" t="s">
        <v>36</v>
      </c>
      <c r="B36" s="93" t="s">
        <v>38</v>
      </c>
      <c r="C36" s="95">
        <v>2043</v>
      </c>
      <c r="D36" s="14">
        <v>0</v>
      </c>
      <c r="E36" s="14">
        <v>0</v>
      </c>
      <c r="F36" s="14">
        <v>0</v>
      </c>
      <c r="G36" s="14">
        <v>0</v>
      </c>
      <c r="H36" s="15">
        <f>D36+F36+'08-22-19'!H35</f>
        <v>0</v>
      </c>
      <c r="I36" s="15">
        <f>E36+G36+'08-22-19'!I35</f>
        <v>0</v>
      </c>
      <c r="J36" s="15">
        <f t="shared" si="13"/>
        <v>0</v>
      </c>
      <c r="K36" s="14">
        <f t="shared" si="14"/>
        <v>2043</v>
      </c>
      <c r="L36" s="15">
        <f t="shared" si="15"/>
        <v>2043</v>
      </c>
      <c r="M36" s="71"/>
      <c r="N36" s="25"/>
    </row>
    <row r="37" spans="1:15" s="25" customFormat="1" ht="11.45" customHeight="1" x14ac:dyDescent="0.25">
      <c r="A37" s="12" t="s">
        <v>42</v>
      </c>
      <c r="B37" s="13" t="s">
        <v>43</v>
      </c>
      <c r="C37" s="95">
        <v>900</v>
      </c>
      <c r="D37" s="14">
        <v>37.5</v>
      </c>
      <c r="E37" s="14">
        <v>0.59</v>
      </c>
      <c r="F37" s="14">
        <v>0</v>
      </c>
      <c r="G37" s="14">
        <v>0</v>
      </c>
      <c r="H37" s="15">
        <f>D37+F37+'08-22-19'!H36</f>
        <v>240.95</v>
      </c>
      <c r="I37" s="15">
        <f>E37+G37+'08-22-19'!I36</f>
        <v>3.8299999999999996</v>
      </c>
      <c r="J37" s="15">
        <f t="shared" si="13"/>
        <v>244.78</v>
      </c>
      <c r="K37" s="14">
        <f t="shared" si="14"/>
        <v>655.22</v>
      </c>
      <c r="L37" s="15">
        <f t="shared" si="15"/>
        <v>-376.35145840000018</v>
      </c>
      <c r="M37" s="45"/>
      <c r="N37" s="72"/>
      <c r="O37" s="44"/>
    </row>
    <row r="38" spans="1:15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292.5</v>
      </c>
      <c r="E38" s="15">
        <v>4.67</v>
      </c>
      <c r="F38" s="15">
        <v>0</v>
      </c>
      <c r="G38" s="15">
        <v>0</v>
      </c>
      <c r="H38" s="15">
        <f>D38+F38+'08-22-19'!H37</f>
        <v>2032.5</v>
      </c>
      <c r="I38" s="15">
        <f>E38+G38+'08-22-19'!I37</f>
        <v>32.51</v>
      </c>
      <c r="J38" s="15">
        <f t="shared" si="13"/>
        <v>2065.0100000000002</v>
      </c>
      <c r="K38" s="15">
        <f t="shared" si="14"/>
        <v>10301.89</v>
      </c>
      <c r="L38" s="15">
        <f t="shared" si="15"/>
        <v>1599.3596571999969</v>
      </c>
      <c r="M38" s="69"/>
      <c r="N38" s="55"/>
    </row>
    <row r="39" spans="1:15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168</v>
      </c>
      <c r="G39" s="15">
        <v>9.57</v>
      </c>
      <c r="H39" s="15">
        <f>D39+F39+'08-22-19'!H38</f>
        <v>1184.4000000000001</v>
      </c>
      <c r="I39" s="15">
        <f>E39+G39+'08-22-19'!I38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8692.2950108000005</v>
      </c>
      <c r="M39" s="109"/>
      <c r="N39" s="55"/>
    </row>
    <row r="40" spans="1:15" ht="21.6" customHeight="1" x14ac:dyDescent="0.25">
      <c r="A40" s="206" t="s">
        <v>27</v>
      </c>
      <c r="B40" s="207"/>
      <c r="C40" s="15">
        <f>SUM(C32:C39)</f>
        <v>50249.4</v>
      </c>
      <c r="D40" s="15">
        <f>SUM(D32:D39)</f>
        <v>540.04</v>
      </c>
      <c r="E40" s="15">
        <f>SUM(E32:E39)</f>
        <v>8.61</v>
      </c>
      <c r="F40" s="15">
        <f>SUM(F32:F39)</f>
        <v>168</v>
      </c>
      <c r="G40" s="15">
        <f>SUM(G32:G39)</f>
        <v>9.57</v>
      </c>
      <c r="H40" s="15">
        <f>SUM(H32, H33:H39)</f>
        <v>3667.89</v>
      </c>
      <c r="I40" s="15">
        <f>SUM(I32, I33:I39)</f>
        <v>107.18</v>
      </c>
      <c r="J40" s="15">
        <f>SUM(J32, J33:J39)</f>
        <v>3775.0700000000006</v>
      </c>
      <c r="K40" s="15">
        <f>SUM(K32, K33:K39)</f>
        <v>46474.33</v>
      </c>
      <c r="L40" s="15">
        <f>SUM(L32, L33:L39)</f>
        <v>30565.1280004</v>
      </c>
      <c r="M40" s="4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25"/>
    </row>
    <row r="42" spans="1:15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  <c r="M42" s="46"/>
      <c r="N42" s="47"/>
    </row>
    <row r="43" spans="1:15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1069.92</v>
      </c>
      <c r="E43" s="14">
        <v>17.100000000000001</v>
      </c>
      <c r="F43" s="14">
        <v>621.51</v>
      </c>
      <c r="G43" s="14">
        <v>35.42</v>
      </c>
      <c r="H43" s="15">
        <f>D43+F43+'08-22-19'!H42</f>
        <v>8736.5499999999993</v>
      </c>
      <c r="I43" s="15">
        <f>E43+G43+'08-22-19'!I42</f>
        <v>338.24999999999994</v>
      </c>
      <c r="J43" s="15">
        <f>H43+I43</f>
        <v>9074.7999999999993</v>
      </c>
      <c r="K43" s="14">
        <f>C43-J43</f>
        <v>53508.2</v>
      </c>
      <c r="L43" s="15">
        <f>C43-((J43/5)*26.0714)</f>
        <v>15264.451856000007</v>
      </c>
      <c r="N43" s="56"/>
    </row>
    <row r="44" spans="1:15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9">D43</f>
        <v>1069.92</v>
      </c>
      <c r="E44" s="59">
        <f t="shared" si="19"/>
        <v>17.100000000000001</v>
      </c>
      <c r="F44" s="59">
        <f t="shared" si="19"/>
        <v>621.51</v>
      </c>
      <c r="G44" s="59">
        <f t="shared" si="19"/>
        <v>35.42</v>
      </c>
      <c r="H44" s="59">
        <f t="shared" si="19"/>
        <v>8736.5499999999993</v>
      </c>
      <c r="I44" s="59">
        <f t="shared" si="19"/>
        <v>338.24999999999994</v>
      </c>
      <c r="J44" s="59">
        <f t="shared" si="19"/>
        <v>9074.7999999999993</v>
      </c>
      <c r="K44" s="59">
        <f t="shared" si="19"/>
        <v>53508.2</v>
      </c>
      <c r="L44" s="59">
        <f t="shared" si="19"/>
        <v>15264.451856000007</v>
      </c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5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  <c r="M46" s="46"/>
    </row>
    <row r="47" spans="1:15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58.48</v>
      </c>
      <c r="G47" s="14">
        <v>3.32</v>
      </c>
      <c r="H47" s="15">
        <f>D47+F47+'08-22-19'!H46</f>
        <v>2143.48</v>
      </c>
      <c r="I47" s="15">
        <f>E47+G47+'08-22-19'!I46</f>
        <v>122.14</v>
      </c>
      <c r="J47" s="15">
        <f>H47+I47</f>
        <v>2265.62</v>
      </c>
      <c r="K47" s="14">
        <f>C47-J47</f>
        <v>35470.379999999997</v>
      </c>
      <c r="L47" s="15">
        <f>C47-((J47/5)*26.0714)</f>
        <v>25922.422946400002</v>
      </c>
      <c r="N47" s="60"/>
    </row>
    <row r="48" spans="1:15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20">SUM(D47)</f>
        <v>0</v>
      </c>
      <c r="E48" s="15">
        <f t="shared" si="20"/>
        <v>0</v>
      </c>
      <c r="F48" s="15">
        <f t="shared" si="20"/>
        <v>58.48</v>
      </c>
      <c r="G48" s="15">
        <f t="shared" si="20"/>
        <v>3.32</v>
      </c>
      <c r="H48" s="15">
        <f t="shared" si="20"/>
        <v>2143.48</v>
      </c>
      <c r="I48" s="15">
        <f t="shared" si="20"/>
        <v>122.14</v>
      </c>
      <c r="J48" s="15">
        <f t="shared" si="20"/>
        <v>2265.62</v>
      </c>
      <c r="K48" s="15">
        <f t="shared" si="20"/>
        <v>35470.379999999997</v>
      </c>
      <c r="L48" s="15">
        <f t="shared" si="20"/>
        <v>25922.422946400002</v>
      </c>
      <c r="M48" s="45"/>
      <c r="N48" s="5"/>
    </row>
    <row r="49" spans="1:16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"/>
      <c r="N49" s="25"/>
    </row>
    <row r="50" spans="1:16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  <c r="M50" s="4"/>
      <c r="N50" s="5"/>
      <c r="O50" s="5"/>
      <c r="P50" s="5"/>
    </row>
    <row r="51" spans="1:16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  <c r="M52" s="4"/>
      <c r="N52" s="5"/>
      <c r="O52" s="5"/>
      <c r="P52" s="5"/>
    </row>
    <row r="53" spans="1:16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03">
        <v>2624</v>
      </c>
      <c r="M54" s="4"/>
      <c r="N54" s="5"/>
      <c r="O54" s="5"/>
      <c r="P54" s="5"/>
    </row>
    <row r="55" spans="1:16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  <c r="M55" s="4"/>
      <c r="N55" s="5"/>
      <c r="O55" s="5"/>
      <c r="P55" s="5"/>
    </row>
    <row r="56" spans="1:16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  <c r="M56" s="4"/>
      <c r="N56" s="5"/>
      <c r="O56" s="5"/>
      <c r="P56" s="5"/>
    </row>
    <row r="57" spans="1:16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  <c r="M57" s="4"/>
      <c r="N57" s="5"/>
      <c r="O57" s="5"/>
      <c r="P57" s="5"/>
    </row>
    <row r="58" spans="1:16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  <c r="M58" s="4"/>
      <c r="N58" s="5"/>
      <c r="O58" s="5"/>
      <c r="P58" s="5"/>
    </row>
    <row r="59" spans="1:16" s="26" customFormat="1" ht="10.9" customHeight="1" x14ac:dyDescent="0.25">
      <c r="A59" s="205"/>
      <c r="B59" s="205"/>
      <c r="C59" s="205"/>
      <c r="D59" s="205"/>
      <c r="E59" s="205"/>
      <c r="F59" s="205"/>
      <c r="G59" s="83"/>
      <c r="M59" s="4"/>
      <c r="N59" s="5"/>
      <c r="O59" s="5"/>
      <c r="P59" s="5"/>
    </row>
  </sheetData>
  <mergeCells count="16">
    <mergeCell ref="A48:B48"/>
    <mergeCell ref="A13:B13"/>
    <mergeCell ref="A19:B19"/>
    <mergeCell ref="A26:B26"/>
    <mergeCell ref="A29:B29"/>
    <mergeCell ref="A40:B40"/>
    <mergeCell ref="A56:F56"/>
    <mergeCell ref="A57:F57"/>
    <mergeCell ref="A58:F58"/>
    <mergeCell ref="A59:F59"/>
    <mergeCell ref="A50:F50"/>
    <mergeCell ref="A51:F51"/>
    <mergeCell ref="A52:F52"/>
    <mergeCell ref="A53:F53"/>
    <mergeCell ref="A54:F54"/>
    <mergeCell ref="A55:F55"/>
  </mergeCells>
  <pageMargins left="0.25" right="0" top="0.4" bottom="0" header="0.3" footer="0"/>
  <pageSetup scale="9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145" zoomScaleNormal="145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70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</f>
        <v>2376</v>
      </c>
      <c r="D3" s="15">
        <v>0</v>
      </c>
      <c r="E3" s="15">
        <v>0</v>
      </c>
      <c r="F3" s="15">
        <f>-138.21</f>
        <v>-138.21</v>
      </c>
      <c r="G3" s="15">
        <f>-7.87</f>
        <v>-7.87</v>
      </c>
      <c r="H3" s="15">
        <f>D3+F3+'09-05-19'!H3</f>
        <v>2617.59</v>
      </c>
      <c r="I3" s="15">
        <f>E3+G3+'09-05-19'!I3</f>
        <v>149.19999999999999</v>
      </c>
      <c r="J3" s="15">
        <f>H3+I3</f>
        <v>2766.79</v>
      </c>
      <c r="K3" s="107">
        <f>C3-J3</f>
        <v>-390.78999999999996</v>
      </c>
      <c r="L3" s="15">
        <f>C3-((J3/6)*26.0714)</f>
        <v>-9646.3481343333333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D4+F4+'09-05-19'!H4</f>
        <v>0</v>
      </c>
      <c r="I4" s="15">
        <f>E4+G4+'09-05-19'!I4</f>
        <v>0</v>
      </c>
      <c r="J4" s="15">
        <f>H4+I4</f>
        <v>0</v>
      </c>
      <c r="K4" s="15">
        <f>C4-J4</f>
        <v>3229</v>
      </c>
      <c r="L4" s="15">
        <f t="shared" ref="L4:L10" si="0">C4-((J4/6)*26.0714)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f>607.88+453.68</f>
        <v>1061.56</v>
      </c>
      <c r="E5" s="21">
        <f>9.72+7.25</f>
        <v>16.97</v>
      </c>
      <c r="F5" s="21">
        <v>0</v>
      </c>
      <c r="G5" s="21">
        <v>0</v>
      </c>
      <c r="H5" s="15">
        <f>D5+F5+'09-05-19'!H5</f>
        <v>4554.49</v>
      </c>
      <c r="I5" s="15">
        <f>E5+G5+'09-05-19'!I5</f>
        <v>90.94</v>
      </c>
      <c r="J5" s="15">
        <f t="shared" ref="J5:J10" si="1">H5+I5</f>
        <v>4645.4299999999994</v>
      </c>
      <c r="K5" s="14">
        <f t="shared" ref="K5:K10" si="2">C5-J5</f>
        <v>20003.57</v>
      </c>
      <c r="L5" s="15">
        <f t="shared" si="0"/>
        <v>4463.5227163333366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699.4</v>
      </c>
      <c r="E6" s="14">
        <v>11.19</v>
      </c>
      <c r="F6" s="14">
        <v>0</v>
      </c>
      <c r="G6" s="14">
        <v>0</v>
      </c>
      <c r="H6" s="15">
        <f>D6+F6+'09-05-19'!H6</f>
        <v>2008.6999999999998</v>
      </c>
      <c r="I6" s="15">
        <f>E6+G6+'09-05-19'!I6</f>
        <v>35.74</v>
      </c>
      <c r="J6" s="15">
        <f t="shared" si="1"/>
        <v>2044.4399999999998</v>
      </c>
      <c r="K6" s="14">
        <f t="shared" si="2"/>
        <v>15929.56</v>
      </c>
      <c r="L6" s="15">
        <f t="shared" si="0"/>
        <v>9090.4311640000014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591.96</v>
      </c>
      <c r="E7" s="14">
        <v>9.4700000000000006</v>
      </c>
      <c r="F7" s="14">
        <v>0</v>
      </c>
      <c r="G7" s="14">
        <v>0</v>
      </c>
      <c r="H7" s="15">
        <f>D7+F7+'09-05-19'!H7</f>
        <v>3417.34</v>
      </c>
      <c r="I7" s="15">
        <f>E7+G7+'09-05-19'!I7</f>
        <v>54.61</v>
      </c>
      <c r="J7" s="15">
        <f t="shared" si="1"/>
        <v>3471.9500000000003</v>
      </c>
      <c r="K7" s="14">
        <f t="shared" si="2"/>
        <v>14502.05</v>
      </c>
      <c r="L7" s="15">
        <f t="shared" si="0"/>
        <v>2887.5671283333304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233.75</v>
      </c>
      <c r="E8" s="14">
        <v>3.74</v>
      </c>
      <c r="F8" s="14">
        <v>0</v>
      </c>
      <c r="G8" s="14">
        <v>0</v>
      </c>
      <c r="H8" s="15">
        <f>D8+F8+'09-05-19'!H8</f>
        <v>5768.2300000000014</v>
      </c>
      <c r="I8" s="15">
        <f>E8+G8+'09-05-19'!I8</f>
        <v>92.25</v>
      </c>
      <c r="J8" s="15">
        <f t="shared" si="1"/>
        <v>5860.4800000000014</v>
      </c>
      <c r="K8" s="14">
        <f t="shared" si="2"/>
        <v>18469.519999999997</v>
      </c>
      <c r="L8" s="15">
        <f t="shared" si="0"/>
        <v>-1135.1530453333398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927.39</v>
      </c>
      <c r="E9" s="14">
        <v>14.83</v>
      </c>
      <c r="F9" s="14">
        <v>0</v>
      </c>
      <c r="G9" s="14">
        <v>0</v>
      </c>
      <c r="H9" s="15">
        <f>D9+F9+'09-05-19'!H9</f>
        <v>8858.91</v>
      </c>
      <c r="I9" s="15">
        <f>E9+G9+'09-05-19'!I9</f>
        <v>270.44</v>
      </c>
      <c r="J9" s="15">
        <f t="shared" si="1"/>
        <v>9129.35</v>
      </c>
      <c r="K9" s="14">
        <f t="shared" si="2"/>
        <v>24870.65</v>
      </c>
      <c r="L9" s="15">
        <f t="shared" si="0"/>
        <v>-5669.155931666668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f>187.75+1989.56</f>
        <v>2177.31</v>
      </c>
      <c r="E10" s="14">
        <f>3+31.83</f>
        <v>34.83</v>
      </c>
      <c r="F10" s="14">
        <v>0</v>
      </c>
      <c r="G10" s="14">
        <v>0</v>
      </c>
      <c r="H10" s="15">
        <f>D10+F10+'09-05-19'!H10</f>
        <v>11817.5</v>
      </c>
      <c r="I10" s="15">
        <f>E10+G10+'09-05-19'!I10</f>
        <v>207.70999999999998</v>
      </c>
      <c r="J10" s="15">
        <f t="shared" si="1"/>
        <v>12025.21</v>
      </c>
      <c r="K10" s="14">
        <f t="shared" si="2"/>
        <v>30715.79</v>
      </c>
      <c r="L10" s="15">
        <f t="shared" si="0"/>
        <v>-9511.3433323333302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746.99</v>
      </c>
      <c r="E11" s="14">
        <v>11.95</v>
      </c>
      <c r="F11" s="14">
        <v>0</v>
      </c>
      <c r="G11" s="14">
        <v>0</v>
      </c>
      <c r="H11" s="15">
        <f>D11+F11+'09-05-19'!H11</f>
        <v>3370.4799999999996</v>
      </c>
      <c r="I11" s="15">
        <f>E11+G11+'09-05-19'!I11</f>
        <v>129.62</v>
      </c>
      <c r="J11" s="15">
        <f t="shared" ref="J11:J12" si="3">H11+I11</f>
        <v>3500.0999999999995</v>
      </c>
      <c r="K11" s="14">
        <f t="shared" ref="K11:K12" si="4">C11-J11</f>
        <v>19672.900000000001</v>
      </c>
      <c r="L11" s="15">
        <f t="shared" ref="L11:L12" si="5">C11-((J11/6)*26.0714)</f>
        <v>7964.2488100000028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102.26</v>
      </c>
      <c r="E12" s="14">
        <v>1.62</v>
      </c>
      <c r="F12" s="14">
        <v>0</v>
      </c>
      <c r="G12" s="14">
        <v>0</v>
      </c>
      <c r="H12" s="15">
        <f>D12+F12+'09-05-19'!H12</f>
        <v>163.28</v>
      </c>
      <c r="I12" s="15">
        <f>E12+G12+'09-05-19'!I12</f>
        <v>2.59</v>
      </c>
      <c r="J12" s="15">
        <f t="shared" si="3"/>
        <v>165.87</v>
      </c>
      <c r="K12" s="14">
        <f t="shared" si="4"/>
        <v>5834.13</v>
      </c>
      <c r="L12" s="15">
        <f t="shared" si="5"/>
        <v>5279.2561470000001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6">SUM(C4:C12)</f>
        <v>194070</v>
      </c>
      <c r="D13" s="15">
        <f t="shared" si="6"/>
        <v>6540.62</v>
      </c>
      <c r="E13" s="15">
        <f t="shared" si="6"/>
        <v>104.60000000000001</v>
      </c>
      <c r="F13" s="15">
        <f t="shared" si="6"/>
        <v>0</v>
      </c>
      <c r="G13" s="15">
        <f t="shared" si="6"/>
        <v>0</v>
      </c>
      <c r="H13" s="15">
        <f t="shared" si="6"/>
        <v>39958.929999999993</v>
      </c>
      <c r="I13" s="15">
        <f t="shared" si="6"/>
        <v>883.90000000000009</v>
      </c>
      <c r="J13" s="14">
        <f t="shared" si="6"/>
        <v>40842.83</v>
      </c>
      <c r="K13" s="14">
        <f t="shared" si="6"/>
        <v>153227.16999999998</v>
      </c>
      <c r="L13" s="15">
        <f t="shared" si="6"/>
        <v>16598.373656333337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D16+F16+'09-05-19'!H16</f>
        <v>0</v>
      </c>
      <c r="I16" s="15">
        <f>E16+G16+'09-05-19'!I16</f>
        <v>0</v>
      </c>
      <c r="J16" s="15">
        <f>H16+I16</f>
        <v>0</v>
      </c>
      <c r="K16" s="14">
        <f>C16-J16</f>
        <v>26923</v>
      </c>
      <c r="L16" s="15">
        <f t="shared" ref="L16:L18" si="7">C16-((J16/6)*26.0714)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225.4</v>
      </c>
      <c r="E17" s="15">
        <v>3.6</v>
      </c>
      <c r="F17" s="14">
        <v>0</v>
      </c>
      <c r="G17" s="14">
        <v>0</v>
      </c>
      <c r="H17" s="15">
        <f>D17+F17+'09-05-19'!H17</f>
        <v>1802.2800000000002</v>
      </c>
      <c r="I17" s="15">
        <f>E17+G17+'09-05-19'!I17</f>
        <v>45.970000000000006</v>
      </c>
      <c r="J17" s="15">
        <f>H17+I17</f>
        <v>1848.2500000000002</v>
      </c>
      <c r="K17" s="14">
        <f>C17-J17</f>
        <v>14213.75</v>
      </c>
      <c r="L17" s="15">
        <f t="shared" si="7"/>
        <v>8030.9224916666662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50.76</v>
      </c>
      <c r="E18" s="14">
        <v>0.81</v>
      </c>
      <c r="F18" s="14">
        <v>0</v>
      </c>
      <c r="G18" s="14">
        <v>0</v>
      </c>
      <c r="H18" s="15">
        <f>D18+F18+'09-05-19'!H18</f>
        <v>484.33999999999992</v>
      </c>
      <c r="I18" s="15">
        <f>E18+G18+'09-05-19'!I18</f>
        <v>7.7099999999999991</v>
      </c>
      <c r="J18" s="15">
        <f>H18+I18</f>
        <v>492.0499999999999</v>
      </c>
      <c r="K18" s="14">
        <f>C18-J18</f>
        <v>1533.95</v>
      </c>
      <c r="L18" s="15">
        <f t="shared" si="7"/>
        <v>-112.07206166666629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8">SUM(D16:D18)</f>
        <v>276.16000000000003</v>
      </c>
      <c r="E19" s="15">
        <f t="shared" si="8"/>
        <v>4.41</v>
      </c>
      <c r="F19" s="15">
        <f t="shared" si="8"/>
        <v>0</v>
      </c>
      <c r="G19" s="15">
        <f t="shared" si="8"/>
        <v>0</v>
      </c>
      <c r="H19" s="15">
        <f t="shared" si="8"/>
        <v>2286.62</v>
      </c>
      <c r="I19" s="15">
        <f t="shared" si="8"/>
        <v>53.680000000000007</v>
      </c>
      <c r="J19" s="14">
        <f t="shared" si="8"/>
        <v>2340.3000000000002</v>
      </c>
      <c r="K19" s="15">
        <f t="shared" si="8"/>
        <v>42670.7</v>
      </c>
      <c r="L19" s="15">
        <f t="shared" si="8"/>
        <v>34841.850429999999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9">D22+F22</f>
        <v>0</v>
      </c>
      <c r="I22" s="15">
        <f t="shared" si="9"/>
        <v>0</v>
      </c>
      <c r="J22" s="14">
        <f t="shared" ref="J22:J24" si="10">H22+I22</f>
        <v>0</v>
      </c>
      <c r="K22" s="14">
        <f t="shared" ref="K22:K24" si="11">C22-J22</f>
        <v>0</v>
      </c>
      <c r="L22" s="15">
        <f t="shared" ref="L22" si="12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150</v>
      </c>
      <c r="E23" s="14">
        <v>2.4</v>
      </c>
      <c r="F23" s="14">
        <v>0</v>
      </c>
      <c r="G23" s="14">
        <v>0</v>
      </c>
      <c r="H23" s="15">
        <f>D23+F23+'09-05-19'!H23</f>
        <v>2685</v>
      </c>
      <c r="I23" s="15">
        <f>E23+G23+'09-05-19'!I23</f>
        <v>42.96</v>
      </c>
      <c r="J23" s="15">
        <f t="shared" si="10"/>
        <v>2727.96</v>
      </c>
      <c r="K23" s="14">
        <f t="shared" si="11"/>
        <v>22272.04</v>
      </c>
      <c r="L23" s="15">
        <f t="shared" ref="L23:L25" si="13">C23-((J23/6)*26.0714)</f>
        <v>13146.377275999999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439.3</v>
      </c>
      <c r="E24" s="48">
        <v>7.02</v>
      </c>
      <c r="F24" s="48">
        <v>0</v>
      </c>
      <c r="G24" s="48">
        <v>0</v>
      </c>
      <c r="H24" s="15">
        <f>D24+F24+'09-05-19'!H24</f>
        <v>1658.4399999999998</v>
      </c>
      <c r="I24" s="15">
        <f>E24+G24+'09-05-19'!I24</f>
        <v>26.5</v>
      </c>
      <c r="J24" s="15">
        <f t="shared" si="10"/>
        <v>1684.9399999999998</v>
      </c>
      <c r="K24" s="14">
        <f t="shared" si="11"/>
        <v>12815.06</v>
      </c>
      <c r="L24" s="15">
        <f t="shared" si="13"/>
        <v>7178.5425473333335</v>
      </c>
      <c r="M24" s="79"/>
      <c r="N24" s="47"/>
    </row>
    <row r="25" spans="1:18" s="43" customFormat="1" ht="10.9" customHeight="1" x14ac:dyDescent="0.25">
      <c r="A25" s="110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288</v>
      </c>
      <c r="G25" s="48">
        <v>16.41</v>
      </c>
      <c r="H25" s="15">
        <f>D25+F25+'09-05-19'!H25</f>
        <v>288</v>
      </c>
      <c r="I25" s="15">
        <f>E25+G25+'09-05-19'!I25</f>
        <v>16.41</v>
      </c>
      <c r="J25" s="15">
        <f>H25+I25</f>
        <v>304.41000000000003</v>
      </c>
      <c r="K25" s="14">
        <f>C25-J25</f>
        <v>4967.12</v>
      </c>
      <c r="L25" s="15">
        <f t="shared" si="13"/>
        <v>3948.7975209999995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4">SUM(D22:D25)</f>
        <v>589.29999999999995</v>
      </c>
      <c r="E26" s="49">
        <f t="shared" si="14"/>
        <v>9.42</v>
      </c>
      <c r="F26" s="49">
        <f t="shared" si="14"/>
        <v>288</v>
      </c>
      <c r="G26" s="49">
        <f t="shared" si="14"/>
        <v>16.41</v>
      </c>
      <c r="H26" s="49">
        <f t="shared" si="14"/>
        <v>4631.4399999999996</v>
      </c>
      <c r="I26" s="49">
        <f t="shared" si="14"/>
        <v>85.87</v>
      </c>
      <c r="J26" s="49">
        <f t="shared" si="14"/>
        <v>4717.3099999999995</v>
      </c>
      <c r="K26" s="49">
        <f t="shared" si="14"/>
        <v>40054.22</v>
      </c>
      <c r="L26" s="15">
        <f>C26-((J26/6)*26.0714)</f>
        <v>19002.187344333335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2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8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5">C13+C19+C26</f>
        <v>278581</v>
      </c>
      <c r="D29" s="50">
        <f t="shared" si="15"/>
        <v>7406.08</v>
      </c>
      <c r="E29" s="50">
        <f t="shared" si="15"/>
        <v>118.43</v>
      </c>
      <c r="F29" s="50">
        <f t="shared" si="15"/>
        <v>288</v>
      </c>
      <c r="G29" s="50">
        <f t="shared" si="15"/>
        <v>16.41</v>
      </c>
      <c r="H29" s="50">
        <f t="shared" si="15"/>
        <v>46876.99</v>
      </c>
      <c r="I29" s="50">
        <f t="shared" si="15"/>
        <v>1023.4500000000002</v>
      </c>
      <c r="J29" s="50">
        <f t="shared" si="15"/>
        <v>47900.44</v>
      </c>
      <c r="K29" s="50">
        <f t="shared" si="15"/>
        <v>235952.09</v>
      </c>
      <c r="L29" s="50">
        <f t="shared" si="15"/>
        <v>70442.411430666674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10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D32+F32+'09-05-19'!H32</f>
        <v>0</v>
      </c>
      <c r="I32" s="15">
        <f>E32+G32+'09-05-19'!I32</f>
        <v>0</v>
      </c>
      <c r="J32" s="14">
        <f t="shared" ref="J32:J38" si="16">H32+I32</f>
        <v>0</v>
      </c>
      <c r="K32" s="14">
        <f t="shared" ref="K32:K38" si="17">C32-J32</f>
        <v>600.30999999999995</v>
      </c>
      <c r="L32" s="15">
        <f t="shared" ref="L32:L39" si="18">C32-((J32/6)*26.0714)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D33+F33+'09-05-19'!H33</f>
        <v>0</v>
      </c>
      <c r="I33" s="15">
        <f>E33+G33+'09-05-19'!I33</f>
        <v>0</v>
      </c>
      <c r="J33" s="14">
        <f t="shared" si="16"/>
        <v>0</v>
      </c>
      <c r="K33" s="15">
        <f t="shared" si="17"/>
        <v>12000</v>
      </c>
      <c r="L33" s="15">
        <f t="shared" si="18"/>
        <v>12000</v>
      </c>
      <c r="M33" s="69"/>
      <c r="N33" s="25"/>
    </row>
    <row r="34" spans="1:15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f>138.21</f>
        <v>138.21</v>
      </c>
      <c r="G34" s="15">
        <f>7.87</f>
        <v>7.87</v>
      </c>
      <c r="H34" s="15">
        <f>D34+F34+'09-05-19'!H34</f>
        <v>138.21</v>
      </c>
      <c r="I34" s="15">
        <f>E34+G34+'09-05-19'!I34</f>
        <v>7.87</v>
      </c>
      <c r="J34" s="15">
        <f t="shared" si="16"/>
        <v>146.08000000000001</v>
      </c>
      <c r="K34" s="15">
        <f t="shared" si="17"/>
        <v>619.26</v>
      </c>
      <c r="L34" s="15">
        <f t="shared" si="18"/>
        <v>130.58831466666663</v>
      </c>
      <c r="M34" s="69"/>
      <c r="N34" s="25"/>
    </row>
    <row r="35" spans="1:15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236</v>
      </c>
      <c r="E35" s="15">
        <v>3.77</v>
      </c>
      <c r="F35" s="15">
        <v>0</v>
      </c>
      <c r="G35" s="15">
        <v>0</v>
      </c>
      <c r="H35" s="15">
        <f>D35+F35+'09-05-19'!H35</f>
        <v>446.03999999999996</v>
      </c>
      <c r="I35" s="15">
        <f>E35+G35+'09-05-19'!I35</f>
        <v>7.12</v>
      </c>
      <c r="J35" s="15">
        <f t="shared" si="16"/>
        <v>453.15999999999997</v>
      </c>
      <c r="K35" s="15">
        <f t="shared" si="17"/>
        <v>5900.6900000000005</v>
      </c>
      <c r="L35" s="15">
        <f t="shared" si="18"/>
        <v>4384.7640626666671</v>
      </c>
      <c r="M35" s="69"/>
      <c r="N35" s="25"/>
    </row>
    <row r="36" spans="1:15" s="24" customFormat="1" ht="11.45" customHeight="1" x14ac:dyDescent="0.25">
      <c r="A36" s="94" t="s">
        <v>36</v>
      </c>
      <c r="B36" s="93" t="s">
        <v>38</v>
      </c>
      <c r="C36" s="95">
        <v>2043</v>
      </c>
      <c r="D36" s="14">
        <v>153.41</v>
      </c>
      <c r="E36" s="14">
        <v>2.4500000000000002</v>
      </c>
      <c r="F36" s="14">
        <v>0</v>
      </c>
      <c r="G36" s="14">
        <v>0</v>
      </c>
      <c r="H36" s="15">
        <f>D36+F36+'09-05-19'!H36</f>
        <v>153.41</v>
      </c>
      <c r="I36" s="15">
        <f>E36+G36+'09-05-19'!I36</f>
        <v>2.4500000000000002</v>
      </c>
      <c r="J36" s="15">
        <f t="shared" si="16"/>
        <v>155.85999999999999</v>
      </c>
      <c r="K36" s="14">
        <f t="shared" si="17"/>
        <v>1887.14</v>
      </c>
      <c r="L36" s="15">
        <f t="shared" si="18"/>
        <v>1365.7519326666668</v>
      </c>
      <c r="M36" s="71"/>
      <c r="N36" s="25"/>
    </row>
    <row r="37" spans="1:15" s="25" customFormat="1" ht="11.45" customHeight="1" x14ac:dyDescent="0.25">
      <c r="A37" s="12" t="s">
        <v>42</v>
      </c>
      <c r="B37" s="13" t="s">
        <v>43</v>
      </c>
      <c r="C37" s="95">
        <v>900</v>
      </c>
      <c r="D37" s="14">
        <v>101.25</v>
      </c>
      <c r="E37" s="14">
        <v>1.62</v>
      </c>
      <c r="F37" s="14">
        <v>0</v>
      </c>
      <c r="G37" s="14">
        <v>0</v>
      </c>
      <c r="H37" s="15">
        <f>D37+F37+'09-05-19'!H37</f>
        <v>342.2</v>
      </c>
      <c r="I37" s="15">
        <f>E37+G37+'09-05-19'!I37</f>
        <v>5.4499999999999993</v>
      </c>
      <c r="J37" s="15">
        <f t="shared" si="16"/>
        <v>347.65</v>
      </c>
      <c r="K37" s="14">
        <f t="shared" si="17"/>
        <v>552.35</v>
      </c>
      <c r="L37" s="15">
        <f t="shared" si="18"/>
        <v>-610.62036833333332</v>
      </c>
      <c r="M37" s="45"/>
      <c r="N37" s="72"/>
      <c r="O37" s="44"/>
    </row>
    <row r="38" spans="1:15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438.75</v>
      </c>
      <c r="E38" s="15">
        <v>7.02</v>
      </c>
      <c r="F38" s="15">
        <v>0</v>
      </c>
      <c r="G38" s="15">
        <v>0</v>
      </c>
      <c r="H38" s="15">
        <f>D38+F38+'09-05-19'!H38</f>
        <v>2471.25</v>
      </c>
      <c r="I38" s="15">
        <f>E38+G38+'09-05-19'!I38</f>
        <v>39.53</v>
      </c>
      <c r="J38" s="15">
        <f t="shared" si="16"/>
        <v>2510.7800000000002</v>
      </c>
      <c r="K38" s="15">
        <f t="shared" si="17"/>
        <v>9856.119999999999</v>
      </c>
      <c r="L38" s="15">
        <f t="shared" si="18"/>
        <v>1456.9750513333311</v>
      </c>
      <c r="M38" s="69"/>
      <c r="N38" s="55"/>
    </row>
    <row r="39" spans="1:15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D39+F39+'09-05-19'!H39</f>
        <v>1184.4000000000001</v>
      </c>
      <c r="I39" s="15">
        <f>E39+G39+'09-05-19'!I39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8"/>
        <v>9780.2458423333337</v>
      </c>
      <c r="M39" s="109"/>
      <c r="N39" s="55"/>
    </row>
    <row r="40" spans="1:15" ht="21.6" customHeight="1" x14ac:dyDescent="0.25">
      <c r="A40" s="206" t="s">
        <v>27</v>
      </c>
      <c r="B40" s="207"/>
      <c r="C40" s="15">
        <f>SUM(C32:C39)</f>
        <v>50249.4</v>
      </c>
      <c r="D40" s="15">
        <f>SUM(D32:D39)</f>
        <v>929.41</v>
      </c>
      <c r="E40" s="15">
        <f>SUM(E32:E39)</f>
        <v>14.86</v>
      </c>
      <c r="F40" s="15">
        <f>SUM(F32:F39)</f>
        <v>138.21</v>
      </c>
      <c r="G40" s="15">
        <f>SUM(G32:G39)</f>
        <v>7.87</v>
      </c>
      <c r="H40" s="15">
        <f>SUM(H32, H33:H39)</f>
        <v>4735.51</v>
      </c>
      <c r="I40" s="15">
        <f>SUM(I32, I33:I39)</f>
        <v>129.91000000000003</v>
      </c>
      <c r="J40" s="15">
        <f>SUM(J32, J33:J39)</f>
        <v>4865.42</v>
      </c>
      <c r="K40" s="15">
        <f>SUM(K32, K33:K39)</f>
        <v>45383.979999999996</v>
      </c>
      <c r="L40" s="15">
        <f>SUM(L32, L33:L39)</f>
        <v>29108.014835333332</v>
      </c>
      <c r="M40" s="4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25"/>
    </row>
    <row r="42" spans="1:15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  <c r="M42" s="46"/>
      <c r="N42" s="47"/>
    </row>
    <row r="43" spans="1:15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f>172.27+1031.17</f>
        <v>1203.44</v>
      </c>
      <c r="E43" s="14">
        <f>2.75+16.49</f>
        <v>19.239999999999998</v>
      </c>
      <c r="F43" s="14">
        <v>912.67</v>
      </c>
      <c r="G43" s="14">
        <v>52.02</v>
      </c>
      <c r="H43" s="15">
        <f>D43+F43+'09-05-19'!H43</f>
        <v>10852.66</v>
      </c>
      <c r="I43" s="15">
        <f>E43+G43+'09-05-19'!I43</f>
        <v>409.50999999999993</v>
      </c>
      <c r="J43" s="15">
        <f>H43+I43</f>
        <v>11262.17</v>
      </c>
      <c r="K43" s="14">
        <f>C43-J43</f>
        <v>51320.83</v>
      </c>
      <c r="L43" s="15">
        <f>C43-((J43/6)*26.0714)</f>
        <v>13646.243510333326</v>
      </c>
      <c r="N43" s="56"/>
    </row>
    <row r="44" spans="1:15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9">D43</f>
        <v>1203.44</v>
      </c>
      <c r="E44" s="59">
        <f t="shared" si="19"/>
        <v>19.239999999999998</v>
      </c>
      <c r="F44" s="59">
        <f t="shared" si="19"/>
        <v>912.67</v>
      </c>
      <c r="G44" s="59">
        <f t="shared" si="19"/>
        <v>52.02</v>
      </c>
      <c r="H44" s="59">
        <f t="shared" si="19"/>
        <v>10852.66</v>
      </c>
      <c r="I44" s="59">
        <f t="shared" si="19"/>
        <v>409.50999999999993</v>
      </c>
      <c r="J44" s="59">
        <f t="shared" si="19"/>
        <v>11262.17</v>
      </c>
      <c r="K44" s="59">
        <f t="shared" si="19"/>
        <v>51320.83</v>
      </c>
      <c r="L44" s="59">
        <f t="shared" si="19"/>
        <v>13646.243510333326</v>
      </c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5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  <c r="M46" s="46"/>
    </row>
    <row r="47" spans="1:15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438.6</v>
      </c>
      <c r="G47" s="14">
        <v>25</v>
      </c>
      <c r="H47" s="15">
        <f>D47+F47+'09-05-19'!H47</f>
        <v>2582.08</v>
      </c>
      <c r="I47" s="15">
        <f>E47+G47+'09-05-19'!I47</f>
        <v>147.13999999999999</v>
      </c>
      <c r="J47" s="15">
        <f>H47+I47</f>
        <v>2729.22</v>
      </c>
      <c r="K47" s="14">
        <f>C47-J47</f>
        <v>35006.78</v>
      </c>
      <c r="L47" s="15">
        <f>C47-((J47/6)*26.0714)</f>
        <v>25876.902282000003</v>
      </c>
      <c r="N47" s="60"/>
    </row>
    <row r="48" spans="1:15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20">SUM(D47)</f>
        <v>0</v>
      </c>
      <c r="E48" s="15">
        <f t="shared" si="20"/>
        <v>0</v>
      </c>
      <c r="F48" s="15">
        <f t="shared" si="20"/>
        <v>438.6</v>
      </c>
      <c r="G48" s="15">
        <f t="shared" si="20"/>
        <v>25</v>
      </c>
      <c r="H48" s="15">
        <f t="shared" si="20"/>
        <v>2582.08</v>
      </c>
      <c r="I48" s="15">
        <f t="shared" si="20"/>
        <v>147.13999999999999</v>
      </c>
      <c r="J48" s="15">
        <f t="shared" si="20"/>
        <v>2729.22</v>
      </c>
      <c r="K48" s="15">
        <f t="shared" si="20"/>
        <v>35006.78</v>
      </c>
      <c r="L48" s="15">
        <f t="shared" si="20"/>
        <v>25876.902282000003</v>
      </c>
      <c r="M48" s="45"/>
      <c r="N48" s="5"/>
    </row>
    <row r="49" spans="1:16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"/>
      <c r="N49" s="25"/>
    </row>
    <row r="50" spans="1:16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  <c r="M50" s="4"/>
      <c r="N50" s="5"/>
      <c r="O50" s="5"/>
      <c r="P50" s="5"/>
    </row>
    <row r="51" spans="1:16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  <c r="M52" s="4"/>
      <c r="N52" s="5"/>
      <c r="O52" s="5"/>
      <c r="P52" s="5"/>
    </row>
    <row r="53" spans="1:16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03">
        <v>2624</v>
      </c>
      <c r="M54" s="4"/>
      <c r="N54" s="5"/>
      <c r="O54" s="5"/>
      <c r="P54" s="5"/>
    </row>
    <row r="55" spans="1:16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  <c r="M55" s="4"/>
      <c r="N55" s="5"/>
      <c r="O55" s="5"/>
      <c r="P55" s="5"/>
    </row>
    <row r="56" spans="1:16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  <c r="M56" s="4"/>
      <c r="N56" s="5"/>
      <c r="O56" s="5"/>
      <c r="P56" s="5"/>
    </row>
    <row r="57" spans="1:16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  <c r="M57" s="4"/>
      <c r="N57" s="5"/>
      <c r="O57" s="5"/>
      <c r="P57" s="5"/>
    </row>
    <row r="58" spans="1:16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  <c r="M58" s="4"/>
      <c r="N58" s="5"/>
      <c r="O58" s="5"/>
      <c r="P58" s="5"/>
    </row>
    <row r="59" spans="1:16" s="26" customFormat="1" ht="10.9" customHeight="1" x14ac:dyDescent="0.25">
      <c r="A59" s="205"/>
      <c r="B59" s="205"/>
      <c r="C59" s="205"/>
      <c r="D59" s="205"/>
      <c r="E59" s="205"/>
      <c r="F59" s="205"/>
      <c r="G59" s="83"/>
      <c r="M59" s="4"/>
      <c r="N59" s="5"/>
      <c r="O59" s="5"/>
      <c r="P59" s="5"/>
    </row>
  </sheetData>
  <mergeCells count="16">
    <mergeCell ref="A56:F56"/>
    <mergeCell ref="A57:F57"/>
    <mergeCell ref="A58:F58"/>
    <mergeCell ref="A59:F59"/>
    <mergeCell ref="A50:F50"/>
    <mergeCell ref="A51:F51"/>
    <mergeCell ref="A52:F52"/>
    <mergeCell ref="A53:F53"/>
    <mergeCell ref="A54:F54"/>
    <mergeCell ref="A55:F55"/>
    <mergeCell ref="A48:B48"/>
    <mergeCell ref="A13:B13"/>
    <mergeCell ref="A19:B19"/>
    <mergeCell ref="A26:B26"/>
    <mergeCell ref="A29:B29"/>
    <mergeCell ref="A40:B40"/>
  </mergeCells>
  <pageMargins left="0.25" right="0" top="0.4" bottom="0" header="0.3" footer="0"/>
  <pageSetup scale="9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160" zoomScaleNormal="160" workbookViewId="0">
      <pane ySplit="2" topLeftCell="A27" activePane="bottomLeft" state="frozen"/>
      <selection pane="bottomLeft" activeCell="D35" sqref="D35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2.1406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72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</f>
        <v>2376</v>
      </c>
      <c r="D3" s="15">
        <v>180</v>
      </c>
      <c r="E3" s="15">
        <v>2.87</v>
      </c>
      <c r="F3" s="15">
        <f>-138.99</f>
        <v>-138.99</v>
      </c>
      <c r="G3" s="15">
        <f>-7.92</f>
        <v>-7.92</v>
      </c>
      <c r="H3" s="15">
        <f>D3+F3+'09-19-19'!H3</f>
        <v>2658.6000000000004</v>
      </c>
      <c r="I3" s="15">
        <f>E3+G3+'09-19-19'!I3</f>
        <v>144.14999999999998</v>
      </c>
      <c r="J3" s="15">
        <f>H3+I3</f>
        <v>2802.7500000000005</v>
      </c>
      <c r="K3" s="107">
        <f>C3-J3</f>
        <v>-426.75000000000045</v>
      </c>
      <c r="L3" s="15">
        <f>C3-((J3/7)*26.0714)</f>
        <v>-8062.8023357142883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D4+F4+'09-19-19'!H4</f>
        <v>0</v>
      </c>
      <c r="I4" s="15">
        <f>E4+G4+'09-19-19'!I4</f>
        <v>0</v>
      </c>
      <c r="J4" s="15">
        <f>H4+I4</f>
        <v>0</v>
      </c>
      <c r="K4" s="15">
        <f>C4-J4</f>
        <v>3229</v>
      </c>
      <c r="L4" s="15">
        <f t="shared" ref="L4:L12" si="0">C4-((J4/7)*26.0714)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358.66</v>
      </c>
      <c r="E5" s="21">
        <v>5.73</v>
      </c>
      <c r="F5" s="21">
        <v>0</v>
      </c>
      <c r="G5" s="21">
        <v>0</v>
      </c>
      <c r="H5" s="15">
        <f>D5+F5+'09-19-19'!H5</f>
        <v>4913.1499999999996</v>
      </c>
      <c r="I5" s="15">
        <f>E5+G5+'09-19-19'!I5</f>
        <v>96.67</v>
      </c>
      <c r="J5" s="15">
        <f t="shared" ref="J5:J12" si="1">H5+I5</f>
        <v>5009.82</v>
      </c>
      <c r="K5" s="14">
        <f t="shared" ref="K5:K12" si="2">C5-J5</f>
        <v>19639.18</v>
      </c>
      <c r="L5" s="15">
        <f t="shared" si="0"/>
        <v>5989.9969788571434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684.79</v>
      </c>
      <c r="E6" s="14">
        <v>10.95</v>
      </c>
      <c r="F6" s="14">
        <v>0</v>
      </c>
      <c r="G6" s="14">
        <v>0</v>
      </c>
      <c r="H6" s="15">
        <f>D6+F6+'09-19-19'!H6</f>
        <v>2693.49</v>
      </c>
      <c r="I6" s="15">
        <f>E6+G6+'09-19-19'!I6</f>
        <v>46.69</v>
      </c>
      <c r="J6" s="15">
        <f t="shared" si="1"/>
        <v>2740.18</v>
      </c>
      <c r="K6" s="14">
        <f t="shared" si="2"/>
        <v>15233.82</v>
      </c>
      <c r="L6" s="15">
        <f t="shared" si="0"/>
        <v>7768.2387354285729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658.66</v>
      </c>
      <c r="E7" s="14">
        <v>10.52</v>
      </c>
      <c r="F7" s="14">
        <v>0</v>
      </c>
      <c r="G7" s="14">
        <v>0</v>
      </c>
      <c r="H7" s="15">
        <f>D7+F7+'09-19-19'!H7</f>
        <v>4076</v>
      </c>
      <c r="I7" s="15">
        <f>E7+G7+'09-19-19'!I7</f>
        <v>65.13</v>
      </c>
      <c r="J7" s="15">
        <f t="shared" si="1"/>
        <v>4141.13</v>
      </c>
      <c r="K7" s="14">
        <f t="shared" si="2"/>
        <v>13832.869999999999</v>
      </c>
      <c r="L7" s="15">
        <f t="shared" si="0"/>
        <v>2550.4204739999986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471.35</v>
      </c>
      <c r="E8" s="14">
        <v>7.53</v>
      </c>
      <c r="F8" s="14">
        <v>0</v>
      </c>
      <c r="G8" s="14">
        <v>0</v>
      </c>
      <c r="H8" s="15">
        <f>D8+F8+'09-19-19'!H8</f>
        <v>6239.5800000000017</v>
      </c>
      <c r="I8" s="15">
        <f>E8+G8+'09-19-19'!I8</f>
        <v>99.78</v>
      </c>
      <c r="J8" s="15">
        <f t="shared" si="1"/>
        <v>6339.3600000000015</v>
      </c>
      <c r="K8" s="14">
        <f t="shared" si="2"/>
        <v>17990.64</v>
      </c>
      <c r="L8" s="15">
        <f t="shared" si="0"/>
        <v>719.14424228570715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835.73</v>
      </c>
      <c r="E9" s="14">
        <v>13.36</v>
      </c>
      <c r="F9" s="14">
        <v>0</v>
      </c>
      <c r="G9" s="14">
        <v>0</v>
      </c>
      <c r="H9" s="15">
        <f>D9+F9+'09-19-19'!H9</f>
        <v>9694.64</v>
      </c>
      <c r="I9" s="15">
        <f>E9+G9+'09-19-19'!I9</f>
        <v>283.8</v>
      </c>
      <c r="J9" s="15">
        <f t="shared" si="1"/>
        <v>9978.4399999999987</v>
      </c>
      <c r="K9" s="14">
        <f t="shared" si="2"/>
        <v>24021.56</v>
      </c>
      <c r="L9" s="15">
        <f t="shared" si="0"/>
        <v>-3164.5572308571354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f>60.35+1911.54</f>
        <v>1971.8899999999999</v>
      </c>
      <c r="E10" s="14">
        <f>0.96+30.58</f>
        <v>31.54</v>
      </c>
      <c r="F10" s="14">
        <v>0</v>
      </c>
      <c r="G10" s="14">
        <v>0</v>
      </c>
      <c r="H10" s="15">
        <f>D10+F10+'09-19-19'!H10</f>
        <v>13789.39</v>
      </c>
      <c r="I10" s="15">
        <f>E10+G10+'09-19-19'!I10</f>
        <v>239.24999999999997</v>
      </c>
      <c r="J10" s="15">
        <f t="shared" si="1"/>
        <v>14028.64</v>
      </c>
      <c r="K10" s="14">
        <f t="shared" si="2"/>
        <v>28712.36</v>
      </c>
      <c r="L10" s="15">
        <f t="shared" si="0"/>
        <v>-9508.4692708571383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f>198.24+557.93</f>
        <v>756.17</v>
      </c>
      <c r="E11" s="14">
        <f>3.17+8.92</f>
        <v>12.09</v>
      </c>
      <c r="F11" s="14">
        <v>0</v>
      </c>
      <c r="G11" s="14">
        <v>0</v>
      </c>
      <c r="H11" s="15">
        <f>D11+F11+'09-19-19'!H11</f>
        <v>4126.6499999999996</v>
      </c>
      <c r="I11" s="15">
        <f>E11+G11+'09-19-19'!I11</f>
        <v>141.71</v>
      </c>
      <c r="J11" s="15">
        <f t="shared" si="1"/>
        <v>4268.3599999999997</v>
      </c>
      <c r="K11" s="14">
        <f t="shared" si="2"/>
        <v>18904.64</v>
      </c>
      <c r="L11" s="15">
        <f t="shared" si="0"/>
        <v>7275.5541565714302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184.74</v>
      </c>
      <c r="E12" s="14">
        <v>2.94</v>
      </c>
      <c r="F12" s="14">
        <v>0</v>
      </c>
      <c r="G12" s="14">
        <v>0</v>
      </c>
      <c r="H12" s="15">
        <f>D12+F12+'09-19-19'!H12</f>
        <v>348.02</v>
      </c>
      <c r="I12" s="15">
        <f>E12+G12+'09-19-19'!I12</f>
        <v>5.5299999999999994</v>
      </c>
      <c r="J12" s="15">
        <f t="shared" si="1"/>
        <v>353.54999999999995</v>
      </c>
      <c r="K12" s="14">
        <f t="shared" si="2"/>
        <v>5646.45</v>
      </c>
      <c r="L12" s="15">
        <f t="shared" si="0"/>
        <v>4683.2080757142858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5921.99</v>
      </c>
      <c r="E13" s="15">
        <f t="shared" si="3"/>
        <v>94.66</v>
      </c>
      <c r="F13" s="15">
        <f t="shared" si="3"/>
        <v>0</v>
      </c>
      <c r="G13" s="15">
        <f t="shared" si="3"/>
        <v>0</v>
      </c>
      <c r="H13" s="15">
        <f t="shared" si="3"/>
        <v>45880.92</v>
      </c>
      <c r="I13" s="15">
        <f t="shared" si="3"/>
        <v>978.56</v>
      </c>
      <c r="J13" s="14">
        <f t="shared" si="3"/>
        <v>46859.48</v>
      </c>
      <c r="K13" s="14">
        <f t="shared" si="3"/>
        <v>147210.52000000002</v>
      </c>
      <c r="L13" s="15">
        <f t="shared" si="3"/>
        <v>19542.536161142863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D16+F16+'09-19-19'!H16</f>
        <v>0</v>
      </c>
      <c r="I16" s="15">
        <f>E16+G16+'09-19-19'!I16</f>
        <v>0</v>
      </c>
      <c r="J16" s="15">
        <f>H16+I16</f>
        <v>0</v>
      </c>
      <c r="K16" s="14">
        <f>C16-J16</f>
        <v>26923</v>
      </c>
      <c r="L16" s="15">
        <f t="shared" ref="L16:L18" si="4">C16-((J16/7)*26.0714)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236.9</v>
      </c>
      <c r="E17" s="15">
        <v>3.78</v>
      </c>
      <c r="F17" s="14">
        <v>0</v>
      </c>
      <c r="G17" s="14">
        <v>0</v>
      </c>
      <c r="H17" s="15">
        <f>D17+F17+'09-19-19'!H17</f>
        <v>2039.1800000000003</v>
      </c>
      <c r="I17" s="15">
        <f>E17+G17+'09-19-19'!I17</f>
        <v>49.750000000000007</v>
      </c>
      <c r="J17" s="15">
        <f>H17+I17</f>
        <v>2088.9300000000003</v>
      </c>
      <c r="K17" s="14">
        <f>C17-J17</f>
        <v>13973.07</v>
      </c>
      <c r="L17" s="15">
        <f t="shared" si="4"/>
        <v>8281.8100568571426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101.52</v>
      </c>
      <c r="E18" s="14">
        <v>1.61</v>
      </c>
      <c r="F18" s="14">
        <v>0</v>
      </c>
      <c r="G18" s="14">
        <v>0</v>
      </c>
      <c r="H18" s="15">
        <f>D18+F18+'09-19-19'!H18</f>
        <v>585.8599999999999</v>
      </c>
      <c r="I18" s="15">
        <f>E18+G18+'09-19-19'!I18</f>
        <v>9.3199999999999985</v>
      </c>
      <c r="J18" s="15">
        <f>H18+I18</f>
        <v>595.17999999999995</v>
      </c>
      <c r="K18" s="14">
        <f>C18-J18</f>
        <v>1430.8200000000002</v>
      </c>
      <c r="L18" s="15">
        <f t="shared" si="4"/>
        <v>-190.73940742857121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338.42</v>
      </c>
      <c r="E19" s="15">
        <f t="shared" si="5"/>
        <v>5.39</v>
      </c>
      <c r="F19" s="15">
        <f t="shared" si="5"/>
        <v>0</v>
      </c>
      <c r="G19" s="15">
        <f t="shared" si="5"/>
        <v>0</v>
      </c>
      <c r="H19" s="15">
        <f t="shared" si="5"/>
        <v>2625.04</v>
      </c>
      <c r="I19" s="15">
        <f t="shared" si="5"/>
        <v>59.070000000000007</v>
      </c>
      <c r="J19" s="14">
        <f t="shared" si="5"/>
        <v>2684.11</v>
      </c>
      <c r="K19" s="15">
        <f t="shared" si="5"/>
        <v>42326.89</v>
      </c>
      <c r="L19" s="15">
        <f t="shared" si="5"/>
        <v>35014.07064942857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300</v>
      </c>
      <c r="E23" s="14">
        <v>4.8</v>
      </c>
      <c r="F23" s="14">
        <v>0</v>
      </c>
      <c r="G23" s="14">
        <v>0</v>
      </c>
      <c r="H23" s="15">
        <f>D23+F23+'09-19-19'!H23</f>
        <v>2985</v>
      </c>
      <c r="I23" s="15">
        <f>E23+G23+'09-19-19'!I23</f>
        <v>47.76</v>
      </c>
      <c r="J23" s="15">
        <f t="shared" si="7"/>
        <v>3032.76</v>
      </c>
      <c r="K23" s="14">
        <f t="shared" si="8"/>
        <v>21967.239999999998</v>
      </c>
      <c r="L23" s="15">
        <f t="shared" ref="L23:L24" si="10">C23-((J23/7)*26.0714)</f>
        <v>13704.528705142855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455.4</v>
      </c>
      <c r="E24" s="48">
        <v>7.28</v>
      </c>
      <c r="F24" s="48">
        <v>0</v>
      </c>
      <c r="G24" s="48">
        <v>0</v>
      </c>
      <c r="H24" s="15">
        <f>D24+F24+'09-19-19'!H24</f>
        <v>2113.8399999999997</v>
      </c>
      <c r="I24" s="15">
        <f>E24+G24+'09-19-19'!I24</f>
        <v>33.78</v>
      </c>
      <c r="J24" s="15">
        <f t="shared" si="7"/>
        <v>2147.62</v>
      </c>
      <c r="K24" s="14">
        <f t="shared" si="8"/>
        <v>12352.380000000001</v>
      </c>
      <c r="L24" s="15">
        <f t="shared" si="10"/>
        <v>6501.2199902857146</v>
      </c>
      <c r="M24" s="79"/>
      <c r="N24" s="47"/>
    </row>
    <row r="25" spans="1:18" s="43" customFormat="1" ht="10.9" customHeight="1" x14ac:dyDescent="0.25">
      <c r="A25" s="111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168</v>
      </c>
      <c r="G25" s="48">
        <v>9.57</v>
      </c>
      <c r="H25" s="15">
        <f>D25+F25+'09-19-19'!H25</f>
        <v>456</v>
      </c>
      <c r="I25" s="15">
        <f>E25+G25+'09-19-19'!I25</f>
        <v>25.98</v>
      </c>
      <c r="J25" s="15">
        <f>H25+I25</f>
        <v>481.98</v>
      </c>
      <c r="K25" s="14">
        <f>C25-J25</f>
        <v>4789.5499999999993</v>
      </c>
      <c r="L25" s="15">
        <f>C25-((J25/7)*26.0714)</f>
        <v>3476.4023754285708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L26" si="11">SUM(D22:D25)</f>
        <v>755.4</v>
      </c>
      <c r="E26" s="49">
        <f t="shared" si="11"/>
        <v>12.08</v>
      </c>
      <c r="F26" s="49">
        <f t="shared" si="11"/>
        <v>168</v>
      </c>
      <c r="G26" s="49">
        <f t="shared" si="11"/>
        <v>9.57</v>
      </c>
      <c r="H26" s="49">
        <f t="shared" si="11"/>
        <v>5554.84</v>
      </c>
      <c r="I26" s="49">
        <f t="shared" si="11"/>
        <v>107.52</v>
      </c>
      <c r="J26" s="49">
        <f t="shared" si="11"/>
        <v>5662.3600000000006</v>
      </c>
      <c r="K26" s="49">
        <f t="shared" si="11"/>
        <v>39109.17</v>
      </c>
      <c r="L26" s="49">
        <f t="shared" si="11"/>
        <v>23682.15107085714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2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8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K29" si="12">C13+C19+C26</f>
        <v>278581</v>
      </c>
      <c r="D29" s="50">
        <f t="shared" si="12"/>
        <v>7015.8099999999995</v>
      </c>
      <c r="E29" s="50">
        <f t="shared" si="12"/>
        <v>112.13</v>
      </c>
      <c r="F29" s="50">
        <f t="shared" si="12"/>
        <v>168</v>
      </c>
      <c r="G29" s="50">
        <f t="shared" si="12"/>
        <v>9.57</v>
      </c>
      <c r="H29" s="50">
        <f t="shared" si="12"/>
        <v>54060.800000000003</v>
      </c>
      <c r="I29" s="50">
        <f t="shared" si="12"/>
        <v>1145.1499999999999</v>
      </c>
      <c r="J29" s="50">
        <f t="shared" si="12"/>
        <v>55205.950000000004</v>
      </c>
      <c r="K29" s="50">
        <f t="shared" si="12"/>
        <v>228646.58000000002</v>
      </c>
      <c r="L29" s="50">
        <f>L13+L19+L26</f>
        <v>78238.757881428581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11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D32+F32+'09-19-19'!H32</f>
        <v>0</v>
      </c>
      <c r="I32" s="15">
        <f>E32+G32+'09-19-19'!I32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C32-((J32/7)*26.0714)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0</v>
      </c>
      <c r="E33" s="15">
        <v>0</v>
      </c>
      <c r="F33" s="15">
        <v>0</v>
      </c>
      <c r="G33" s="15">
        <v>0</v>
      </c>
      <c r="H33" s="15">
        <f>D33+F33+'09-19-19'!H33</f>
        <v>0</v>
      </c>
      <c r="I33" s="15">
        <f>E33+G33+'09-19-19'!I33</f>
        <v>0</v>
      </c>
      <c r="J33" s="14">
        <f t="shared" si="13"/>
        <v>0</v>
      </c>
      <c r="K33" s="15">
        <f t="shared" si="14"/>
        <v>12000</v>
      </c>
      <c r="L33" s="15">
        <f t="shared" si="15"/>
        <v>12000</v>
      </c>
      <c r="M33" s="69"/>
      <c r="N33" s="25"/>
    </row>
    <row r="34" spans="1:15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f>138.99</f>
        <v>138.99</v>
      </c>
      <c r="G34" s="15">
        <f>7.92</f>
        <v>7.92</v>
      </c>
      <c r="H34" s="15">
        <f>D34+F34+'09-19-19'!H34</f>
        <v>277.20000000000005</v>
      </c>
      <c r="I34" s="15">
        <f>E34+G34+'09-19-19'!I34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-325.89706942857163</v>
      </c>
      <c r="M34" s="69"/>
      <c r="N34" s="25"/>
    </row>
    <row r="35" spans="1:15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v>328.04</v>
      </c>
      <c r="E35" s="15">
        <v>5.24</v>
      </c>
      <c r="F35" s="15">
        <v>0</v>
      </c>
      <c r="G35" s="15">
        <v>0</v>
      </c>
      <c r="H35" s="15">
        <f>D35+F35+'09-19-19'!H35</f>
        <v>774.07999999999993</v>
      </c>
      <c r="I35" s="15">
        <f>E35+G35+'09-19-19'!I35</f>
        <v>12.36</v>
      </c>
      <c r="J35" s="15">
        <f t="shared" si="13"/>
        <v>786.43999999999994</v>
      </c>
      <c r="K35" s="15">
        <f t="shared" si="14"/>
        <v>5567.4100000000008</v>
      </c>
      <c r="L35" s="15">
        <f t="shared" si="15"/>
        <v>3424.7654548571436</v>
      </c>
      <c r="M35" s="69"/>
      <c r="N35" s="25"/>
    </row>
    <row r="36" spans="1:15" s="24" customFormat="1" ht="11.45" customHeight="1" x14ac:dyDescent="0.25">
      <c r="A36" s="94" t="s">
        <v>36</v>
      </c>
      <c r="B36" s="93" t="s">
        <v>38</v>
      </c>
      <c r="C36" s="95">
        <v>2043</v>
      </c>
      <c r="D36" s="14">
        <v>344.03</v>
      </c>
      <c r="E36" s="14">
        <v>5.49</v>
      </c>
      <c r="F36" s="14">
        <v>0</v>
      </c>
      <c r="G36" s="14">
        <v>0</v>
      </c>
      <c r="H36" s="15">
        <f>D36+F36+'09-19-19'!H36</f>
        <v>497.43999999999994</v>
      </c>
      <c r="I36" s="15">
        <f>E36+G36+'09-19-19'!I36</f>
        <v>7.94</v>
      </c>
      <c r="J36" s="15">
        <f t="shared" si="13"/>
        <v>505.37999999999994</v>
      </c>
      <c r="K36" s="14">
        <f t="shared" si="14"/>
        <v>1537.6200000000001</v>
      </c>
      <c r="L36" s="15">
        <f t="shared" si="15"/>
        <v>160.7194097142858</v>
      </c>
      <c r="M36" s="71"/>
      <c r="N36" s="25"/>
    </row>
    <row r="37" spans="1:15" s="25" customFormat="1" ht="11.45" customHeight="1" x14ac:dyDescent="0.25">
      <c r="A37" s="12" t="s">
        <v>42</v>
      </c>
      <c r="B37" s="13" t="s">
        <v>43</v>
      </c>
      <c r="C37" s="95">
        <v>900</v>
      </c>
      <c r="D37" s="14">
        <f>568.12+105</f>
        <v>673.12</v>
      </c>
      <c r="E37" s="14">
        <f>9.08+1.68</f>
        <v>10.76</v>
      </c>
      <c r="F37" s="14">
        <v>0</v>
      </c>
      <c r="G37" s="14">
        <v>0</v>
      </c>
      <c r="H37" s="15">
        <f>D37+F37+'09-19-19'!H37</f>
        <v>1015.3199999999999</v>
      </c>
      <c r="I37" s="15">
        <f>E37+G37+'09-19-19'!I37</f>
        <v>16.21</v>
      </c>
      <c r="J37" s="15">
        <f t="shared" si="13"/>
        <v>1031.53</v>
      </c>
      <c r="K37" s="14">
        <f t="shared" si="14"/>
        <v>-131.52999999999997</v>
      </c>
      <c r="L37" s="15">
        <f t="shared" si="15"/>
        <v>-2941.9187488571429</v>
      </c>
      <c r="M37" s="45"/>
      <c r="N37" s="72"/>
      <c r="O37" s="44"/>
    </row>
    <row r="38" spans="1:15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180</v>
      </c>
      <c r="E38" s="15">
        <v>2.88</v>
      </c>
      <c r="F38" s="15">
        <v>0</v>
      </c>
      <c r="G38" s="15">
        <v>0</v>
      </c>
      <c r="H38" s="15">
        <f>D38+F38+'09-19-19'!H38</f>
        <v>2651.25</v>
      </c>
      <c r="I38" s="15">
        <f>E38+G38+'09-19-19'!I38</f>
        <v>42.410000000000004</v>
      </c>
      <c r="J38" s="15">
        <f t="shared" si="13"/>
        <v>2693.66</v>
      </c>
      <c r="K38" s="15">
        <f t="shared" si="14"/>
        <v>9673.24</v>
      </c>
      <c r="L38" s="15">
        <f t="shared" si="15"/>
        <v>2334.4018108571436</v>
      </c>
      <c r="M38" s="69"/>
      <c r="N38" s="55"/>
    </row>
    <row r="39" spans="1:15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D39+F39+'09-19-19'!H39</f>
        <v>1184.4000000000001</v>
      </c>
      <c r="I39" s="15">
        <f>E39+G39+'09-19-19'!I39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10557.353579142857</v>
      </c>
      <c r="M39" s="109"/>
      <c r="N39" s="55"/>
    </row>
    <row r="40" spans="1:15" ht="21.6" customHeight="1" x14ac:dyDescent="0.25">
      <c r="A40" s="206" t="s">
        <v>27</v>
      </c>
      <c r="B40" s="207"/>
      <c r="C40" s="15">
        <f>SUM(C32:C39)</f>
        <v>50249.4</v>
      </c>
      <c r="D40" s="15">
        <f>SUM(D32:D39)</f>
        <v>1525.19</v>
      </c>
      <c r="E40" s="15">
        <f>SUM(E32:E39)</f>
        <v>24.37</v>
      </c>
      <c r="F40" s="15">
        <f>SUM(F32:F39)</f>
        <v>138.99</v>
      </c>
      <c r="G40" s="15">
        <f>SUM(G32:G39)</f>
        <v>7.92</v>
      </c>
      <c r="H40" s="15">
        <f>SUM(H32, H33:H39)</f>
        <v>6399.6900000000005</v>
      </c>
      <c r="I40" s="15">
        <f>SUM(I32, I33:I39)</f>
        <v>162.20000000000002</v>
      </c>
      <c r="J40" s="15">
        <f>SUM(J32, J33:J39)</f>
        <v>6561.89</v>
      </c>
      <c r="K40" s="15">
        <f>SUM(K32, K33:K39)</f>
        <v>43687.51</v>
      </c>
      <c r="L40" s="15">
        <f>SUM(L32, L33:L39)</f>
        <v>25809.734436285715</v>
      </c>
      <c r="M40" s="4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25"/>
    </row>
    <row r="42" spans="1:15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  <c r="M42" s="46"/>
      <c r="N42" s="47"/>
    </row>
    <row r="43" spans="1:15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1082.8399999999999</v>
      </c>
      <c r="E43" s="14">
        <v>17.32</v>
      </c>
      <c r="F43" s="14">
        <v>821.46</v>
      </c>
      <c r="G43" s="14">
        <v>46.82</v>
      </c>
      <c r="H43" s="15">
        <f>D43+F43+'09-19-19'!H43</f>
        <v>12756.96</v>
      </c>
      <c r="I43" s="15">
        <f>E43+G43+'09-19-19'!I43</f>
        <v>473.64999999999992</v>
      </c>
      <c r="J43" s="15">
        <f>H43+I43</f>
        <v>13230.609999999999</v>
      </c>
      <c r="K43" s="14">
        <f>C43-J43</f>
        <v>49352.39</v>
      </c>
      <c r="L43" s="15">
        <f>C43-((J43/7)*26.0714)</f>
        <v>13305.782063714287</v>
      </c>
      <c r="N43" s="56"/>
    </row>
    <row r="44" spans="1:15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1082.8399999999999</v>
      </c>
      <c r="E44" s="59">
        <f t="shared" si="16"/>
        <v>17.32</v>
      </c>
      <c r="F44" s="59">
        <f t="shared" si="16"/>
        <v>821.46</v>
      </c>
      <c r="G44" s="59">
        <f t="shared" si="16"/>
        <v>46.82</v>
      </c>
      <c r="H44" s="59">
        <f t="shared" si="16"/>
        <v>12756.96</v>
      </c>
      <c r="I44" s="59">
        <f t="shared" si="16"/>
        <v>473.64999999999992</v>
      </c>
      <c r="J44" s="59">
        <f t="shared" si="16"/>
        <v>13230.609999999999</v>
      </c>
      <c r="K44" s="59">
        <f t="shared" si="16"/>
        <v>49352.39</v>
      </c>
      <c r="L44" s="59">
        <f t="shared" si="16"/>
        <v>13305.782063714287</v>
      </c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5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  <c r="M46" s="46"/>
    </row>
    <row r="47" spans="1:15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379.5</v>
      </c>
      <c r="G47" s="14">
        <v>21.62</v>
      </c>
      <c r="H47" s="15">
        <f>D47+F47+'09-19-19'!H47</f>
        <v>2961.58</v>
      </c>
      <c r="I47" s="15">
        <f>E47+G47+'09-19-19'!I47</f>
        <v>168.76</v>
      </c>
      <c r="J47" s="15">
        <f>H47+I47</f>
        <v>3130.34</v>
      </c>
      <c r="K47" s="14">
        <f>C47-J47</f>
        <v>34605.660000000003</v>
      </c>
      <c r="L47" s="15">
        <f>C47-((J47/7)*26.0714)</f>
        <v>26077.093389142858</v>
      </c>
      <c r="N47" s="60"/>
    </row>
    <row r="48" spans="1:15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379.5</v>
      </c>
      <c r="G48" s="15">
        <f t="shared" si="17"/>
        <v>21.62</v>
      </c>
      <c r="H48" s="15">
        <f t="shared" si="17"/>
        <v>2961.58</v>
      </c>
      <c r="I48" s="15">
        <f t="shared" si="17"/>
        <v>168.76</v>
      </c>
      <c r="J48" s="15">
        <f t="shared" si="17"/>
        <v>3130.34</v>
      </c>
      <c r="K48" s="15">
        <f t="shared" si="17"/>
        <v>34605.660000000003</v>
      </c>
      <c r="L48" s="15">
        <f t="shared" si="17"/>
        <v>26077.093389142858</v>
      </c>
      <c r="M48" s="45"/>
      <c r="N48" s="5"/>
    </row>
    <row r="49" spans="1:16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"/>
      <c r="N49" s="25"/>
    </row>
    <row r="50" spans="1:16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  <c r="M50" s="4"/>
      <c r="N50" s="5"/>
      <c r="O50" s="5"/>
      <c r="P50" s="5"/>
    </row>
    <row r="51" spans="1:16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  <c r="M52" s="4"/>
      <c r="N52" s="5"/>
      <c r="O52" s="5"/>
      <c r="P52" s="5"/>
    </row>
    <row r="53" spans="1:16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03">
        <v>2624</v>
      </c>
      <c r="M54" s="4"/>
      <c r="N54" s="5"/>
      <c r="O54" s="5"/>
      <c r="P54" s="5"/>
    </row>
    <row r="55" spans="1:16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  <c r="M55" s="4"/>
      <c r="N55" s="5"/>
      <c r="O55" s="5"/>
      <c r="P55" s="5"/>
    </row>
    <row r="56" spans="1:16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  <c r="M56" s="4"/>
      <c r="N56" s="5"/>
      <c r="O56" s="5"/>
      <c r="P56" s="5"/>
    </row>
    <row r="57" spans="1:16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  <c r="M57" s="4"/>
      <c r="N57" s="5"/>
      <c r="O57" s="5"/>
      <c r="P57" s="5"/>
    </row>
    <row r="58" spans="1:16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  <c r="M58" s="4"/>
      <c r="N58" s="5"/>
      <c r="O58" s="5"/>
      <c r="P58" s="5"/>
    </row>
    <row r="59" spans="1:16" s="26" customFormat="1" ht="10.9" customHeight="1" x14ac:dyDescent="0.25">
      <c r="A59" s="205"/>
      <c r="B59" s="205"/>
      <c r="C59" s="205"/>
      <c r="D59" s="205"/>
      <c r="E59" s="205"/>
      <c r="F59" s="205"/>
      <c r="G59" s="83"/>
      <c r="M59" s="4"/>
      <c r="N59" s="5"/>
      <c r="O59" s="5"/>
      <c r="P59" s="5"/>
    </row>
  </sheetData>
  <mergeCells count="16">
    <mergeCell ref="A48:B48"/>
    <mergeCell ref="A13:B13"/>
    <mergeCell ref="A19:B19"/>
    <mergeCell ref="A26:B26"/>
    <mergeCell ref="A29:B29"/>
    <mergeCell ref="A40:B40"/>
    <mergeCell ref="A56:F56"/>
    <mergeCell ref="A57:F57"/>
    <mergeCell ref="A58:F58"/>
    <mergeCell ref="A59:F59"/>
    <mergeCell ref="A50:F50"/>
    <mergeCell ref="A51:F51"/>
    <mergeCell ref="A52:F52"/>
    <mergeCell ref="A53:F53"/>
    <mergeCell ref="A54:F54"/>
    <mergeCell ref="A55:F55"/>
  </mergeCells>
  <pageMargins left="0.25" right="0" top="0.4" bottom="0" header="0.3" footer="0"/>
  <pageSetup scale="9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160" zoomScaleNormal="160" workbookViewId="0">
      <pane ySplit="2" topLeftCell="A27" activePane="bottomLeft" state="frozen"/>
      <selection pane="bottomLeft" activeCell="D35" sqref="D35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71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2376+2624-2624+800</f>
        <v>3176</v>
      </c>
      <c r="D3" s="15">
        <v>300</v>
      </c>
      <c r="E3" s="15">
        <v>4.8</v>
      </c>
      <c r="F3" s="15">
        <v>0</v>
      </c>
      <c r="G3" s="15">
        <v>0</v>
      </c>
      <c r="H3" s="15">
        <f>D3+F3+'10-03-19'!H3</f>
        <v>2958.6000000000004</v>
      </c>
      <c r="I3" s="15">
        <f>E3+G3+'10-03-19'!I3</f>
        <v>148.94999999999999</v>
      </c>
      <c r="J3" s="15">
        <f>H3+I3</f>
        <v>3107.55</v>
      </c>
      <c r="K3" s="15">
        <f>C3-J3</f>
        <v>68.449999999999818</v>
      </c>
      <c r="L3" s="15">
        <f>C3-((J3/8)*26.0714)</f>
        <v>-6951.2723837500016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D4+F4+'10-03-19'!H4</f>
        <v>0</v>
      </c>
      <c r="I4" s="15">
        <f>E4+G4+'10-03-19'!I4</f>
        <v>0</v>
      </c>
      <c r="J4" s="15">
        <f>H4+I4</f>
        <v>0</v>
      </c>
      <c r="K4" s="15">
        <f>C4-J4</f>
        <v>3229</v>
      </c>
      <c r="L4" s="15">
        <f t="shared" ref="L4:L12" si="0">C4-((J4/8)*26.0714)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407.16</v>
      </c>
      <c r="E5" s="21">
        <v>6.51</v>
      </c>
      <c r="F5" s="21">
        <v>0</v>
      </c>
      <c r="G5" s="21">
        <v>0</v>
      </c>
      <c r="H5" s="15">
        <f>D5+F5+'10-03-19'!H5</f>
        <v>5320.3099999999995</v>
      </c>
      <c r="I5" s="15">
        <f>E5+G5+'10-03-19'!I5</f>
        <v>103.18</v>
      </c>
      <c r="J5" s="15">
        <f t="shared" ref="J5:J12" si="1">H5+I5</f>
        <v>5423.49</v>
      </c>
      <c r="K5" s="14">
        <f t="shared" ref="K5:K12" si="2">C5-J5</f>
        <v>19225.510000000002</v>
      </c>
      <c r="L5" s="15">
        <f t="shared" si="0"/>
        <v>6974.2528517499995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736.32</v>
      </c>
      <c r="E6" s="14">
        <v>11.78</v>
      </c>
      <c r="F6" s="14">
        <v>0</v>
      </c>
      <c r="G6" s="14">
        <v>0</v>
      </c>
      <c r="H6" s="15">
        <f>D6+F6+'10-03-19'!H6</f>
        <v>3429.81</v>
      </c>
      <c r="I6" s="15">
        <f>E6+G6+'10-03-19'!I6</f>
        <v>58.47</v>
      </c>
      <c r="J6" s="15">
        <f t="shared" si="1"/>
        <v>3488.2799999999997</v>
      </c>
      <c r="K6" s="14">
        <f t="shared" si="2"/>
        <v>14485.720000000001</v>
      </c>
      <c r="L6" s="15">
        <f t="shared" si="0"/>
        <v>6605.957101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654.05999999999995</v>
      </c>
      <c r="E7" s="14">
        <v>10.45</v>
      </c>
      <c r="F7" s="14">
        <v>0</v>
      </c>
      <c r="G7" s="14">
        <v>0</v>
      </c>
      <c r="H7" s="15">
        <f>D7+F7+'10-03-19'!H7</f>
        <v>4730.0599999999995</v>
      </c>
      <c r="I7" s="15">
        <f>E7+G7+'10-03-19'!I7</f>
        <v>75.58</v>
      </c>
      <c r="J7" s="15">
        <f t="shared" si="1"/>
        <v>4805.6399999999994</v>
      </c>
      <c r="K7" s="14">
        <f t="shared" si="2"/>
        <v>13168.36</v>
      </c>
      <c r="L7" s="15">
        <f t="shared" si="0"/>
        <v>2312.7796630000012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v>558.32000000000005</v>
      </c>
      <c r="E8" s="14">
        <v>8.93</v>
      </c>
      <c r="F8" s="14">
        <v>0</v>
      </c>
      <c r="G8" s="14">
        <v>0</v>
      </c>
      <c r="H8" s="15">
        <f>D8+F8+'10-03-19'!H8</f>
        <v>6797.9000000000015</v>
      </c>
      <c r="I8" s="15">
        <f>E8+G8+'10-03-19'!I8</f>
        <v>108.71000000000001</v>
      </c>
      <c r="J8" s="15">
        <f t="shared" si="1"/>
        <v>6906.6100000000015</v>
      </c>
      <c r="K8" s="14">
        <f t="shared" si="2"/>
        <v>17423.39</v>
      </c>
      <c r="L8" s="15">
        <f t="shared" si="0"/>
        <v>1821.8760057499931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914.69</v>
      </c>
      <c r="E9" s="14">
        <v>14.63</v>
      </c>
      <c r="F9" s="14">
        <v>0</v>
      </c>
      <c r="G9" s="14">
        <v>0</v>
      </c>
      <c r="H9" s="15">
        <f>D9+F9+'10-03-19'!H9</f>
        <v>10609.33</v>
      </c>
      <c r="I9" s="15">
        <f>E9+G9+'10-03-19'!I9</f>
        <v>298.43</v>
      </c>
      <c r="J9" s="15">
        <f t="shared" si="1"/>
        <v>10907.76</v>
      </c>
      <c r="K9" s="14">
        <f t="shared" si="2"/>
        <v>23092.239999999998</v>
      </c>
      <c r="L9" s="15">
        <f t="shared" si="0"/>
        <v>-1547.5717579999982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1645.3</v>
      </c>
      <c r="E10" s="14">
        <v>26.32</v>
      </c>
      <c r="F10" s="14">
        <v>0</v>
      </c>
      <c r="G10" s="14">
        <v>0</v>
      </c>
      <c r="H10" s="15">
        <f>D10+F10+'10-03-19'!H10</f>
        <v>15434.689999999999</v>
      </c>
      <c r="I10" s="15">
        <f>E10+G10+'10-03-19'!I10</f>
        <v>265.57</v>
      </c>
      <c r="J10" s="15">
        <f t="shared" si="1"/>
        <v>15700.259999999998</v>
      </c>
      <c r="K10" s="14">
        <f t="shared" si="2"/>
        <v>27040.74</v>
      </c>
      <c r="L10" s="15">
        <f t="shared" si="0"/>
        <v>-8424.969820499995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662.52</v>
      </c>
      <c r="E11" s="14">
        <v>10.6</v>
      </c>
      <c r="F11" s="14">
        <v>0</v>
      </c>
      <c r="G11" s="14">
        <v>0</v>
      </c>
      <c r="H11" s="15">
        <f>D11+F11+'10-03-19'!H11</f>
        <v>4789.17</v>
      </c>
      <c r="I11" s="15">
        <f>E11+G11+'10-03-19'!I11</f>
        <v>152.31</v>
      </c>
      <c r="J11" s="15">
        <f t="shared" si="1"/>
        <v>4941.4800000000005</v>
      </c>
      <c r="K11" s="14">
        <f t="shared" si="2"/>
        <v>18231.52</v>
      </c>
      <c r="L11" s="15">
        <f t="shared" si="0"/>
        <v>7069.087290999998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101.7</v>
      </c>
      <c r="E12" s="14">
        <v>1.62</v>
      </c>
      <c r="F12" s="14">
        <v>0</v>
      </c>
      <c r="G12" s="14">
        <v>0</v>
      </c>
      <c r="H12" s="15">
        <f>D12+F12+'10-03-19'!H12</f>
        <v>449.71999999999997</v>
      </c>
      <c r="I12" s="15">
        <f>E12+G12+'10-03-19'!I12</f>
        <v>7.1499999999999995</v>
      </c>
      <c r="J12" s="15">
        <f t="shared" si="1"/>
        <v>456.86999999999995</v>
      </c>
      <c r="K12" s="14">
        <f t="shared" si="2"/>
        <v>5543.13</v>
      </c>
      <c r="L12" s="15">
        <f t="shared" si="0"/>
        <v>4511.0949352500002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5680.0700000000006</v>
      </c>
      <c r="E13" s="15">
        <f t="shared" si="3"/>
        <v>90.84</v>
      </c>
      <c r="F13" s="15">
        <f t="shared" si="3"/>
        <v>0</v>
      </c>
      <c r="G13" s="15">
        <f t="shared" si="3"/>
        <v>0</v>
      </c>
      <c r="H13" s="15">
        <f t="shared" si="3"/>
        <v>51560.990000000005</v>
      </c>
      <c r="I13" s="15">
        <f t="shared" si="3"/>
        <v>1069.4000000000001</v>
      </c>
      <c r="J13" s="14">
        <f t="shared" si="3"/>
        <v>52630.39</v>
      </c>
      <c r="K13" s="14">
        <f t="shared" si="3"/>
        <v>141439.61000000002</v>
      </c>
      <c r="L13" s="15">
        <f t="shared" si="3"/>
        <v>22551.506269249996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D16+F16+'10-03-19'!H16</f>
        <v>0</v>
      </c>
      <c r="I16" s="15">
        <f>E16+G16+'10-03-19'!I16</f>
        <v>0</v>
      </c>
      <c r="J16" s="15">
        <f>H16+I16</f>
        <v>0</v>
      </c>
      <c r="K16" s="14">
        <f>C16-J16</f>
        <v>26923</v>
      </c>
      <c r="L16" s="15">
        <f t="shared" ref="L16:L18" si="4">C16-((J16/8)*26.0714)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216.2</v>
      </c>
      <c r="E17" s="15">
        <v>3.45</v>
      </c>
      <c r="F17" s="14">
        <v>0</v>
      </c>
      <c r="G17" s="14">
        <v>0</v>
      </c>
      <c r="H17" s="15">
        <f>D17+F17+'10-03-19'!H17</f>
        <v>2255.38</v>
      </c>
      <c r="I17" s="15">
        <f>E17+G17+'10-03-19'!I17</f>
        <v>53.20000000000001</v>
      </c>
      <c r="J17" s="15">
        <f>H17+I17</f>
        <v>2308.58</v>
      </c>
      <c r="K17" s="14">
        <f>C17-J17</f>
        <v>13753.42</v>
      </c>
      <c r="L17" s="15">
        <f t="shared" si="4"/>
        <v>8538.5109235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0</v>
      </c>
      <c r="E18" s="14">
        <v>0</v>
      </c>
      <c r="F18" s="14">
        <v>0</v>
      </c>
      <c r="G18" s="14">
        <v>0</v>
      </c>
      <c r="H18" s="15">
        <f>D18+F18+'10-03-19'!H18</f>
        <v>585.8599999999999</v>
      </c>
      <c r="I18" s="15">
        <f>E18+G18+'10-03-19'!I18</f>
        <v>9.3199999999999985</v>
      </c>
      <c r="J18" s="15">
        <f>H18+I18</f>
        <v>595.17999999999995</v>
      </c>
      <c r="K18" s="14">
        <f>C18-J18</f>
        <v>1430.8200000000002</v>
      </c>
      <c r="L18" s="15">
        <f t="shared" si="4"/>
        <v>86.353018500000189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216.2</v>
      </c>
      <c r="E19" s="15">
        <f t="shared" si="5"/>
        <v>3.45</v>
      </c>
      <c r="F19" s="15">
        <f t="shared" si="5"/>
        <v>0</v>
      </c>
      <c r="G19" s="15">
        <f t="shared" si="5"/>
        <v>0</v>
      </c>
      <c r="H19" s="15">
        <f t="shared" si="5"/>
        <v>2841.24</v>
      </c>
      <c r="I19" s="15">
        <f t="shared" si="5"/>
        <v>62.52000000000001</v>
      </c>
      <c r="J19" s="14">
        <f t="shared" si="5"/>
        <v>2903.7599999999998</v>
      </c>
      <c r="K19" s="15">
        <f t="shared" si="5"/>
        <v>42107.24</v>
      </c>
      <c r="L19" s="15">
        <f t="shared" si="5"/>
        <v>35547.863941999996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300</v>
      </c>
      <c r="E23" s="14">
        <v>4.8</v>
      </c>
      <c r="F23" s="14">
        <v>0</v>
      </c>
      <c r="G23" s="14">
        <v>0</v>
      </c>
      <c r="H23" s="15">
        <f>D23+F23+'10-03-19'!H23</f>
        <v>3285</v>
      </c>
      <c r="I23" s="15">
        <f>E23+G23+'10-03-19'!I23</f>
        <v>52.559999999999995</v>
      </c>
      <c r="J23" s="15">
        <f t="shared" si="7"/>
        <v>3337.56</v>
      </c>
      <c r="K23" s="14">
        <f t="shared" si="8"/>
        <v>21662.44</v>
      </c>
      <c r="L23" s="15">
        <f t="shared" ref="L23:L25" si="10">C23-((J23/8)*26.0714)</f>
        <v>14123.142277000001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568.05999999999995</v>
      </c>
      <c r="E24" s="48">
        <v>9.08</v>
      </c>
      <c r="F24" s="48">
        <v>0</v>
      </c>
      <c r="G24" s="48">
        <v>0</v>
      </c>
      <c r="H24" s="15">
        <f>D24+F24+'10-03-19'!H24</f>
        <v>2681.8999999999996</v>
      </c>
      <c r="I24" s="15">
        <f>E24+G24+'10-03-19'!I24</f>
        <v>42.86</v>
      </c>
      <c r="J24" s="15">
        <f t="shared" si="7"/>
        <v>2724.7599999999998</v>
      </c>
      <c r="K24" s="14">
        <f t="shared" si="8"/>
        <v>11775.24</v>
      </c>
      <c r="L24" s="15">
        <f t="shared" si="10"/>
        <v>5620.2115169999997</v>
      </c>
      <c r="M24" s="79"/>
      <c r="N24" s="47"/>
    </row>
    <row r="25" spans="1:18" s="43" customFormat="1" ht="10.9" customHeight="1" x14ac:dyDescent="0.25">
      <c r="A25" s="112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204</v>
      </c>
      <c r="G25" s="48">
        <v>11.62</v>
      </c>
      <c r="H25" s="15">
        <f>D25+F25+'10-03-19'!H25</f>
        <v>660</v>
      </c>
      <c r="I25" s="15">
        <f>E25+G25+'10-03-19'!I25</f>
        <v>37.6</v>
      </c>
      <c r="J25" s="15">
        <f>H25+I25</f>
        <v>697.6</v>
      </c>
      <c r="K25" s="14">
        <f>C25-J25</f>
        <v>4573.9299999999994</v>
      </c>
      <c r="L25" s="15">
        <f t="shared" si="10"/>
        <v>2998.1039199999996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868.06</v>
      </c>
      <c r="E26" s="49">
        <f t="shared" si="11"/>
        <v>13.879999999999999</v>
      </c>
      <c r="F26" s="49">
        <f t="shared" si="11"/>
        <v>204</v>
      </c>
      <c r="G26" s="49">
        <f t="shared" si="11"/>
        <v>11.62</v>
      </c>
      <c r="H26" s="49">
        <f t="shared" si="11"/>
        <v>6626.9</v>
      </c>
      <c r="I26" s="49">
        <f t="shared" si="11"/>
        <v>133.01999999999998</v>
      </c>
      <c r="J26" s="49">
        <f t="shared" si="11"/>
        <v>6759.92</v>
      </c>
      <c r="K26" s="49">
        <f t="shared" si="11"/>
        <v>38011.61</v>
      </c>
      <c r="L26" s="50">
        <f>SUM(L23:L25)</f>
        <v>22741.457714000004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6764.33</v>
      </c>
      <c r="E29" s="50">
        <f t="shared" si="12"/>
        <v>108.17</v>
      </c>
      <c r="F29" s="50">
        <f t="shared" si="12"/>
        <v>204</v>
      </c>
      <c r="G29" s="50">
        <f t="shared" si="12"/>
        <v>11.62</v>
      </c>
      <c r="H29" s="50">
        <f t="shared" si="12"/>
        <v>61029.130000000005</v>
      </c>
      <c r="I29" s="50">
        <f t="shared" si="12"/>
        <v>1264.94</v>
      </c>
      <c r="J29" s="50">
        <f t="shared" si="12"/>
        <v>62294.07</v>
      </c>
      <c r="K29" s="50">
        <f t="shared" si="12"/>
        <v>221558.46000000002</v>
      </c>
      <c r="L29" s="50">
        <f t="shared" si="12"/>
        <v>80840.827925249992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12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D32+F32+'10-03-19'!H32</f>
        <v>0</v>
      </c>
      <c r="I32" s="15">
        <f>E32+G32+'10-03-19'!I32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C32-((J32/8)*26.0714)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40</v>
      </c>
      <c r="E33" s="15">
        <v>0.64</v>
      </c>
      <c r="F33" s="15">
        <v>0</v>
      </c>
      <c r="G33" s="15">
        <v>0</v>
      </c>
      <c r="H33" s="15">
        <f>D33+F33+'10-03-19'!H33</f>
        <v>40</v>
      </c>
      <c r="I33" s="15">
        <f>E33+G33+'10-03-19'!I33</f>
        <v>0.64</v>
      </c>
      <c r="J33" s="14">
        <f t="shared" si="13"/>
        <v>40.64</v>
      </c>
      <c r="K33" s="15">
        <f t="shared" si="14"/>
        <v>11959.36</v>
      </c>
      <c r="L33" s="15">
        <f t="shared" si="15"/>
        <v>11867.557288</v>
      </c>
      <c r="M33" s="69"/>
      <c r="N33" s="25"/>
    </row>
    <row r="34" spans="1:15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D34+F34+'10-03-19'!H34</f>
        <v>277.20000000000005</v>
      </c>
      <c r="I34" s="15">
        <f>E34+G34+'10-03-19'!I34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-189.49243575000025</v>
      </c>
      <c r="M34" s="69"/>
      <c r="N34" s="25"/>
    </row>
    <row r="35" spans="1:15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f>313.76-40</f>
        <v>273.76</v>
      </c>
      <c r="E35" s="15">
        <v>4.38</v>
      </c>
      <c r="F35" s="15">
        <v>0</v>
      </c>
      <c r="G35" s="15">
        <v>0</v>
      </c>
      <c r="H35" s="15">
        <f>D35+F35+'10-03-19'!H35</f>
        <v>1047.8399999999999</v>
      </c>
      <c r="I35" s="15">
        <f>E35+G35+'10-03-19'!I35</f>
        <v>16.739999999999998</v>
      </c>
      <c r="J35" s="15">
        <f t="shared" si="13"/>
        <v>1064.58</v>
      </c>
      <c r="K35" s="15">
        <f t="shared" si="14"/>
        <v>5289.27</v>
      </c>
      <c r="L35" s="15">
        <f t="shared" si="15"/>
        <v>2884.4636235000007</v>
      </c>
      <c r="M35" s="69"/>
      <c r="N35" s="25"/>
    </row>
    <row r="36" spans="1:15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181.86</v>
      </c>
      <c r="E36" s="14">
        <v>2.9</v>
      </c>
      <c r="F36" s="14">
        <v>0</v>
      </c>
      <c r="G36" s="14">
        <v>0</v>
      </c>
      <c r="H36" s="15">
        <f>D36+F36+'10-03-19'!H36</f>
        <v>679.3</v>
      </c>
      <c r="I36" s="15">
        <f>E36+G36+'10-03-19'!I36</f>
        <v>10.84</v>
      </c>
      <c r="J36" s="15">
        <f t="shared" si="13"/>
        <v>690.14</v>
      </c>
      <c r="K36" s="14">
        <f t="shared" si="14"/>
        <v>1352.8600000000001</v>
      </c>
      <c r="L36" s="15">
        <f t="shared" si="15"/>
        <v>-206.11449949999997</v>
      </c>
      <c r="M36" s="71"/>
      <c r="N36" s="25"/>
    </row>
    <row r="37" spans="1:15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281.25</v>
      </c>
      <c r="E37" s="14">
        <v>4.5</v>
      </c>
      <c r="F37" s="14">
        <v>0</v>
      </c>
      <c r="G37" s="14">
        <v>0</v>
      </c>
      <c r="H37" s="15">
        <f>D37+F37+'10-03-19'!H37</f>
        <v>1296.57</v>
      </c>
      <c r="I37" s="15">
        <f>E37+G37+'10-03-19'!I37</f>
        <v>20.71</v>
      </c>
      <c r="J37" s="15">
        <f t="shared" si="13"/>
        <v>1317.28</v>
      </c>
      <c r="K37" s="14">
        <f t="shared" si="14"/>
        <v>1432.72</v>
      </c>
      <c r="L37" s="15">
        <f t="shared" si="15"/>
        <v>-1542.9167239999997</v>
      </c>
      <c r="M37" s="45"/>
      <c r="N37" s="72"/>
      <c r="O37" s="44"/>
    </row>
    <row r="38" spans="1:15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648.75</v>
      </c>
      <c r="E38" s="15">
        <v>10.38</v>
      </c>
      <c r="F38" s="15">
        <v>0</v>
      </c>
      <c r="G38" s="15">
        <v>0</v>
      </c>
      <c r="H38" s="15">
        <f>D38+F38+'10-03-19'!H38</f>
        <v>3300</v>
      </c>
      <c r="I38" s="15">
        <f>E38+G38+'10-03-19'!I38</f>
        <v>52.790000000000006</v>
      </c>
      <c r="J38" s="15">
        <f t="shared" si="13"/>
        <v>3352.79</v>
      </c>
      <c r="K38" s="15">
        <f t="shared" si="14"/>
        <v>9014.11</v>
      </c>
      <c r="L38" s="15">
        <f t="shared" si="15"/>
        <v>1440.4088492499995</v>
      </c>
      <c r="M38" s="69"/>
      <c r="N38" s="55"/>
    </row>
    <row r="39" spans="1:15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D39+F39+'10-03-19'!H39</f>
        <v>1184.4000000000001</v>
      </c>
      <c r="I39" s="15">
        <f>E39+G39+'10-03-19'!I39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11140.184381749999</v>
      </c>
      <c r="M39" s="109"/>
      <c r="N39" s="55"/>
    </row>
    <row r="40" spans="1:15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1425.62</v>
      </c>
      <c r="E40" s="15">
        <f>SUM(E32:E39)</f>
        <v>22.8</v>
      </c>
      <c r="F40" s="15">
        <f>SUM(F32:F39)</f>
        <v>0</v>
      </c>
      <c r="G40" s="15">
        <f>SUM(G32:G39)</f>
        <v>0</v>
      </c>
      <c r="H40" s="15">
        <f>SUM(H32, H33:H39)</f>
        <v>7825.3099999999995</v>
      </c>
      <c r="I40" s="15">
        <f>SUM(I32, I33:I39)</f>
        <v>185</v>
      </c>
      <c r="J40" s="15">
        <f>SUM(J32, J33:J39)</f>
        <v>8010.31</v>
      </c>
      <c r="K40" s="15">
        <f>SUM(K32, K33:K39)</f>
        <v>44089.090000000004</v>
      </c>
      <c r="L40" s="15">
        <f>SUM(L32, L33:L39)</f>
        <v>25994.40048325</v>
      </c>
      <c r="M40" s="4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25"/>
    </row>
    <row r="42" spans="1:15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  <c r="M42" s="46"/>
      <c r="N42" s="47"/>
    </row>
    <row r="43" spans="1:15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1054.24</v>
      </c>
      <c r="E43" s="14">
        <v>16.86</v>
      </c>
      <c r="F43" s="14">
        <v>680.84</v>
      </c>
      <c r="G43" s="14">
        <v>38.799999999999997</v>
      </c>
      <c r="H43" s="15">
        <f>D43+F43+'10-03-19'!H43</f>
        <v>14492.039999999999</v>
      </c>
      <c r="I43" s="15">
        <f>E43+G43+'10-03-19'!I43</f>
        <v>529.30999999999995</v>
      </c>
      <c r="J43" s="15">
        <f>H43+I43</f>
        <v>15021.349999999999</v>
      </c>
      <c r="K43" s="14">
        <f>C43-J43</f>
        <v>47561.65</v>
      </c>
      <c r="L43" s="15">
        <f t="shared" ref="L43" si="16">C43-((J43/8)*26.0714)</f>
        <v>13629.546951250006</v>
      </c>
      <c r="N43" s="56"/>
    </row>
    <row r="44" spans="1:15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7">D43</f>
        <v>1054.24</v>
      </c>
      <c r="E44" s="59">
        <f t="shared" si="17"/>
        <v>16.86</v>
      </c>
      <c r="F44" s="59">
        <f t="shared" si="17"/>
        <v>680.84</v>
      </c>
      <c r="G44" s="59">
        <f t="shared" si="17"/>
        <v>38.799999999999997</v>
      </c>
      <c r="H44" s="59">
        <f t="shared" si="17"/>
        <v>14492.039999999999</v>
      </c>
      <c r="I44" s="59">
        <f t="shared" si="17"/>
        <v>529.30999999999995</v>
      </c>
      <c r="J44" s="59">
        <f t="shared" si="17"/>
        <v>15021.349999999999</v>
      </c>
      <c r="K44" s="59">
        <f t="shared" si="17"/>
        <v>47561.65</v>
      </c>
      <c r="L44" s="59">
        <f t="shared" si="17"/>
        <v>13629.546951250006</v>
      </c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5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  <c r="M46" s="46"/>
    </row>
    <row r="47" spans="1:15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438.6</v>
      </c>
      <c r="G47" s="14">
        <v>25</v>
      </c>
      <c r="H47" s="15">
        <f>D47+F47+'10-03-19'!H47</f>
        <v>3400.18</v>
      </c>
      <c r="I47" s="15">
        <f>E47+G47+'10-03-19'!I47</f>
        <v>193.76</v>
      </c>
      <c r="J47" s="15">
        <f>H47+I47</f>
        <v>3593.9399999999996</v>
      </c>
      <c r="K47" s="14">
        <f>C47-J47</f>
        <v>34142.06</v>
      </c>
      <c r="L47" s="15">
        <f t="shared" ref="L47" si="18">C47-((J47/8)*26.0714)</f>
        <v>26023.619085500002</v>
      </c>
      <c r="N47" s="60"/>
    </row>
    <row r="48" spans="1:15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9">SUM(D47)</f>
        <v>0</v>
      </c>
      <c r="E48" s="15">
        <f t="shared" si="19"/>
        <v>0</v>
      </c>
      <c r="F48" s="15">
        <f t="shared" si="19"/>
        <v>438.6</v>
      </c>
      <c r="G48" s="15">
        <f t="shared" si="19"/>
        <v>25</v>
      </c>
      <c r="H48" s="15">
        <f t="shared" si="19"/>
        <v>3400.18</v>
      </c>
      <c r="I48" s="15">
        <f t="shared" si="19"/>
        <v>193.76</v>
      </c>
      <c r="J48" s="15">
        <f t="shared" si="19"/>
        <v>3593.9399999999996</v>
      </c>
      <c r="K48" s="15">
        <f t="shared" si="19"/>
        <v>34142.06</v>
      </c>
      <c r="L48" s="15">
        <f t="shared" si="19"/>
        <v>26023.619085500002</v>
      </c>
      <c r="M48" s="45"/>
      <c r="N48" s="5"/>
    </row>
    <row r="49" spans="1:16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"/>
      <c r="N49" s="25"/>
    </row>
    <row r="50" spans="1:16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  <c r="M50" s="4"/>
      <c r="N50" s="5"/>
      <c r="O50" s="5"/>
      <c r="P50" s="5"/>
    </row>
    <row r="51" spans="1:16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  <c r="M52" s="4"/>
      <c r="N52" s="5"/>
      <c r="O52" s="5"/>
      <c r="P52" s="5"/>
    </row>
    <row r="53" spans="1:16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03">
        <v>2624</v>
      </c>
      <c r="M54" s="4"/>
      <c r="N54" s="5"/>
      <c r="O54" s="5"/>
      <c r="P54" s="5"/>
    </row>
    <row r="55" spans="1:16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  <c r="M55" s="4"/>
      <c r="N55" s="5"/>
      <c r="O55" s="5"/>
      <c r="P55" s="5"/>
    </row>
    <row r="56" spans="1:16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  <c r="M56" s="4"/>
      <c r="N56" s="5"/>
      <c r="O56" s="5"/>
      <c r="P56" s="5"/>
    </row>
    <row r="57" spans="1:16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  <c r="M57" s="4"/>
      <c r="N57" s="5"/>
      <c r="O57" s="5"/>
      <c r="P57" s="5"/>
    </row>
    <row r="58" spans="1:16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  <c r="M58" s="4"/>
      <c r="N58" s="5"/>
      <c r="O58" s="5"/>
      <c r="P58" s="5"/>
    </row>
    <row r="59" spans="1:16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  <c r="M59" s="4"/>
      <c r="N59" s="5"/>
      <c r="O59" s="5"/>
      <c r="P59" s="5"/>
    </row>
    <row r="60" spans="1:16" ht="10.5" customHeight="1" x14ac:dyDescent="0.25">
      <c r="A60" s="205" t="s">
        <v>74</v>
      </c>
      <c r="B60" s="205"/>
      <c r="C60" s="205"/>
      <c r="D60" s="205"/>
      <c r="E60" s="205"/>
      <c r="F60" s="205"/>
      <c r="G60" s="83">
        <v>800</v>
      </c>
    </row>
  </sheetData>
  <mergeCells count="17">
    <mergeCell ref="A13:B13"/>
    <mergeCell ref="A19:B19"/>
    <mergeCell ref="A26:B26"/>
    <mergeCell ref="A29:B29"/>
    <mergeCell ref="A40:B40"/>
    <mergeCell ref="A53:F53"/>
    <mergeCell ref="A54:F54"/>
    <mergeCell ref="A55:F55"/>
    <mergeCell ref="A48:B48"/>
    <mergeCell ref="A60:F60"/>
    <mergeCell ref="A56:F56"/>
    <mergeCell ref="A57:F57"/>
    <mergeCell ref="A58:F58"/>
    <mergeCell ref="A59:F59"/>
    <mergeCell ref="A50:F50"/>
    <mergeCell ref="A51:F51"/>
    <mergeCell ref="A52:F52"/>
  </mergeCells>
  <pageMargins left="0.25" right="0" top="0.4" bottom="0" header="0.3" footer="0"/>
  <pageSetup scale="9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B1" zoomScale="160" zoomScaleNormal="160" workbookViewId="0">
      <pane ySplit="2" topLeftCell="A3" activePane="bottomLeft" state="frozen"/>
      <selection pane="bottomLeft" activeCell="J10" sqref="J10"/>
    </sheetView>
  </sheetViews>
  <sheetFormatPr defaultColWidth="28" defaultRowHeight="15" x14ac:dyDescent="0.25"/>
  <cols>
    <col min="1" max="1" width="28.42578125" style="5" bestFit="1" customWidth="1"/>
    <col min="2" max="2" width="18.7109375" style="5" bestFit="1" customWidth="1"/>
    <col min="3" max="3" width="10.42578125" style="26" customWidth="1"/>
    <col min="4" max="4" width="8.140625" style="26" bestFit="1" customWidth="1"/>
    <col min="5" max="5" width="6.28515625" style="26" customWidth="1"/>
    <col min="6" max="6" width="8.28515625" style="26" bestFit="1" customWidth="1"/>
    <col min="7" max="7" width="8.7109375" style="26" bestFit="1" customWidth="1"/>
    <col min="8" max="8" width="8.42578125" style="26" bestFit="1" customWidth="1"/>
    <col min="9" max="9" width="10.7109375" style="26" bestFit="1" customWidth="1"/>
    <col min="10" max="10" width="9.7109375" style="26" bestFit="1" customWidth="1"/>
    <col min="11" max="11" width="11.140625" style="26" customWidth="1"/>
    <col min="12" max="12" width="13.42578125" style="26" bestFit="1" customWidth="1"/>
    <col min="13" max="13" width="7" style="4" customWidth="1"/>
    <col min="14" max="14" width="8.7109375" style="5" customWidth="1"/>
    <col min="15" max="16384" width="28" style="5"/>
  </cols>
  <sheetData>
    <row r="1" spans="1:15" ht="11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97" t="s">
        <v>76</v>
      </c>
    </row>
    <row r="2" spans="1:15" s="11" customFormat="1" ht="34.5" x14ac:dyDescent="0.25">
      <c r="A2" s="6" t="s">
        <v>0</v>
      </c>
      <c r="B2" s="6" t="s">
        <v>1</v>
      </c>
      <c r="C2" s="8" t="s">
        <v>35</v>
      </c>
      <c r="D2" s="8" t="s">
        <v>44</v>
      </c>
      <c r="E2" s="8" t="s">
        <v>2</v>
      </c>
      <c r="F2" s="8" t="s">
        <v>3</v>
      </c>
      <c r="G2" s="8" t="s">
        <v>2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9"/>
      <c r="N2" s="10"/>
    </row>
    <row r="3" spans="1:15" s="11" customFormat="1" ht="11.25" customHeight="1" x14ac:dyDescent="0.25">
      <c r="A3" s="12" t="s">
        <v>59</v>
      </c>
      <c r="B3" s="13">
        <v>55010300</v>
      </c>
      <c r="C3" s="95">
        <f>2376+2624-2624+800</f>
        <v>3176</v>
      </c>
      <c r="D3" s="15">
        <v>300</v>
      </c>
      <c r="E3" s="15">
        <v>4.8</v>
      </c>
      <c r="F3" s="15">
        <v>0</v>
      </c>
      <c r="G3" s="15">
        <v>0</v>
      </c>
      <c r="H3" s="15">
        <f>D3+F3+'10-17-19'!H3</f>
        <v>3258.6000000000004</v>
      </c>
      <c r="I3" s="15">
        <f>E3+G3+'10-17-19'!I3</f>
        <v>153.75</v>
      </c>
      <c r="J3" s="15">
        <f>H3+I3</f>
        <v>3412.3500000000004</v>
      </c>
      <c r="K3" s="107">
        <f>C3-J3</f>
        <v>-236.35000000000036</v>
      </c>
      <c r="L3" s="15">
        <f>C3-((J3/9)*26.0714)</f>
        <v>-6708.9713100000008</v>
      </c>
      <c r="M3" s="9"/>
      <c r="N3" s="10"/>
    </row>
    <row r="4" spans="1:15" s="18" customFormat="1" ht="11.25" customHeight="1" x14ac:dyDescent="0.25">
      <c r="A4" s="12" t="s">
        <v>9</v>
      </c>
      <c r="B4" s="13">
        <v>55010500</v>
      </c>
      <c r="C4" s="95">
        <v>3229</v>
      </c>
      <c r="D4" s="14">
        <v>0</v>
      </c>
      <c r="E4" s="14">
        <v>0</v>
      </c>
      <c r="F4" s="14">
        <v>0</v>
      </c>
      <c r="G4" s="14">
        <v>0</v>
      </c>
      <c r="H4" s="15">
        <f>D4+F4+'10-17-19'!H4</f>
        <v>0</v>
      </c>
      <c r="I4" s="15">
        <f>E4+G4+'10-17-19'!I4</f>
        <v>0</v>
      </c>
      <c r="J4" s="15">
        <f>H4+I4</f>
        <v>0</v>
      </c>
      <c r="K4" s="15">
        <f>C4-J4</f>
        <v>3229</v>
      </c>
      <c r="L4" s="15">
        <f t="shared" ref="L4:L12" si="0">C4-((J4/9)*26.0714)</f>
        <v>3229</v>
      </c>
      <c r="M4" s="16"/>
      <c r="N4" s="17"/>
    </row>
    <row r="5" spans="1:15" ht="11.25" customHeight="1" x14ac:dyDescent="0.25">
      <c r="A5" s="19" t="s">
        <v>45</v>
      </c>
      <c r="B5" s="20">
        <v>55020200</v>
      </c>
      <c r="C5" s="102">
        <v>24649</v>
      </c>
      <c r="D5" s="21">
        <v>420.59</v>
      </c>
      <c r="E5" s="21">
        <v>6.72</v>
      </c>
      <c r="F5" s="21">
        <v>0</v>
      </c>
      <c r="G5" s="21">
        <v>0</v>
      </c>
      <c r="H5" s="15">
        <f>D5+F5+'10-17-19'!H5</f>
        <v>5740.9</v>
      </c>
      <c r="I5" s="15">
        <f>E5+G5+'10-17-19'!I5</f>
        <v>109.9</v>
      </c>
      <c r="J5" s="15">
        <f t="shared" ref="J5:J12" si="1">H5+I5</f>
        <v>5850.7999999999993</v>
      </c>
      <c r="K5" s="14">
        <f t="shared" ref="K5:K12" si="2">C5-J5</f>
        <v>18798.2</v>
      </c>
      <c r="L5" s="15">
        <f t="shared" si="0"/>
        <v>7700.2725422222247</v>
      </c>
      <c r="M5" s="22"/>
      <c r="N5" s="23"/>
    </row>
    <row r="6" spans="1:15" ht="11.25" customHeight="1" x14ac:dyDescent="0.25">
      <c r="A6" s="12" t="s">
        <v>10</v>
      </c>
      <c r="B6" s="13">
        <v>55020300</v>
      </c>
      <c r="C6" s="95">
        <v>17974</v>
      </c>
      <c r="D6" s="14">
        <v>602.96</v>
      </c>
      <c r="E6" s="14">
        <v>9.64</v>
      </c>
      <c r="F6" s="14">
        <v>0</v>
      </c>
      <c r="G6" s="14">
        <v>0</v>
      </c>
      <c r="H6" s="15">
        <f>D6+F6+'10-17-19'!H6</f>
        <v>4032.77</v>
      </c>
      <c r="I6" s="15">
        <f>E6+G6+'10-17-19'!I6</f>
        <v>68.11</v>
      </c>
      <c r="J6" s="15">
        <f t="shared" si="1"/>
        <v>4100.88</v>
      </c>
      <c r="K6" s="14">
        <f t="shared" si="2"/>
        <v>13873.119999999999</v>
      </c>
      <c r="L6" s="15">
        <f t="shared" si="0"/>
        <v>6094.4796853333319</v>
      </c>
      <c r="M6" s="22"/>
      <c r="N6" s="22"/>
    </row>
    <row r="7" spans="1:15" ht="11.25" customHeight="1" x14ac:dyDescent="0.25">
      <c r="A7" s="12" t="s">
        <v>11</v>
      </c>
      <c r="B7" s="13">
        <v>55020400</v>
      </c>
      <c r="C7" s="95">
        <v>17974</v>
      </c>
      <c r="D7" s="14">
        <v>653.38</v>
      </c>
      <c r="E7" s="14">
        <v>10.45</v>
      </c>
      <c r="F7" s="14">
        <v>0</v>
      </c>
      <c r="G7" s="14">
        <v>0</v>
      </c>
      <c r="H7" s="15">
        <f>D7+F7+'10-17-19'!H7</f>
        <v>5383.44</v>
      </c>
      <c r="I7" s="15">
        <f>E7+G7+'10-17-19'!I7</f>
        <v>86.03</v>
      </c>
      <c r="J7" s="15">
        <f t="shared" si="1"/>
        <v>5469.4699999999993</v>
      </c>
      <c r="K7" s="14">
        <f t="shared" si="2"/>
        <v>12504.53</v>
      </c>
      <c r="L7" s="15">
        <f t="shared" si="0"/>
        <v>2129.9177602222226</v>
      </c>
      <c r="M7" s="22"/>
      <c r="N7" s="22"/>
    </row>
    <row r="8" spans="1:15" ht="11.25" customHeight="1" x14ac:dyDescent="0.25">
      <c r="A8" s="80" t="s">
        <v>46</v>
      </c>
      <c r="B8" s="13">
        <v>55030200</v>
      </c>
      <c r="C8" s="95">
        <v>24330</v>
      </c>
      <c r="D8" s="14">
        <f>247.09+427.6</f>
        <v>674.69</v>
      </c>
      <c r="E8" s="14">
        <f>3.95+6.84</f>
        <v>10.79</v>
      </c>
      <c r="F8" s="14">
        <v>0</v>
      </c>
      <c r="G8" s="14">
        <v>0</v>
      </c>
      <c r="H8" s="15">
        <f>D8+F8+'10-17-19'!H8</f>
        <v>7472.590000000002</v>
      </c>
      <c r="I8" s="15">
        <f>E8+G8+'10-17-19'!I8</f>
        <v>119.5</v>
      </c>
      <c r="J8" s="15">
        <f t="shared" si="1"/>
        <v>7592.090000000002</v>
      </c>
      <c r="K8" s="14">
        <f t="shared" si="2"/>
        <v>16737.909999999996</v>
      </c>
      <c r="L8" s="15">
        <f t="shared" si="0"/>
        <v>2337.0649748888827</v>
      </c>
      <c r="M8" s="22"/>
      <c r="N8" s="24"/>
    </row>
    <row r="9" spans="1:15" ht="11.25" customHeight="1" x14ac:dyDescent="0.25">
      <c r="A9" s="12" t="s">
        <v>34</v>
      </c>
      <c r="B9" s="13">
        <v>55050200</v>
      </c>
      <c r="C9" s="95">
        <v>34000</v>
      </c>
      <c r="D9" s="14">
        <v>877.46</v>
      </c>
      <c r="E9" s="14">
        <v>14.03</v>
      </c>
      <c r="F9" s="14">
        <v>0</v>
      </c>
      <c r="G9" s="14">
        <v>0</v>
      </c>
      <c r="H9" s="15">
        <f>D9+F9+'10-17-19'!H9</f>
        <v>11486.79</v>
      </c>
      <c r="I9" s="15">
        <f>E9+G9+'10-17-19'!I9</f>
        <v>312.45999999999998</v>
      </c>
      <c r="J9" s="15">
        <f t="shared" si="1"/>
        <v>11799.25</v>
      </c>
      <c r="K9" s="14">
        <f t="shared" si="2"/>
        <v>22200.75</v>
      </c>
      <c r="L9" s="15">
        <f t="shared" si="0"/>
        <v>-180.32960555555474</v>
      </c>
      <c r="M9" s="22"/>
      <c r="N9" s="24"/>
    </row>
    <row r="10" spans="1:15" s="25" customFormat="1" ht="11.25" customHeight="1" x14ac:dyDescent="0.25">
      <c r="A10" s="12" t="s">
        <v>12</v>
      </c>
      <c r="B10" s="13">
        <v>55070100</v>
      </c>
      <c r="C10" s="95">
        <v>42741</v>
      </c>
      <c r="D10" s="14">
        <v>1878.82</v>
      </c>
      <c r="E10" s="14">
        <v>30.06</v>
      </c>
      <c r="F10" s="14">
        <v>0</v>
      </c>
      <c r="G10" s="14">
        <v>0</v>
      </c>
      <c r="H10" s="15">
        <f>D10+F10+'10-17-19'!H10</f>
        <v>17313.509999999998</v>
      </c>
      <c r="I10" s="15">
        <f>E10+G10+'10-17-19'!I10</f>
        <v>295.63</v>
      </c>
      <c r="J10" s="15">
        <f t="shared" si="1"/>
        <v>17609.14</v>
      </c>
      <c r="K10" s="14">
        <f t="shared" si="2"/>
        <v>25131.86</v>
      </c>
      <c r="L10" s="15">
        <f t="shared" si="0"/>
        <v>-8269.5480662222253</v>
      </c>
      <c r="M10" s="22"/>
      <c r="N10" s="22"/>
    </row>
    <row r="11" spans="1:15" ht="11.25" customHeight="1" x14ac:dyDescent="0.25">
      <c r="A11" s="12" t="s">
        <v>13</v>
      </c>
      <c r="B11" s="13">
        <v>55080100</v>
      </c>
      <c r="C11" s="95">
        <v>23173</v>
      </c>
      <c r="D11" s="14">
        <v>535.26</v>
      </c>
      <c r="E11" s="14">
        <v>8.56</v>
      </c>
      <c r="F11" s="14">
        <v>0</v>
      </c>
      <c r="G11" s="14">
        <v>0</v>
      </c>
      <c r="H11" s="15">
        <f>D11+F11+'10-17-19'!H11</f>
        <v>5324.43</v>
      </c>
      <c r="I11" s="15">
        <f>E11+G11+'10-17-19'!I11</f>
        <v>160.87</v>
      </c>
      <c r="J11" s="15">
        <f t="shared" si="1"/>
        <v>5485.3</v>
      </c>
      <c r="K11" s="14">
        <f t="shared" si="2"/>
        <v>17687.7</v>
      </c>
      <c r="L11" s="15">
        <f t="shared" si="0"/>
        <v>7283.0610644444441</v>
      </c>
      <c r="M11" s="22"/>
      <c r="N11" s="24"/>
    </row>
    <row r="12" spans="1:15" s="43" customFormat="1" ht="11.25" customHeight="1" x14ac:dyDescent="0.25">
      <c r="A12" s="68" t="s">
        <v>33</v>
      </c>
      <c r="B12" s="41">
        <v>55190000</v>
      </c>
      <c r="C12" s="95">
        <v>6000</v>
      </c>
      <c r="D12" s="14">
        <v>153.81</v>
      </c>
      <c r="E12" s="14">
        <v>2.4500000000000002</v>
      </c>
      <c r="F12" s="14">
        <v>0</v>
      </c>
      <c r="G12" s="14">
        <v>0</v>
      </c>
      <c r="H12" s="15">
        <f>D12+F12+'10-17-19'!H12</f>
        <v>603.53</v>
      </c>
      <c r="I12" s="15">
        <f>E12+G12+'10-17-19'!I12</f>
        <v>9.6</v>
      </c>
      <c r="J12" s="15">
        <f t="shared" si="1"/>
        <v>613.13</v>
      </c>
      <c r="K12" s="14">
        <f t="shared" si="2"/>
        <v>5386.87</v>
      </c>
      <c r="L12" s="15">
        <f t="shared" si="0"/>
        <v>4223.8713908888894</v>
      </c>
      <c r="M12" s="65"/>
      <c r="N12" s="42"/>
    </row>
    <row r="13" spans="1:15" ht="21.6" customHeight="1" thickBot="1" x14ac:dyDescent="0.3">
      <c r="A13" s="208" t="s">
        <v>14</v>
      </c>
      <c r="B13" s="209"/>
      <c r="C13" s="14">
        <f t="shared" ref="C13:L13" si="3">SUM(C4:C12)</f>
        <v>194070</v>
      </c>
      <c r="D13" s="15">
        <f t="shared" si="3"/>
        <v>5796.97</v>
      </c>
      <c r="E13" s="15">
        <f t="shared" si="3"/>
        <v>92.7</v>
      </c>
      <c r="F13" s="15">
        <f t="shared" si="3"/>
        <v>0</v>
      </c>
      <c r="G13" s="15">
        <f t="shared" si="3"/>
        <v>0</v>
      </c>
      <c r="H13" s="15">
        <f t="shared" si="3"/>
        <v>57357.96</v>
      </c>
      <c r="I13" s="15">
        <f t="shared" si="3"/>
        <v>1162.0999999999999</v>
      </c>
      <c r="J13" s="14">
        <f t="shared" si="3"/>
        <v>58520.060000000005</v>
      </c>
      <c r="K13" s="14">
        <f t="shared" si="3"/>
        <v>135549.94</v>
      </c>
      <c r="L13" s="15">
        <f t="shared" si="3"/>
        <v>24547.789746222217</v>
      </c>
      <c r="M13" s="22"/>
      <c r="N13" s="27"/>
      <c r="O13" s="26"/>
    </row>
    <row r="14" spans="1:15" ht="11.25" customHeight="1" x14ac:dyDescent="0.2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/>
      <c r="N14" s="33"/>
    </row>
    <row r="15" spans="1:15" ht="11.25" customHeight="1" thickBot="1" x14ac:dyDescent="0.3">
      <c r="A15" s="34"/>
      <c r="B15" s="35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22"/>
      <c r="N15" s="33"/>
    </row>
    <row r="16" spans="1:15" ht="11.45" customHeight="1" x14ac:dyDescent="0.25">
      <c r="A16" s="40" t="s">
        <v>15</v>
      </c>
      <c r="B16" s="41">
        <v>55090100</v>
      </c>
      <c r="C16" s="95">
        <v>26923</v>
      </c>
      <c r="D16" s="14">
        <v>0</v>
      </c>
      <c r="E16" s="14">
        <v>0</v>
      </c>
      <c r="F16" s="14">
        <v>0</v>
      </c>
      <c r="G16" s="14">
        <v>0</v>
      </c>
      <c r="H16" s="15">
        <f>D16+F16+'10-17-19'!H16</f>
        <v>0</v>
      </c>
      <c r="I16" s="15">
        <f>E16+G16+'10-17-19'!I16</f>
        <v>0</v>
      </c>
      <c r="J16" s="15">
        <f>H16+I16</f>
        <v>0</v>
      </c>
      <c r="K16" s="14">
        <f>C16-J16</f>
        <v>26923</v>
      </c>
      <c r="L16" s="15">
        <f t="shared" ref="L16:L18" si="4">C16-((J16/9)*26.0714)</f>
        <v>26923</v>
      </c>
      <c r="M16" s="75"/>
      <c r="N16" s="27"/>
    </row>
    <row r="17" spans="1:18" ht="11.45" customHeight="1" x14ac:dyDescent="0.25">
      <c r="A17" s="12" t="s">
        <v>16</v>
      </c>
      <c r="B17" s="13">
        <v>55160100</v>
      </c>
      <c r="C17" s="95">
        <v>16062</v>
      </c>
      <c r="D17" s="15">
        <v>242.65</v>
      </c>
      <c r="E17" s="15">
        <v>3.88</v>
      </c>
      <c r="F17" s="14">
        <v>0</v>
      </c>
      <c r="G17" s="14">
        <v>0</v>
      </c>
      <c r="H17" s="15">
        <f>D17+F17+'10-17-19'!H17</f>
        <v>2498.0300000000002</v>
      </c>
      <c r="I17" s="15">
        <f>E17+G17+'10-17-19'!I17</f>
        <v>57.080000000000013</v>
      </c>
      <c r="J17" s="15">
        <f>H17+I17</f>
        <v>2555.11</v>
      </c>
      <c r="K17" s="14">
        <f>C17-J17</f>
        <v>13506.89</v>
      </c>
      <c r="L17" s="15">
        <f t="shared" si="4"/>
        <v>8660.3005717777778</v>
      </c>
      <c r="M17" s="22"/>
      <c r="N17" s="27"/>
    </row>
    <row r="18" spans="1:18" ht="11.45" customHeight="1" x14ac:dyDescent="0.25">
      <c r="A18" s="40" t="s">
        <v>17</v>
      </c>
      <c r="B18" s="41">
        <v>55100100</v>
      </c>
      <c r="C18" s="95">
        <v>2026</v>
      </c>
      <c r="D18" s="14">
        <v>101.53</v>
      </c>
      <c r="E18" s="14">
        <v>1.62</v>
      </c>
      <c r="F18" s="14">
        <v>0</v>
      </c>
      <c r="G18" s="14">
        <v>0</v>
      </c>
      <c r="H18" s="15">
        <f>D18+F18+'10-17-19'!H18</f>
        <v>687.38999999999987</v>
      </c>
      <c r="I18" s="15">
        <f>E18+G18+'10-17-19'!I18</f>
        <v>10.939999999999998</v>
      </c>
      <c r="J18" s="15">
        <f>H18+I18</f>
        <v>698.32999999999993</v>
      </c>
      <c r="K18" s="14">
        <f>C18-J18</f>
        <v>1327.67</v>
      </c>
      <c r="L18" s="15">
        <f t="shared" si="4"/>
        <v>3.0621375555556369</v>
      </c>
      <c r="M18" s="22"/>
      <c r="N18" s="27"/>
    </row>
    <row r="19" spans="1:18" ht="21.6" customHeight="1" thickBot="1" x14ac:dyDescent="0.3">
      <c r="A19" s="208" t="s">
        <v>18</v>
      </c>
      <c r="B19" s="209"/>
      <c r="C19" s="15">
        <f>SUM(C16:C18)</f>
        <v>45011</v>
      </c>
      <c r="D19" s="15">
        <f t="shared" ref="D19:L19" si="5">SUM(D16:D18)</f>
        <v>344.18</v>
      </c>
      <c r="E19" s="15">
        <f t="shared" si="5"/>
        <v>5.5</v>
      </c>
      <c r="F19" s="15">
        <f t="shared" si="5"/>
        <v>0</v>
      </c>
      <c r="G19" s="15">
        <f t="shared" si="5"/>
        <v>0</v>
      </c>
      <c r="H19" s="15">
        <f t="shared" si="5"/>
        <v>3185.42</v>
      </c>
      <c r="I19" s="15">
        <f t="shared" si="5"/>
        <v>68.02000000000001</v>
      </c>
      <c r="J19" s="14">
        <f t="shared" si="5"/>
        <v>3253.44</v>
      </c>
      <c r="K19" s="15">
        <f t="shared" si="5"/>
        <v>41757.56</v>
      </c>
      <c r="L19" s="15">
        <f t="shared" si="5"/>
        <v>35586.362709333334</v>
      </c>
      <c r="M19" s="22"/>
      <c r="N19" s="27"/>
    </row>
    <row r="20" spans="1:18" ht="11.25" customHeight="1" x14ac:dyDescent="0.25">
      <c r="A20" s="3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4"/>
    </row>
    <row r="21" spans="1:18" ht="11.25" customHeight="1" thickBot="1" x14ac:dyDescent="0.3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2"/>
      <c r="N21" s="33"/>
    </row>
    <row r="22" spans="1:18" s="25" customFormat="1" ht="11.25" hidden="1" customHeight="1" x14ac:dyDescent="0.25">
      <c r="A22" s="12" t="s">
        <v>19</v>
      </c>
      <c r="B22" s="41" t="s">
        <v>20</v>
      </c>
      <c r="C22" s="70"/>
      <c r="D22" s="15"/>
      <c r="E22" s="15"/>
      <c r="F22" s="15"/>
      <c r="G22" s="15"/>
      <c r="H22" s="15">
        <f t="shared" ref="H22:I22" si="6">D22+F22</f>
        <v>0</v>
      </c>
      <c r="I22" s="15">
        <f t="shared" si="6"/>
        <v>0</v>
      </c>
      <c r="J22" s="14">
        <f t="shared" ref="J22:J24" si="7">H22+I22</f>
        <v>0</v>
      </c>
      <c r="K22" s="14">
        <f t="shared" ref="K22:K24" si="8">C22-J22</f>
        <v>0</v>
      </c>
      <c r="L22" s="15">
        <f t="shared" ref="L22" si="9">C22-((J22/1)*26.0714)</f>
        <v>0</v>
      </c>
      <c r="M22" s="69"/>
      <c r="N22" s="42"/>
      <c r="O22" s="44"/>
      <c r="P22" s="44"/>
    </row>
    <row r="23" spans="1:18" s="43" customFormat="1" ht="11.45" customHeight="1" x14ac:dyDescent="0.25">
      <c r="A23" s="40" t="s">
        <v>21</v>
      </c>
      <c r="B23" s="41">
        <v>55200000</v>
      </c>
      <c r="C23" s="95">
        <v>25000</v>
      </c>
      <c r="D23" s="14">
        <v>300</v>
      </c>
      <c r="E23" s="14">
        <v>4.8</v>
      </c>
      <c r="F23" s="14">
        <v>0</v>
      </c>
      <c r="G23" s="14">
        <v>0</v>
      </c>
      <c r="H23" s="15">
        <f>D23+F23+'10-17-19'!H23</f>
        <v>3585</v>
      </c>
      <c r="I23" s="15">
        <f>E23+G23+'10-17-19'!I23</f>
        <v>57.359999999999992</v>
      </c>
      <c r="J23" s="15">
        <f t="shared" si="7"/>
        <v>3642.36</v>
      </c>
      <c r="K23" s="14">
        <f t="shared" si="8"/>
        <v>21357.64</v>
      </c>
      <c r="L23" s="15">
        <f t="shared" ref="L23:L25" si="10">C23-((J23/9)*26.0714)</f>
        <v>14448.730610666666</v>
      </c>
      <c r="M23" s="46"/>
      <c r="N23" s="47"/>
    </row>
    <row r="24" spans="1:18" s="43" customFormat="1" ht="11.45" customHeight="1" x14ac:dyDescent="0.25">
      <c r="A24" s="40" t="s">
        <v>39</v>
      </c>
      <c r="B24" s="76" t="s">
        <v>50</v>
      </c>
      <c r="C24" s="101">
        <v>14500</v>
      </c>
      <c r="D24" s="48">
        <v>642.62</v>
      </c>
      <c r="E24" s="48">
        <v>10.28</v>
      </c>
      <c r="F24" s="48">
        <v>0</v>
      </c>
      <c r="G24" s="48">
        <v>0</v>
      </c>
      <c r="H24" s="15">
        <f>D24+F24+'10-17-19'!H24</f>
        <v>3324.5199999999995</v>
      </c>
      <c r="I24" s="15">
        <f>E24+G24+'10-17-19'!I24</f>
        <v>53.14</v>
      </c>
      <c r="J24" s="15">
        <f t="shared" si="7"/>
        <v>3377.6599999999994</v>
      </c>
      <c r="K24" s="14">
        <f t="shared" si="8"/>
        <v>11122.34</v>
      </c>
      <c r="L24" s="15">
        <f t="shared" si="10"/>
        <v>4715.5194528888896</v>
      </c>
      <c r="M24" s="79"/>
      <c r="N24" s="47"/>
    </row>
    <row r="25" spans="1:18" s="43" customFormat="1" ht="10.9" customHeight="1" x14ac:dyDescent="0.25">
      <c r="A25" s="113" t="s">
        <v>40</v>
      </c>
      <c r="B25" s="105" t="s">
        <v>41</v>
      </c>
      <c r="C25" s="49">
        <v>5271.53</v>
      </c>
      <c r="D25" s="48">
        <v>0</v>
      </c>
      <c r="E25" s="48">
        <v>0</v>
      </c>
      <c r="F25" s="48">
        <v>192</v>
      </c>
      <c r="G25" s="48">
        <v>10.94</v>
      </c>
      <c r="H25" s="15">
        <f>D25+F25+'10-17-19'!H25</f>
        <v>852</v>
      </c>
      <c r="I25" s="15">
        <f>E25+G25+'10-17-19'!I25</f>
        <v>48.54</v>
      </c>
      <c r="J25" s="15">
        <f>H25+I25</f>
        <v>900.54</v>
      </c>
      <c r="K25" s="14">
        <f>C25-J25</f>
        <v>4370.99</v>
      </c>
      <c r="L25" s="15">
        <f t="shared" si="10"/>
        <v>2662.8257159999998</v>
      </c>
      <c r="M25" s="71"/>
      <c r="N25" s="78"/>
    </row>
    <row r="26" spans="1:18" ht="24.75" customHeight="1" thickBot="1" x14ac:dyDescent="0.3">
      <c r="A26" s="210" t="s">
        <v>22</v>
      </c>
      <c r="B26" s="211"/>
      <c r="C26" s="49">
        <f>SUM(C22:C24)</f>
        <v>39500</v>
      </c>
      <c r="D26" s="49">
        <f t="shared" ref="D26:K26" si="11">SUM(D22:D25)</f>
        <v>942.62</v>
      </c>
      <c r="E26" s="49">
        <f t="shared" si="11"/>
        <v>15.079999999999998</v>
      </c>
      <c r="F26" s="49">
        <f t="shared" si="11"/>
        <v>192</v>
      </c>
      <c r="G26" s="49">
        <f t="shared" si="11"/>
        <v>10.94</v>
      </c>
      <c r="H26" s="49">
        <f t="shared" si="11"/>
        <v>7761.5199999999995</v>
      </c>
      <c r="I26" s="49">
        <f t="shared" si="11"/>
        <v>159.04</v>
      </c>
      <c r="J26" s="49">
        <f t="shared" si="11"/>
        <v>7920.5599999999995</v>
      </c>
      <c r="K26" s="49">
        <f t="shared" si="11"/>
        <v>36850.97</v>
      </c>
      <c r="L26" s="50">
        <f>SUM(L23:L25)</f>
        <v>21827.075779555555</v>
      </c>
      <c r="M26" s="46"/>
      <c r="N26" s="47"/>
    </row>
    <row r="27" spans="1:18" ht="11.25" customHeight="1" x14ac:dyDescent="0.25">
      <c r="A27" s="39"/>
      <c r="B27" s="29"/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46"/>
      <c r="N27" s="47"/>
    </row>
    <row r="28" spans="1:18" ht="11.25" customHeight="1" thickBot="1" x14ac:dyDescent="0.3">
      <c r="A28" s="34"/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46"/>
      <c r="N28" s="47"/>
    </row>
    <row r="29" spans="1:18" ht="21.6" customHeight="1" x14ac:dyDescent="0.25">
      <c r="A29" s="212" t="s">
        <v>23</v>
      </c>
      <c r="B29" s="212"/>
      <c r="C29" s="50">
        <f t="shared" ref="C29:L29" si="12">C13+C19+C26</f>
        <v>278581</v>
      </c>
      <c r="D29" s="50">
        <f t="shared" si="12"/>
        <v>7083.77</v>
      </c>
      <c r="E29" s="50">
        <f t="shared" si="12"/>
        <v>113.28</v>
      </c>
      <c r="F29" s="50">
        <f t="shared" si="12"/>
        <v>192</v>
      </c>
      <c r="G29" s="50">
        <f t="shared" si="12"/>
        <v>10.94</v>
      </c>
      <c r="H29" s="50">
        <f t="shared" si="12"/>
        <v>68304.899999999994</v>
      </c>
      <c r="I29" s="50">
        <f t="shared" si="12"/>
        <v>1389.1599999999999</v>
      </c>
      <c r="J29" s="50">
        <f t="shared" si="12"/>
        <v>69694.060000000012</v>
      </c>
      <c r="K29" s="50">
        <f t="shared" si="12"/>
        <v>214158.47</v>
      </c>
      <c r="L29" s="50">
        <f t="shared" si="12"/>
        <v>81961.228235111106</v>
      </c>
      <c r="M29" s="46"/>
      <c r="N29" s="47"/>
    </row>
    <row r="30" spans="1:18" ht="10.9" customHeight="1" x14ac:dyDescent="0.25">
      <c r="A30" s="51"/>
      <c r="B30" s="52"/>
      <c r="C30" s="53"/>
      <c r="D30" s="54"/>
      <c r="E30" s="54"/>
      <c r="F30" s="54"/>
      <c r="G30" s="54"/>
      <c r="H30" s="53"/>
      <c r="I30" s="53"/>
      <c r="J30" s="53"/>
      <c r="K30" s="53"/>
      <c r="L30" s="53"/>
      <c r="N30" s="47"/>
    </row>
    <row r="31" spans="1:18" ht="11.25" customHeight="1" x14ac:dyDescent="0.25">
      <c r="A31" s="51"/>
      <c r="B31" s="52"/>
      <c r="C31" s="53"/>
      <c r="D31" s="54"/>
      <c r="E31" s="54"/>
      <c r="F31" s="54"/>
      <c r="G31" s="54"/>
      <c r="H31" s="53"/>
      <c r="I31" s="53"/>
      <c r="J31" s="53"/>
      <c r="K31" s="53"/>
      <c r="L31" s="53"/>
      <c r="M31" s="74"/>
      <c r="N31" s="47"/>
    </row>
    <row r="32" spans="1:18" s="42" customFormat="1" ht="22.5" x14ac:dyDescent="0.25">
      <c r="A32" s="113" t="s">
        <v>37</v>
      </c>
      <c r="B32" s="93" t="s">
        <v>24</v>
      </c>
      <c r="C32" s="15">
        <v>600.30999999999995</v>
      </c>
      <c r="D32" s="14">
        <v>0</v>
      </c>
      <c r="E32" s="14">
        <v>0</v>
      </c>
      <c r="F32" s="14">
        <v>0</v>
      </c>
      <c r="G32" s="14">
        <v>0</v>
      </c>
      <c r="H32" s="15">
        <f>D32+F32+'10-17-19'!H32</f>
        <v>0</v>
      </c>
      <c r="I32" s="15">
        <f>E32+G32+'10-17-19'!I32</f>
        <v>0</v>
      </c>
      <c r="J32" s="14">
        <f t="shared" ref="J32:J38" si="13">H32+I32</f>
        <v>0</v>
      </c>
      <c r="K32" s="14">
        <f t="shared" ref="K32:K38" si="14">C32-J32</f>
        <v>600.30999999999995</v>
      </c>
      <c r="L32" s="15">
        <f t="shared" ref="L32:L39" si="15">C32-((J32/9)*26.0714)</f>
        <v>600.30999999999995</v>
      </c>
      <c r="M32" s="69"/>
      <c r="N32" s="69"/>
      <c r="R32" s="73"/>
    </row>
    <row r="33" spans="1:15" s="24" customFormat="1" ht="11.25" customHeight="1" x14ac:dyDescent="0.25">
      <c r="A33" s="98" t="s">
        <v>52</v>
      </c>
      <c r="B33" s="99" t="s">
        <v>66</v>
      </c>
      <c r="C33" s="14">
        <v>12000</v>
      </c>
      <c r="D33" s="15">
        <v>55</v>
      </c>
      <c r="E33" s="15">
        <v>0.88</v>
      </c>
      <c r="F33" s="15">
        <v>0</v>
      </c>
      <c r="G33" s="15">
        <v>0</v>
      </c>
      <c r="H33" s="15">
        <f>D33+F33+'10-17-19'!H33</f>
        <v>95</v>
      </c>
      <c r="I33" s="15">
        <f>E33+G33+'10-17-19'!I33</f>
        <v>1.52</v>
      </c>
      <c r="J33" s="14">
        <f t="shared" si="13"/>
        <v>96.52</v>
      </c>
      <c r="K33" s="15">
        <f t="shared" si="14"/>
        <v>11903.48</v>
      </c>
      <c r="L33" s="15">
        <f t="shared" si="15"/>
        <v>11720.398719111112</v>
      </c>
      <c r="M33" s="69"/>
      <c r="N33" s="25"/>
    </row>
    <row r="34" spans="1:15" s="24" customFormat="1" ht="11.25" customHeight="1" x14ac:dyDescent="0.25">
      <c r="A34" s="108" t="s">
        <v>61</v>
      </c>
      <c r="B34" s="93" t="s">
        <v>63</v>
      </c>
      <c r="C34" s="15">
        <v>765.34</v>
      </c>
      <c r="D34" s="15">
        <v>0</v>
      </c>
      <c r="E34" s="15">
        <v>0</v>
      </c>
      <c r="F34" s="15">
        <v>0</v>
      </c>
      <c r="G34" s="15">
        <v>0</v>
      </c>
      <c r="H34" s="15">
        <f>D34+F34+'10-17-19'!H34</f>
        <v>277.20000000000005</v>
      </c>
      <c r="I34" s="15">
        <f>E34+G34+'10-17-19'!I34</f>
        <v>15.79</v>
      </c>
      <c r="J34" s="15">
        <f t="shared" si="13"/>
        <v>292.99000000000007</v>
      </c>
      <c r="K34" s="15">
        <f t="shared" si="14"/>
        <v>472.34999999999997</v>
      </c>
      <c r="L34" s="15">
        <f t="shared" si="15"/>
        <v>-83.399942888888972</v>
      </c>
      <c r="M34" s="69"/>
      <c r="N34" s="25"/>
    </row>
    <row r="35" spans="1:15" s="24" customFormat="1" ht="11.25" customHeight="1" x14ac:dyDescent="0.25">
      <c r="A35" s="108" t="s">
        <v>68</v>
      </c>
      <c r="B35" s="93" t="s">
        <v>66</v>
      </c>
      <c r="C35" s="15">
        <v>6353.85</v>
      </c>
      <c r="D35" s="15">
        <f>305.16-55</f>
        <v>250.16000000000003</v>
      </c>
      <c r="E35" s="15">
        <v>4</v>
      </c>
      <c r="F35" s="15">
        <v>0</v>
      </c>
      <c r="G35" s="15">
        <v>0</v>
      </c>
      <c r="H35" s="15">
        <f>D35+F35+'10-17-19'!H35</f>
        <v>1298</v>
      </c>
      <c r="I35" s="15">
        <f>E35+G35+'10-17-19'!I35</f>
        <v>20.74</v>
      </c>
      <c r="J35" s="15">
        <f t="shared" si="13"/>
        <v>1318.74</v>
      </c>
      <c r="K35" s="15">
        <f t="shared" si="14"/>
        <v>5035.1100000000006</v>
      </c>
      <c r="L35" s="15">
        <f t="shared" si="15"/>
        <v>2533.6946626666668</v>
      </c>
      <c r="M35" s="69"/>
      <c r="N35" s="25"/>
    </row>
    <row r="36" spans="1:15" s="24" customFormat="1" ht="11.45" customHeight="1" x14ac:dyDescent="0.25">
      <c r="A36" s="94" t="s">
        <v>36</v>
      </c>
      <c r="B36" s="93" t="s">
        <v>75</v>
      </c>
      <c r="C36" s="95">
        <v>2043</v>
      </c>
      <c r="D36" s="14">
        <v>245.58</v>
      </c>
      <c r="E36" s="14">
        <v>3.92</v>
      </c>
      <c r="F36" s="14">
        <v>900</v>
      </c>
      <c r="G36" s="14">
        <v>51.3</v>
      </c>
      <c r="H36" s="15">
        <f>D36+F36+'10-17-19'!H36</f>
        <v>1824.8799999999999</v>
      </c>
      <c r="I36" s="15">
        <f>E36+G36+'10-17-19'!I36</f>
        <v>66.06</v>
      </c>
      <c r="J36" s="15">
        <f t="shared" si="13"/>
        <v>1890.9399999999998</v>
      </c>
      <c r="K36" s="14">
        <f t="shared" si="14"/>
        <v>152.06000000000017</v>
      </c>
      <c r="L36" s="15">
        <f t="shared" si="15"/>
        <v>-3434.7170128888883</v>
      </c>
      <c r="M36" s="71"/>
      <c r="N36" s="25"/>
    </row>
    <row r="37" spans="1:15" s="25" customFormat="1" ht="11.45" customHeight="1" x14ac:dyDescent="0.25">
      <c r="A37" s="12" t="s">
        <v>42</v>
      </c>
      <c r="B37" s="13" t="s">
        <v>43</v>
      </c>
      <c r="C37" s="95">
        <f>900+1850</f>
        <v>2750</v>
      </c>
      <c r="D37" s="14">
        <v>270</v>
      </c>
      <c r="E37" s="14">
        <v>4.32</v>
      </c>
      <c r="F37" s="14">
        <v>0</v>
      </c>
      <c r="G37" s="14">
        <v>0</v>
      </c>
      <c r="H37" s="15">
        <f>D37+F37+'10-17-19'!H37</f>
        <v>1566.57</v>
      </c>
      <c r="I37" s="15">
        <f>E37+G37+'10-17-19'!I37</f>
        <v>25.03</v>
      </c>
      <c r="J37" s="15">
        <f t="shared" si="13"/>
        <v>1591.6</v>
      </c>
      <c r="K37" s="14">
        <f t="shared" si="14"/>
        <v>1158.4000000000001</v>
      </c>
      <c r="L37" s="15">
        <f t="shared" si="15"/>
        <v>-1860.5822488888889</v>
      </c>
      <c r="M37" s="45"/>
      <c r="N37" s="72"/>
      <c r="O37" s="44"/>
    </row>
    <row r="38" spans="1:15" s="25" customFormat="1" ht="11.45" customHeight="1" x14ac:dyDescent="0.25">
      <c r="A38" s="12" t="s">
        <v>48</v>
      </c>
      <c r="B38" s="13" t="s">
        <v>49</v>
      </c>
      <c r="C38" s="95">
        <v>12366.9</v>
      </c>
      <c r="D38" s="15">
        <v>296.25</v>
      </c>
      <c r="E38" s="15">
        <v>4.74</v>
      </c>
      <c r="F38" s="15">
        <v>0</v>
      </c>
      <c r="G38" s="15">
        <v>0</v>
      </c>
      <c r="H38" s="15">
        <f>D38+F38+'10-17-19'!H38</f>
        <v>3596.25</v>
      </c>
      <c r="I38" s="15">
        <f>E38+G38+'10-17-19'!I38</f>
        <v>57.530000000000008</v>
      </c>
      <c r="J38" s="15">
        <f t="shared" si="13"/>
        <v>3653.78</v>
      </c>
      <c r="K38" s="15">
        <f t="shared" si="14"/>
        <v>8713.119999999999</v>
      </c>
      <c r="L38" s="15">
        <f t="shared" si="15"/>
        <v>1782.548900888889</v>
      </c>
      <c r="M38" s="69"/>
      <c r="N38" s="55"/>
    </row>
    <row r="39" spans="1:15" s="25" customFormat="1" ht="11.45" customHeight="1" x14ac:dyDescent="0.25">
      <c r="A39" s="40" t="s">
        <v>26</v>
      </c>
      <c r="B39" s="41" t="s">
        <v>47</v>
      </c>
      <c r="C39" s="66">
        <v>15220</v>
      </c>
      <c r="D39" s="15">
        <v>0</v>
      </c>
      <c r="E39" s="15">
        <v>0</v>
      </c>
      <c r="F39" s="15">
        <v>0</v>
      </c>
      <c r="G39" s="15">
        <v>0</v>
      </c>
      <c r="H39" s="15">
        <f>D39+F39+'10-17-19'!H39</f>
        <v>1184.4000000000001</v>
      </c>
      <c r="I39" s="15">
        <f>E39+G39+'10-17-19'!I39</f>
        <v>67.490000000000009</v>
      </c>
      <c r="J39" s="15">
        <f>H39+I39</f>
        <v>1251.8900000000001</v>
      </c>
      <c r="K39" s="14">
        <f>C39-J39</f>
        <v>13968.11</v>
      </c>
      <c r="L39" s="15">
        <f t="shared" si="15"/>
        <v>11593.497228222222</v>
      </c>
      <c r="M39" s="109"/>
      <c r="N39" s="55"/>
    </row>
    <row r="40" spans="1:15" ht="21.6" customHeight="1" x14ac:dyDescent="0.25">
      <c r="A40" s="206" t="s">
        <v>27</v>
      </c>
      <c r="B40" s="207"/>
      <c r="C40" s="15">
        <f>SUM(C32:C39)</f>
        <v>52099.4</v>
      </c>
      <c r="D40" s="15">
        <f>SUM(D32:D39)</f>
        <v>1116.99</v>
      </c>
      <c r="E40" s="15">
        <f>SUM(E32:E39)</f>
        <v>17.86</v>
      </c>
      <c r="F40" s="15">
        <f>SUM(F32:F39)</f>
        <v>900</v>
      </c>
      <c r="G40" s="15">
        <f>SUM(G32:G39)</f>
        <v>51.3</v>
      </c>
      <c r="H40" s="15">
        <f>SUM(H32, H33:H39)</f>
        <v>9842.2999999999993</v>
      </c>
      <c r="I40" s="15">
        <f>SUM(I32, I33:I39)</f>
        <v>254.16</v>
      </c>
      <c r="J40" s="15">
        <f>SUM(J32, J33:J39)</f>
        <v>10096.459999999999</v>
      </c>
      <c r="K40" s="15">
        <f>SUM(K32, K33:K39)</f>
        <v>42002.94</v>
      </c>
      <c r="L40" s="15">
        <f>SUM(L32, L33:L39)</f>
        <v>22851.750306222224</v>
      </c>
      <c r="M40" s="45"/>
    </row>
    <row r="41" spans="1:15" ht="10.9" customHeight="1" x14ac:dyDescent="0.25">
      <c r="A41" s="51"/>
      <c r="B41" s="52"/>
      <c r="C41" s="53"/>
      <c r="D41" s="54"/>
      <c r="E41" s="54"/>
      <c r="F41" s="54"/>
      <c r="G41" s="54"/>
      <c r="H41" s="53"/>
      <c r="I41" s="53"/>
      <c r="J41" s="53"/>
      <c r="K41" s="53"/>
      <c r="L41" s="53"/>
      <c r="M41" s="46"/>
      <c r="N41" s="25"/>
    </row>
    <row r="42" spans="1:15" ht="10.9" customHeight="1" x14ac:dyDescent="0.25">
      <c r="A42" s="51"/>
      <c r="B42" s="52"/>
      <c r="C42" s="53"/>
      <c r="D42" s="54"/>
      <c r="E42" s="54"/>
      <c r="F42" s="54"/>
      <c r="G42" s="54"/>
      <c r="H42" s="53"/>
      <c r="I42" s="53"/>
      <c r="J42" s="53"/>
      <c r="K42" s="53"/>
      <c r="L42" s="53"/>
      <c r="M42" s="46"/>
      <c r="N42" s="47"/>
    </row>
    <row r="43" spans="1:15" ht="10.9" customHeight="1" x14ac:dyDescent="0.25">
      <c r="A43" s="12" t="s">
        <v>28</v>
      </c>
      <c r="B43" s="13" t="s">
        <v>29</v>
      </c>
      <c r="C43" s="95">
        <f>61895+688</f>
        <v>62583</v>
      </c>
      <c r="D43" s="14">
        <v>1090.54</v>
      </c>
      <c r="E43" s="14">
        <v>17.440000000000001</v>
      </c>
      <c r="F43" s="14">
        <v>636.24</v>
      </c>
      <c r="G43" s="14">
        <v>36.26</v>
      </c>
      <c r="H43" s="15">
        <f>D43+F43+'10-17-19'!H43</f>
        <v>16218.82</v>
      </c>
      <c r="I43" s="15">
        <f>E43+G43+'10-17-19'!I43</f>
        <v>583.01</v>
      </c>
      <c r="J43" s="15">
        <f>H43+I43</f>
        <v>16801.829999999998</v>
      </c>
      <c r="K43" s="14">
        <f>C43-J43</f>
        <v>45781.17</v>
      </c>
      <c r="L43" s="15">
        <f>C43-((J43/9)*26.0714)</f>
        <v>13911.085482000002</v>
      </c>
      <c r="N43" s="56"/>
    </row>
    <row r="44" spans="1:15" ht="21.6" customHeight="1" x14ac:dyDescent="0.25">
      <c r="A44" s="57" t="s">
        <v>30</v>
      </c>
      <c r="B44" s="58"/>
      <c r="C44" s="59">
        <f>C43</f>
        <v>62583</v>
      </c>
      <c r="D44" s="59">
        <f t="shared" ref="D44:L44" si="16">D43</f>
        <v>1090.54</v>
      </c>
      <c r="E44" s="59">
        <f t="shared" si="16"/>
        <v>17.440000000000001</v>
      </c>
      <c r="F44" s="59">
        <f t="shared" si="16"/>
        <v>636.24</v>
      </c>
      <c r="G44" s="59">
        <f t="shared" si="16"/>
        <v>36.26</v>
      </c>
      <c r="H44" s="59">
        <f t="shared" si="16"/>
        <v>16218.82</v>
      </c>
      <c r="I44" s="59">
        <f t="shared" si="16"/>
        <v>583.01</v>
      </c>
      <c r="J44" s="59">
        <f t="shared" si="16"/>
        <v>16801.829999999998</v>
      </c>
      <c r="K44" s="59">
        <f t="shared" si="16"/>
        <v>45781.17</v>
      </c>
      <c r="L44" s="59">
        <f t="shared" si="16"/>
        <v>13911.085482000002</v>
      </c>
    </row>
    <row r="45" spans="1:15" ht="10.9" customHeight="1" x14ac:dyDescent="0.25">
      <c r="A45" s="51"/>
      <c r="B45" s="52"/>
      <c r="C45" s="53"/>
      <c r="D45" s="54"/>
      <c r="E45" s="54"/>
      <c r="F45" s="54"/>
      <c r="G45" s="54"/>
      <c r="H45" s="53"/>
      <c r="I45" s="53"/>
      <c r="J45" s="53"/>
      <c r="K45" s="53"/>
      <c r="L45" s="53"/>
    </row>
    <row r="46" spans="1:15" ht="10.9" customHeight="1" x14ac:dyDescent="0.25">
      <c r="A46" s="51"/>
      <c r="B46" s="52"/>
      <c r="C46" s="53"/>
      <c r="D46" s="54"/>
      <c r="E46" s="54"/>
      <c r="F46" s="54"/>
      <c r="G46" s="54"/>
      <c r="H46" s="53"/>
      <c r="I46" s="53"/>
      <c r="J46" s="53"/>
      <c r="K46" s="53"/>
      <c r="L46" s="53"/>
      <c r="M46" s="46"/>
    </row>
    <row r="47" spans="1:15" ht="10.9" customHeight="1" x14ac:dyDescent="0.25">
      <c r="A47" s="40" t="s">
        <v>31</v>
      </c>
      <c r="B47" s="41">
        <v>55180000</v>
      </c>
      <c r="C47" s="95">
        <v>37736</v>
      </c>
      <c r="D47" s="14">
        <v>0</v>
      </c>
      <c r="E47" s="14">
        <v>0</v>
      </c>
      <c r="F47" s="14">
        <v>416.67</v>
      </c>
      <c r="G47" s="14">
        <v>23.75</v>
      </c>
      <c r="H47" s="15">
        <f>D47+F47+'10-17-19'!H47</f>
        <v>3816.85</v>
      </c>
      <c r="I47" s="15">
        <f>E47+G47+'10-17-19'!I47</f>
        <v>217.51</v>
      </c>
      <c r="J47" s="15">
        <f>H47+I47</f>
        <v>4034.3599999999997</v>
      </c>
      <c r="K47" s="14">
        <f>C47-J47</f>
        <v>33701.64</v>
      </c>
      <c r="L47" s="15">
        <f>C47-((J47/9)*26.0714)</f>
        <v>26049.176299555555</v>
      </c>
      <c r="N47" s="60"/>
    </row>
    <row r="48" spans="1:15" s="43" customFormat="1" ht="21.6" customHeight="1" x14ac:dyDescent="0.25">
      <c r="A48" s="206" t="s">
        <v>32</v>
      </c>
      <c r="B48" s="207"/>
      <c r="C48" s="15">
        <f>SUM(C47)</f>
        <v>37736</v>
      </c>
      <c r="D48" s="15">
        <f t="shared" ref="D48:L48" si="17">SUM(D47)</f>
        <v>0</v>
      </c>
      <c r="E48" s="15">
        <f t="shared" si="17"/>
        <v>0</v>
      </c>
      <c r="F48" s="15">
        <f t="shared" si="17"/>
        <v>416.67</v>
      </c>
      <c r="G48" s="15">
        <f t="shared" si="17"/>
        <v>23.75</v>
      </c>
      <c r="H48" s="15">
        <f t="shared" si="17"/>
        <v>3816.85</v>
      </c>
      <c r="I48" s="15">
        <f t="shared" si="17"/>
        <v>217.51</v>
      </c>
      <c r="J48" s="15">
        <f t="shared" si="17"/>
        <v>4034.3599999999997</v>
      </c>
      <c r="K48" s="15">
        <f t="shared" si="17"/>
        <v>33701.64</v>
      </c>
      <c r="L48" s="15">
        <f t="shared" si="17"/>
        <v>26049.176299555555</v>
      </c>
      <c r="M48" s="45"/>
      <c r="N48" s="5"/>
    </row>
    <row r="49" spans="1:16" s="43" customFormat="1" ht="11.25" customHeigh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"/>
      <c r="N49" s="25"/>
    </row>
    <row r="50" spans="1:16" s="26" customFormat="1" ht="10.9" customHeight="1" x14ac:dyDescent="0.25">
      <c r="A50" s="205" t="s">
        <v>51</v>
      </c>
      <c r="B50" s="205"/>
      <c r="C50" s="205"/>
      <c r="D50" s="205"/>
      <c r="E50" s="205"/>
      <c r="F50" s="205"/>
      <c r="G50" s="83">
        <v>688</v>
      </c>
      <c r="M50" s="4"/>
      <c r="N50" s="5"/>
      <c r="O50" s="5"/>
      <c r="P50" s="5"/>
    </row>
    <row r="51" spans="1:16" s="26" customFormat="1" ht="10.9" customHeight="1" x14ac:dyDescent="0.25">
      <c r="A51" s="205" t="s">
        <v>55</v>
      </c>
      <c r="B51" s="205"/>
      <c r="C51" s="205"/>
      <c r="D51" s="205"/>
      <c r="E51" s="205"/>
      <c r="F51" s="205"/>
      <c r="G51" s="83">
        <v>12000</v>
      </c>
      <c r="M51" s="4"/>
      <c r="N51" s="5"/>
      <c r="O51" s="5"/>
      <c r="P51" s="5"/>
    </row>
    <row r="52" spans="1:16" s="26" customFormat="1" ht="10.9" customHeight="1" x14ac:dyDescent="0.25">
      <c r="A52" s="205" t="s">
        <v>57</v>
      </c>
      <c r="B52" s="205"/>
      <c r="C52" s="205"/>
      <c r="D52" s="205"/>
      <c r="E52" s="205"/>
      <c r="F52" s="205"/>
      <c r="G52" s="83">
        <v>2376</v>
      </c>
      <c r="M52" s="4"/>
      <c r="N52" s="5"/>
      <c r="O52" s="5"/>
      <c r="P52" s="5"/>
    </row>
    <row r="53" spans="1:16" s="26" customFormat="1" ht="10.9" customHeight="1" x14ac:dyDescent="0.25">
      <c r="A53" s="205" t="s">
        <v>57</v>
      </c>
      <c r="B53" s="205"/>
      <c r="C53" s="205"/>
      <c r="D53" s="205"/>
      <c r="E53" s="205"/>
      <c r="F53" s="205"/>
      <c r="G53" s="83">
        <v>2624</v>
      </c>
      <c r="M53" s="4"/>
      <c r="N53" s="5"/>
      <c r="O53" s="5"/>
      <c r="P53" s="5"/>
    </row>
    <row r="54" spans="1:16" s="26" customFormat="1" ht="10.9" customHeight="1" x14ac:dyDescent="0.25">
      <c r="A54" s="205" t="s">
        <v>58</v>
      </c>
      <c r="B54" s="205"/>
      <c r="C54" s="205"/>
      <c r="D54" s="205"/>
      <c r="E54" s="205"/>
      <c r="F54" s="205"/>
      <c r="G54" s="103">
        <v>2624</v>
      </c>
      <c r="M54" s="4"/>
      <c r="N54" s="5"/>
      <c r="O54" s="5"/>
      <c r="P54" s="5"/>
    </row>
    <row r="55" spans="1:16" s="26" customFormat="1" ht="10.9" customHeight="1" x14ac:dyDescent="0.25">
      <c r="A55" s="205" t="s">
        <v>60</v>
      </c>
      <c r="B55" s="205"/>
      <c r="C55" s="205"/>
      <c r="D55" s="205"/>
      <c r="E55" s="205"/>
      <c r="F55" s="205"/>
      <c r="G55" s="83">
        <v>5271.53</v>
      </c>
      <c r="M55" s="4"/>
      <c r="N55" s="5"/>
      <c r="O55" s="5"/>
      <c r="P55" s="5"/>
    </row>
    <row r="56" spans="1:16" s="26" customFormat="1" ht="10.9" customHeight="1" x14ac:dyDescent="0.25">
      <c r="A56" s="205" t="s">
        <v>62</v>
      </c>
      <c r="B56" s="205"/>
      <c r="C56" s="205"/>
      <c r="D56" s="205"/>
      <c r="E56" s="205"/>
      <c r="F56" s="205"/>
      <c r="G56" s="83">
        <v>765.34</v>
      </c>
      <c r="M56" s="4"/>
      <c r="N56" s="5"/>
      <c r="O56" s="5"/>
      <c r="P56" s="5"/>
    </row>
    <row r="57" spans="1:16" s="26" customFormat="1" ht="10.9" customHeight="1" x14ac:dyDescent="0.25">
      <c r="A57" s="205" t="s">
        <v>67</v>
      </c>
      <c r="B57" s="205"/>
      <c r="C57" s="205"/>
      <c r="D57" s="205"/>
      <c r="E57" s="205"/>
      <c r="F57" s="205"/>
      <c r="G57" s="83">
        <v>6353.95</v>
      </c>
      <c r="M57" s="4"/>
      <c r="N57" s="5"/>
      <c r="O57" s="5"/>
      <c r="P57" s="5"/>
    </row>
    <row r="58" spans="1:16" s="26" customFormat="1" ht="10.9" customHeight="1" x14ac:dyDescent="0.25">
      <c r="A58" s="205" t="s">
        <v>69</v>
      </c>
      <c r="B58" s="205"/>
      <c r="C58" s="205"/>
      <c r="D58" s="205"/>
      <c r="E58" s="205"/>
      <c r="F58" s="205"/>
      <c r="G58" s="83">
        <v>15220</v>
      </c>
      <c r="M58" s="4"/>
      <c r="N58" s="5"/>
      <c r="O58" s="5"/>
      <c r="P58" s="5"/>
    </row>
    <row r="59" spans="1:16" s="26" customFormat="1" ht="10.5" customHeight="1" x14ac:dyDescent="0.25">
      <c r="A59" s="205" t="s">
        <v>73</v>
      </c>
      <c r="B59" s="205"/>
      <c r="C59" s="205"/>
      <c r="D59" s="205"/>
      <c r="E59" s="205"/>
      <c r="F59" s="205"/>
      <c r="G59" s="83">
        <v>1850</v>
      </c>
      <c r="M59" s="4"/>
      <c r="N59" s="5"/>
      <c r="O59" s="5"/>
      <c r="P59" s="5"/>
    </row>
    <row r="60" spans="1:16" ht="10.5" customHeight="1" x14ac:dyDescent="0.25">
      <c r="A60" s="205" t="s">
        <v>74</v>
      </c>
      <c r="B60" s="205"/>
      <c r="C60" s="205"/>
      <c r="D60" s="205"/>
      <c r="E60" s="205"/>
      <c r="F60" s="205"/>
      <c r="G60" s="83">
        <v>800</v>
      </c>
    </row>
  </sheetData>
  <mergeCells count="17">
    <mergeCell ref="A55:F55"/>
    <mergeCell ref="A13:B13"/>
    <mergeCell ref="A19:B19"/>
    <mergeCell ref="A26:B26"/>
    <mergeCell ref="A29:B29"/>
    <mergeCell ref="A40:B40"/>
    <mergeCell ref="A48:B48"/>
    <mergeCell ref="A50:F50"/>
    <mergeCell ref="A51:F51"/>
    <mergeCell ref="A52:F52"/>
    <mergeCell ref="A53:F53"/>
    <mergeCell ref="A54:F54"/>
    <mergeCell ref="A56:F56"/>
    <mergeCell ref="A57:F57"/>
    <mergeCell ref="A58:F58"/>
    <mergeCell ref="A59:F59"/>
    <mergeCell ref="A60:F60"/>
  </mergeCells>
  <pageMargins left="0.25" right="0" top="0.4" bottom="0" header="0.3" footer="0"/>
  <pageSetup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</vt:i4>
      </vt:variant>
    </vt:vector>
  </HeadingPairs>
  <TitlesOfParts>
    <vt:vector size="53" baseType="lpstr">
      <vt:lpstr>7-11-19</vt:lpstr>
      <vt:lpstr>7-25-19</vt:lpstr>
      <vt:lpstr>08-08-19</vt:lpstr>
      <vt:lpstr>08-22-19</vt:lpstr>
      <vt:lpstr>09-05-19</vt:lpstr>
      <vt:lpstr>09-19-19</vt:lpstr>
      <vt:lpstr>10-03-19</vt:lpstr>
      <vt:lpstr>10-17-19</vt:lpstr>
      <vt:lpstr>10-31-19</vt:lpstr>
      <vt:lpstr>11-14-19</vt:lpstr>
      <vt:lpstr>11-28-19</vt:lpstr>
      <vt:lpstr>12-12-19</vt:lpstr>
      <vt:lpstr>12-26-19</vt:lpstr>
      <vt:lpstr>01-09-20</vt:lpstr>
      <vt:lpstr>01-23-20</vt:lpstr>
      <vt:lpstr>02-06-20</vt:lpstr>
      <vt:lpstr>02-20-20</vt:lpstr>
      <vt:lpstr>03-05-20</vt:lpstr>
      <vt:lpstr>03-19-20</vt:lpstr>
      <vt:lpstr>04-02-20</vt:lpstr>
      <vt:lpstr>04-16-20</vt:lpstr>
      <vt:lpstr>04-30-20</vt:lpstr>
      <vt:lpstr>05-14-20</vt:lpstr>
      <vt:lpstr>05-28-20</vt:lpstr>
      <vt:lpstr>06-11-20</vt:lpstr>
      <vt:lpstr>06-25-20</vt:lpstr>
      <vt:lpstr>06-30-20 FINAL</vt:lpstr>
      <vt:lpstr>'01-09-20'!Print_Area</vt:lpstr>
      <vt:lpstr>'01-23-20'!Print_Area</vt:lpstr>
      <vt:lpstr>'02-06-20'!Print_Area</vt:lpstr>
      <vt:lpstr>'02-20-20'!Print_Area</vt:lpstr>
      <vt:lpstr>'03-05-20'!Print_Area</vt:lpstr>
      <vt:lpstr>'03-19-20'!Print_Area</vt:lpstr>
      <vt:lpstr>'04-02-20'!Print_Area</vt:lpstr>
      <vt:lpstr>'04-16-20'!Print_Area</vt:lpstr>
      <vt:lpstr>'04-30-20'!Print_Area</vt:lpstr>
      <vt:lpstr>'05-14-20'!Print_Area</vt:lpstr>
      <vt:lpstr>'05-28-20'!Print_Area</vt:lpstr>
      <vt:lpstr>'06-11-20'!Print_Area</vt:lpstr>
      <vt:lpstr>'06-25-20'!Print_Area</vt:lpstr>
      <vt:lpstr>'06-30-20 FINAL'!Print_Area</vt:lpstr>
      <vt:lpstr>'08-08-19'!Print_Area</vt:lpstr>
      <vt:lpstr>'08-22-19'!Print_Area</vt:lpstr>
      <vt:lpstr>'09-05-19'!Print_Area</vt:lpstr>
      <vt:lpstr>'09-19-19'!Print_Area</vt:lpstr>
      <vt:lpstr>'10-03-19'!Print_Area</vt:lpstr>
      <vt:lpstr>'10-17-19'!Print_Area</vt:lpstr>
      <vt:lpstr>'10-31-19'!Print_Area</vt:lpstr>
      <vt:lpstr>'11-14-19'!Print_Area</vt:lpstr>
      <vt:lpstr>'11-28-19'!Print_Area</vt:lpstr>
      <vt:lpstr>'12-12-19'!Print_Area</vt:lpstr>
      <vt:lpstr>'12-26-19'!Print_Area</vt:lpstr>
      <vt:lpstr>'7-25-19'!Print_Area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Krueger, Gregory</dc:creator>
  <cp:lastModifiedBy>Krueger, Gregory</cp:lastModifiedBy>
  <cp:lastPrinted>2020-01-30T12:57:06Z</cp:lastPrinted>
  <dcterms:created xsi:type="dcterms:W3CDTF">2018-06-15T13:37:27Z</dcterms:created>
  <dcterms:modified xsi:type="dcterms:W3CDTF">2020-07-20T14:02:56Z</dcterms:modified>
</cp:coreProperties>
</file>