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6"/>
  <workbookPr/>
  <mc:AlternateContent xmlns:mc="http://schemas.openxmlformats.org/markup-compatibility/2006">
    <mc:Choice Requires="x15">
      <x15ac:absPath xmlns:x15ac="http://schemas.microsoft.com/office/spreadsheetml/2010/11/ac" url="C:\Users\g.krueger\OneDrive - University of Florida\Desktop\"/>
    </mc:Choice>
  </mc:AlternateContent>
  <xr:revisionPtr revIDLastSave="2" documentId="13_ncr:1_{CD7A8581-C928-4339-96A9-EBE29F52624F}" xr6:coauthVersionLast="36" xr6:coauthVersionMax="36" xr10:uidLastSave="{80C27255-E813-4C5C-BB3B-BDC7616DFF36}"/>
  <bookViews>
    <workbookView xWindow="0" yWindow="0" windowWidth="21570" windowHeight="7980" firstSheet="16" activeTab="26" xr2:uid="{00000000-000D-0000-FFFF-FFFF00000000}"/>
  </bookViews>
  <sheets>
    <sheet name="07-09-20" sheetId="1" r:id="rId1"/>
    <sheet name="07-23-20" sheetId="2" r:id="rId2"/>
    <sheet name="08-06-20" sheetId="3" r:id="rId3"/>
    <sheet name="08-20-20" sheetId="4" r:id="rId4"/>
    <sheet name="09-03-20" sheetId="5" r:id="rId5"/>
    <sheet name="09-17-20" sheetId="6" r:id="rId6"/>
    <sheet name="10-01-20" sheetId="7" r:id="rId7"/>
    <sheet name="10-15-20" sheetId="8" r:id="rId8"/>
    <sheet name="10-29-20" sheetId="9" r:id="rId9"/>
    <sheet name="11-12-20" sheetId="10" r:id="rId10"/>
    <sheet name="11-26-20" sheetId="11" r:id="rId11"/>
    <sheet name="12-10-20" sheetId="12" r:id="rId12"/>
    <sheet name="12-24-20" sheetId="13" r:id="rId13"/>
    <sheet name="01-07-21" sheetId="14" r:id="rId14"/>
    <sheet name="01-21-21" sheetId="15" r:id="rId15"/>
    <sheet name="02-04-21" sheetId="17" r:id="rId16"/>
    <sheet name="02-18-21" sheetId="18" r:id="rId17"/>
    <sheet name="03-04-21" sheetId="19" r:id="rId18"/>
    <sheet name="03-18-21" sheetId="20" r:id="rId19"/>
    <sheet name="04-01-21" sheetId="21" r:id="rId20"/>
    <sheet name="04-15-21" sheetId="22" r:id="rId21"/>
    <sheet name="04-29-21" sheetId="23" r:id="rId22"/>
    <sheet name="05-13-21" sheetId="24" r:id="rId23"/>
    <sheet name="05-27-21" sheetId="25" r:id="rId24"/>
    <sheet name="06-10-21" sheetId="26" r:id="rId25"/>
    <sheet name="06-24-21" sheetId="27" r:id="rId26"/>
    <sheet name="06-30-21" sheetId="28" r:id="rId27"/>
  </sheets>
  <definedNames>
    <definedName name="_xlnm.Print_Area" localSheetId="13">'01-07-21'!$A$1:$L$59</definedName>
    <definedName name="_xlnm.Print_Area" localSheetId="14">'01-21-21'!$A$1:$L$59</definedName>
    <definedName name="_xlnm.Print_Area" localSheetId="15">'02-04-21'!$A$1:$L$59</definedName>
    <definedName name="_xlnm.Print_Area" localSheetId="16">'02-18-21'!$A$1:$L$60</definedName>
    <definedName name="_xlnm.Print_Area" localSheetId="17">'03-04-21'!$A$1:$L$60</definedName>
    <definedName name="_xlnm.Print_Area" localSheetId="18">'03-18-21'!$A$1:$L$60</definedName>
    <definedName name="_xlnm.Print_Area" localSheetId="19">'04-01-21'!$A$1:$L$60</definedName>
    <definedName name="_xlnm.Print_Area" localSheetId="20">'04-15-21'!$A$1:$L$61</definedName>
    <definedName name="_xlnm.Print_Area" localSheetId="21">'04-29-21'!$A$1:$L$62</definedName>
    <definedName name="_xlnm.Print_Area" localSheetId="22">'05-13-21'!$A$1:$L$63</definedName>
    <definedName name="_xlnm.Print_Area" localSheetId="23">'05-27-21'!$A$1:$L$63</definedName>
    <definedName name="_xlnm.Print_Area" localSheetId="24">'06-10-21'!$A$1:$L$63</definedName>
    <definedName name="_xlnm.Print_Area" localSheetId="25">'06-24-21'!$A$1:$L$64</definedName>
    <definedName name="_xlnm.Print_Area" localSheetId="26">'06-30-21'!$A$1:$L$64</definedName>
    <definedName name="_xlnm.Print_Area" localSheetId="0">'07-09-20'!$A$1:$L$53</definedName>
    <definedName name="_xlnm.Print_Area" localSheetId="1">'07-23-20'!$A$1:$L$55</definedName>
    <definedName name="_xlnm.Print_Area" localSheetId="2">'08-06-20'!$A$1:$L$56</definedName>
    <definedName name="_xlnm.Print_Area" localSheetId="3">'08-20-20'!$A$1:$L$56</definedName>
    <definedName name="_xlnm.Print_Area" localSheetId="4">'09-03-20'!$A$1:$L$56</definedName>
    <definedName name="_xlnm.Print_Area" localSheetId="5">'09-17-20'!$A$1:$L$56</definedName>
    <definedName name="_xlnm.Print_Area" localSheetId="6">'10-01-20'!$A$1:$L$56</definedName>
    <definedName name="_xlnm.Print_Area" localSheetId="7">'10-15-20'!$A$1:$L$57</definedName>
    <definedName name="_xlnm.Print_Area" localSheetId="8">'10-29-20'!$A$1:$L$59</definedName>
    <definedName name="_xlnm.Print_Area" localSheetId="9">'11-12-20'!$A$1:$L$59</definedName>
    <definedName name="_xlnm.Print_Area" localSheetId="10">'11-26-20'!$A$1:$L$59</definedName>
    <definedName name="_xlnm.Print_Area" localSheetId="11">'12-10-20'!$A$1:$L$59</definedName>
    <definedName name="_xlnm.Print_Area" localSheetId="12">'12-24-20'!$A$1:$L$59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9" i="28" l="1"/>
  <c r="C39" i="27"/>
  <c r="C39" i="26"/>
  <c r="C39" i="25"/>
  <c r="C39" i="24"/>
  <c r="C38" i="23"/>
  <c r="C37" i="22"/>
  <c r="C37" i="21"/>
  <c r="C34" i="10"/>
  <c r="H33" i="3"/>
  <c r="J33" i="3" s="1"/>
  <c r="C36" i="28"/>
  <c r="C36" i="27"/>
  <c r="C36" i="26"/>
  <c r="C36" i="25"/>
  <c r="C36" i="24"/>
  <c r="C35" i="23"/>
  <c r="C34" i="22"/>
  <c r="C34" i="21"/>
  <c r="C34" i="20"/>
  <c r="C34" i="19"/>
  <c r="C34" i="18"/>
  <c r="C34" i="17"/>
  <c r="C34" i="15"/>
  <c r="C34" i="14"/>
  <c r="C34" i="13"/>
  <c r="C34" i="12"/>
  <c r="C34" i="11"/>
  <c r="C34" i="9"/>
  <c r="C33" i="8"/>
  <c r="C33" i="7"/>
  <c r="C33" i="6"/>
  <c r="C33" i="5"/>
  <c r="C33" i="4"/>
  <c r="C33" i="3"/>
  <c r="C32" i="2"/>
  <c r="C52" i="28" l="1"/>
  <c r="I59" i="28" l="1"/>
  <c r="H59" i="28"/>
  <c r="I54" i="28"/>
  <c r="H54" i="28"/>
  <c r="I53" i="28"/>
  <c r="H53" i="28"/>
  <c r="I52" i="28"/>
  <c r="H52" i="28"/>
  <c r="I51" i="28"/>
  <c r="H51" i="28"/>
  <c r="I42" i="28"/>
  <c r="H42" i="28"/>
  <c r="J42" i="28" s="1"/>
  <c r="L42" i="28" s="1"/>
  <c r="I9" i="28"/>
  <c r="H9" i="28"/>
  <c r="I5" i="28"/>
  <c r="H5" i="28"/>
  <c r="G64" i="28"/>
  <c r="F64" i="28"/>
  <c r="E64" i="28"/>
  <c r="D64" i="28"/>
  <c r="C63" i="28"/>
  <c r="C64" i="28" s="1"/>
  <c r="G60" i="28"/>
  <c r="F60" i="28"/>
  <c r="E60" i="28"/>
  <c r="D60" i="28"/>
  <c r="C60" i="28"/>
  <c r="C51" i="28"/>
  <c r="C46" i="28"/>
  <c r="C44" i="28"/>
  <c r="C43" i="28"/>
  <c r="C55" i="28"/>
  <c r="G29" i="28"/>
  <c r="F29" i="28"/>
  <c r="E29" i="28"/>
  <c r="D29" i="28"/>
  <c r="C29" i="28"/>
  <c r="C28" i="28"/>
  <c r="G22" i="28"/>
  <c r="F22" i="28"/>
  <c r="E22" i="28"/>
  <c r="D22" i="28"/>
  <c r="C22" i="28"/>
  <c r="C20" i="28"/>
  <c r="G16" i="28"/>
  <c r="F16" i="28"/>
  <c r="F32" i="28" s="1"/>
  <c r="C14" i="28"/>
  <c r="C13" i="28"/>
  <c r="C11" i="28"/>
  <c r="D16" i="28"/>
  <c r="C8" i="28"/>
  <c r="C7" i="28"/>
  <c r="C6" i="28"/>
  <c r="C4" i="28"/>
  <c r="J59" i="28" l="1"/>
  <c r="L59" i="28" s="1"/>
  <c r="J9" i="28"/>
  <c r="L9" i="28" s="1"/>
  <c r="J52" i="28"/>
  <c r="K52" i="28" s="1"/>
  <c r="J54" i="28"/>
  <c r="L54" i="28" s="1"/>
  <c r="J53" i="28"/>
  <c r="L53" i="28" s="1"/>
  <c r="J5" i="28"/>
  <c r="L5" i="28" s="1"/>
  <c r="G32" i="28"/>
  <c r="J51" i="28"/>
  <c r="L51" i="28" s="1"/>
  <c r="D32" i="28"/>
  <c r="K42" i="28"/>
  <c r="K59" i="28"/>
  <c r="C16" i="28"/>
  <c r="C32" i="28" s="1"/>
  <c r="E16" i="28"/>
  <c r="E32" i="28" s="1"/>
  <c r="K51" i="28"/>
  <c r="E58" i="27"/>
  <c r="D58" i="27"/>
  <c r="E11" i="27"/>
  <c r="D11" i="27"/>
  <c r="E8" i="27"/>
  <c r="D8" i="27"/>
  <c r="K9" i="28" l="1"/>
  <c r="L52" i="28"/>
  <c r="K54" i="28"/>
  <c r="K53" i="28"/>
  <c r="K5" i="28"/>
  <c r="C46" i="27"/>
  <c r="C43" i="27" l="1"/>
  <c r="I54" i="27" l="1"/>
  <c r="H54" i="27"/>
  <c r="I59" i="27"/>
  <c r="H59" i="27"/>
  <c r="I53" i="27"/>
  <c r="H53" i="27"/>
  <c r="I52" i="27"/>
  <c r="H52" i="27"/>
  <c r="I51" i="27"/>
  <c r="H51" i="27"/>
  <c r="I42" i="27"/>
  <c r="H42" i="27"/>
  <c r="I9" i="27"/>
  <c r="H9" i="27"/>
  <c r="I5" i="27"/>
  <c r="H5" i="27"/>
  <c r="G64" i="27"/>
  <c r="F64" i="27"/>
  <c r="E64" i="27"/>
  <c r="D64" i="27"/>
  <c r="C63" i="27"/>
  <c r="C64" i="27" s="1"/>
  <c r="G60" i="27"/>
  <c r="F60" i="27"/>
  <c r="E60" i="27"/>
  <c r="C60" i="27"/>
  <c r="D60" i="27"/>
  <c r="C52" i="27"/>
  <c r="C51" i="27"/>
  <c r="C44" i="27"/>
  <c r="C55" i="27"/>
  <c r="G29" i="27"/>
  <c r="F29" i="27"/>
  <c r="E29" i="27"/>
  <c r="D29" i="27"/>
  <c r="C29" i="27"/>
  <c r="C28" i="27"/>
  <c r="G22" i="27"/>
  <c r="F22" i="27"/>
  <c r="E22" i="27"/>
  <c r="D22" i="27"/>
  <c r="C20" i="27"/>
  <c r="C22" i="27" s="1"/>
  <c r="G16" i="27"/>
  <c r="F16" i="27"/>
  <c r="E16" i="27"/>
  <c r="C14" i="27"/>
  <c r="C13" i="27"/>
  <c r="C11" i="27"/>
  <c r="C8" i="27"/>
  <c r="D16" i="27"/>
  <c r="C7" i="27"/>
  <c r="C6" i="27"/>
  <c r="C4" i="27"/>
  <c r="C16" i="27" s="1"/>
  <c r="C32" i="27" s="1"/>
  <c r="J59" i="27" l="1"/>
  <c r="L59" i="27" s="1"/>
  <c r="J51" i="27"/>
  <c r="L51" i="27" s="1"/>
  <c r="J9" i="27"/>
  <c r="L9" i="27" s="1"/>
  <c r="J54" i="27"/>
  <c r="L54" i="27" s="1"/>
  <c r="K9" i="27"/>
  <c r="J42" i="27"/>
  <c r="L42" i="27" s="1"/>
  <c r="J53" i="27"/>
  <c r="J52" i="27"/>
  <c r="L52" i="27" s="1"/>
  <c r="F32" i="27"/>
  <c r="G32" i="27"/>
  <c r="E32" i="27"/>
  <c r="J5" i="27"/>
  <c r="L5" i="27" s="1"/>
  <c r="D32" i="27"/>
  <c r="K59" i="27"/>
  <c r="E57" i="26"/>
  <c r="D57" i="26"/>
  <c r="E13" i="26"/>
  <c r="D13" i="26"/>
  <c r="E11" i="26"/>
  <c r="D11" i="26"/>
  <c r="E7" i="26"/>
  <c r="D7" i="26"/>
  <c r="K51" i="27" l="1"/>
  <c r="K42" i="27"/>
  <c r="K5" i="27"/>
  <c r="K54" i="27"/>
  <c r="K53" i="27"/>
  <c r="L53" i="27"/>
  <c r="K52" i="27"/>
  <c r="G19" i="26"/>
  <c r="F19" i="26"/>
  <c r="C14" i="26" l="1"/>
  <c r="C4" i="26"/>
  <c r="I58" i="26"/>
  <c r="H58" i="26"/>
  <c r="I53" i="26"/>
  <c r="H53" i="26"/>
  <c r="I52" i="26"/>
  <c r="H52" i="26"/>
  <c r="I51" i="26"/>
  <c r="H51" i="26"/>
  <c r="I42" i="26"/>
  <c r="J42" i="26" s="1"/>
  <c r="L42" i="26" s="1"/>
  <c r="H42" i="26"/>
  <c r="H9" i="26"/>
  <c r="H5" i="26"/>
  <c r="I9" i="26"/>
  <c r="I5" i="26"/>
  <c r="G63" i="26"/>
  <c r="F63" i="26"/>
  <c r="E63" i="26"/>
  <c r="D63" i="26"/>
  <c r="C62" i="26"/>
  <c r="C63" i="26" s="1"/>
  <c r="G59" i="26"/>
  <c r="F59" i="26"/>
  <c r="E59" i="26"/>
  <c r="D59" i="26"/>
  <c r="C59" i="26"/>
  <c r="C52" i="26"/>
  <c r="J51" i="26"/>
  <c r="L51" i="26" s="1"/>
  <c r="C51" i="26"/>
  <c r="C44" i="26"/>
  <c r="C43" i="26"/>
  <c r="G29" i="26"/>
  <c r="F29" i="26"/>
  <c r="E29" i="26"/>
  <c r="D29" i="26"/>
  <c r="C29" i="26"/>
  <c r="C28" i="26"/>
  <c r="G22" i="26"/>
  <c r="F22" i="26"/>
  <c r="E22" i="26"/>
  <c r="D22" i="26"/>
  <c r="C20" i="26"/>
  <c r="C22" i="26" s="1"/>
  <c r="G16" i="26"/>
  <c r="F16" i="26"/>
  <c r="C13" i="26"/>
  <c r="C11" i="26"/>
  <c r="C8" i="26"/>
  <c r="C16" i="26" s="1"/>
  <c r="C32" i="26" s="1"/>
  <c r="C7" i="26"/>
  <c r="C6" i="26"/>
  <c r="J5" i="26" l="1"/>
  <c r="L5" i="26" s="1"/>
  <c r="J52" i="26"/>
  <c r="L52" i="26" s="1"/>
  <c r="J53" i="26"/>
  <c r="L53" i="26" s="1"/>
  <c r="J58" i="26"/>
  <c r="L58" i="26" s="1"/>
  <c r="F32" i="26"/>
  <c r="G32" i="26"/>
  <c r="E16" i="26"/>
  <c r="E32" i="26" s="1"/>
  <c r="D16" i="26"/>
  <c r="J9" i="26"/>
  <c r="L9" i="26" s="1"/>
  <c r="K42" i="26"/>
  <c r="K51" i="26"/>
  <c r="K52" i="26"/>
  <c r="C54" i="26"/>
  <c r="E15" i="25"/>
  <c r="D15" i="25"/>
  <c r="E13" i="25"/>
  <c r="D13" i="25"/>
  <c r="E11" i="25"/>
  <c r="D11" i="25"/>
  <c r="E8" i="25"/>
  <c r="D8" i="25"/>
  <c r="E7" i="25"/>
  <c r="D7" i="25"/>
  <c r="K5" i="26" l="1"/>
  <c r="K53" i="26"/>
  <c r="D32" i="26"/>
  <c r="K58" i="26"/>
  <c r="K9" i="26"/>
  <c r="C62" i="25"/>
  <c r="I58" i="25"/>
  <c r="H58" i="25"/>
  <c r="I53" i="25"/>
  <c r="H53" i="25"/>
  <c r="I52" i="25"/>
  <c r="H52" i="25"/>
  <c r="J52" i="25" s="1"/>
  <c r="L52" i="25" s="1"/>
  <c r="I51" i="25"/>
  <c r="H51" i="25"/>
  <c r="I42" i="25"/>
  <c r="J42" i="25" s="1"/>
  <c r="L42" i="25" s="1"/>
  <c r="H42" i="25"/>
  <c r="I9" i="25"/>
  <c r="H9" i="25"/>
  <c r="I5" i="25"/>
  <c r="H5" i="25"/>
  <c r="G63" i="25"/>
  <c r="F63" i="25"/>
  <c r="E63" i="25"/>
  <c r="D63" i="25"/>
  <c r="C63" i="25"/>
  <c r="G59" i="25"/>
  <c r="F59" i="25"/>
  <c r="E59" i="25"/>
  <c r="D59" i="25"/>
  <c r="C59" i="25"/>
  <c r="C52" i="25"/>
  <c r="C51" i="25"/>
  <c r="C44" i="25"/>
  <c r="C43" i="25"/>
  <c r="G29" i="25"/>
  <c r="F29" i="25"/>
  <c r="E29" i="25"/>
  <c r="D29" i="25"/>
  <c r="C29" i="25"/>
  <c r="C28" i="25"/>
  <c r="G22" i="25"/>
  <c r="F22" i="25"/>
  <c r="E22" i="25"/>
  <c r="D22" i="25"/>
  <c r="C22" i="25"/>
  <c r="C20" i="25"/>
  <c r="G16" i="25"/>
  <c r="F16" i="25"/>
  <c r="C13" i="25"/>
  <c r="C11" i="25"/>
  <c r="J9" i="25"/>
  <c r="L9" i="25" s="1"/>
  <c r="C8" i="25"/>
  <c r="D16" i="25"/>
  <c r="C7" i="25"/>
  <c r="C16" i="25" s="1"/>
  <c r="C32" i="25" s="1"/>
  <c r="C6" i="25"/>
  <c r="J58" i="25" l="1"/>
  <c r="L58" i="25" s="1"/>
  <c r="D32" i="25"/>
  <c r="J53" i="25"/>
  <c r="L53" i="25" s="1"/>
  <c r="K9" i="25"/>
  <c r="J5" i="25"/>
  <c r="L5" i="25" s="1"/>
  <c r="G32" i="25"/>
  <c r="K5" i="25"/>
  <c r="E16" i="25"/>
  <c r="E32" i="25" s="1"/>
  <c r="F32" i="25"/>
  <c r="C54" i="25"/>
  <c r="K42" i="25"/>
  <c r="J51" i="25"/>
  <c r="K52" i="25"/>
  <c r="E7" i="24"/>
  <c r="D7" i="24"/>
  <c r="K51" i="25" l="1"/>
  <c r="L51" i="25"/>
  <c r="K58" i="25"/>
  <c r="K53" i="25"/>
  <c r="E15" i="24"/>
  <c r="D15" i="24"/>
  <c r="E13" i="24"/>
  <c r="D13" i="24"/>
  <c r="E11" i="24"/>
  <c r="D11" i="24"/>
  <c r="E10" i="24"/>
  <c r="D10" i="24"/>
  <c r="E8" i="24"/>
  <c r="D8" i="24"/>
  <c r="E6" i="24"/>
  <c r="D6" i="24"/>
  <c r="E58" i="24" l="1"/>
  <c r="D58" i="24"/>
  <c r="I5" i="24" l="1"/>
  <c r="H5" i="24"/>
  <c r="J5" i="24"/>
  <c r="L5" i="24" s="1"/>
  <c r="K5" i="24" l="1"/>
  <c r="C43" i="24"/>
  <c r="G63" i="24" l="1"/>
  <c r="F63" i="24"/>
  <c r="E63" i="24"/>
  <c r="D63" i="24"/>
  <c r="C63" i="24"/>
  <c r="G59" i="24"/>
  <c r="F59" i="24"/>
  <c r="E59" i="24"/>
  <c r="D59" i="24"/>
  <c r="C59" i="24"/>
  <c r="C52" i="24"/>
  <c r="C51" i="24"/>
  <c r="C44" i="24"/>
  <c r="G29" i="24"/>
  <c r="F29" i="24"/>
  <c r="E29" i="24"/>
  <c r="D29" i="24"/>
  <c r="C29" i="24"/>
  <c r="C28" i="24"/>
  <c r="G22" i="24"/>
  <c r="F22" i="24"/>
  <c r="E22" i="24"/>
  <c r="D22" i="24"/>
  <c r="C20" i="24"/>
  <c r="C22" i="24" s="1"/>
  <c r="G16" i="24"/>
  <c r="F16" i="24"/>
  <c r="E16" i="24"/>
  <c r="D16" i="24"/>
  <c r="C13" i="24"/>
  <c r="C11" i="24"/>
  <c r="C8" i="24"/>
  <c r="C7" i="24"/>
  <c r="C6" i="24"/>
  <c r="C16" i="24" s="1"/>
  <c r="C32" i="24" s="1"/>
  <c r="F32" i="24" l="1"/>
  <c r="E32" i="24"/>
  <c r="C54" i="24"/>
  <c r="D32" i="24"/>
  <c r="G32" i="24"/>
  <c r="E9" i="23"/>
  <c r="D9" i="23"/>
  <c r="I52" i="23" l="1"/>
  <c r="I53" i="24" s="1"/>
  <c r="H52" i="23"/>
  <c r="H53" i="24" s="1"/>
  <c r="C42" i="23"/>
  <c r="J53" i="24" l="1"/>
  <c r="L53" i="24" s="1"/>
  <c r="J52" i="23"/>
  <c r="L52" i="23" s="1"/>
  <c r="C27" i="23"/>
  <c r="G62" i="23"/>
  <c r="F62" i="23"/>
  <c r="E62" i="23"/>
  <c r="D62" i="23"/>
  <c r="C62" i="23"/>
  <c r="G58" i="23"/>
  <c r="F58" i="23"/>
  <c r="E58" i="23"/>
  <c r="D58" i="23"/>
  <c r="C58" i="23"/>
  <c r="C51" i="23"/>
  <c r="C50" i="23"/>
  <c r="C43" i="23"/>
  <c r="G28" i="23"/>
  <c r="F28" i="23"/>
  <c r="E28" i="23"/>
  <c r="D28" i="23"/>
  <c r="C28" i="23"/>
  <c r="G21" i="23"/>
  <c r="F21" i="23"/>
  <c r="E21" i="23"/>
  <c r="D21" i="23"/>
  <c r="C19" i="23"/>
  <c r="C21" i="23" s="1"/>
  <c r="G15" i="23"/>
  <c r="F15" i="23"/>
  <c r="E15" i="23"/>
  <c r="C12" i="23"/>
  <c r="C10" i="23"/>
  <c r="C7" i="23"/>
  <c r="C6" i="23"/>
  <c r="C5" i="23"/>
  <c r="K53" i="24" l="1"/>
  <c r="K52" i="23"/>
  <c r="F31" i="23"/>
  <c r="E31" i="23"/>
  <c r="C53" i="23"/>
  <c r="G31" i="23"/>
  <c r="C15" i="23"/>
  <c r="C31" i="23" s="1"/>
  <c r="D15" i="23"/>
  <c r="D31" i="23" s="1"/>
  <c r="E9" i="22"/>
  <c r="D9" i="22"/>
  <c r="E7" i="22"/>
  <c r="D7" i="22"/>
  <c r="C51" i="22" l="1"/>
  <c r="I51" i="22" l="1"/>
  <c r="I51" i="23" s="1"/>
  <c r="I52" i="24" s="1"/>
  <c r="H51" i="22"/>
  <c r="H51" i="23" s="1"/>
  <c r="G61" i="22"/>
  <c r="F61" i="22"/>
  <c r="E61" i="22"/>
  <c r="D61" i="22"/>
  <c r="C61" i="22"/>
  <c r="G57" i="22"/>
  <c r="F57" i="22"/>
  <c r="E57" i="22"/>
  <c r="D57" i="22"/>
  <c r="C57" i="22"/>
  <c r="C50" i="22"/>
  <c r="C43" i="22"/>
  <c r="C42" i="22"/>
  <c r="C38" i="22"/>
  <c r="G27" i="22"/>
  <c r="F27" i="22"/>
  <c r="E27" i="22"/>
  <c r="D27" i="22"/>
  <c r="C27" i="22"/>
  <c r="G21" i="22"/>
  <c r="F21" i="22"/>
  <c r="E21" i="22"/>
  <c r="D21" i="22"/>
  <c r="C19" i="22"/>
  <c r="C21" i="22" s="1"/>
  <c r="G15" i="22"/>
  <c r="F15" i="22"/>
  <c r="E15" i="22"/>
  <c r="D15" i="22"/>
  <c r="C12" i="22"/>
  <c r="C10" i="22"/>
  <c r="C7" i="22"/>
  <c r="C6" i="22"/>
  <c r="C5" i="22"/>
  <c r="H52" i="24" l="1"/>
  <c r="J52" i="24" s="1"/>
  <c r="J51" i="23"/>
  <c r="E30" i="22"/>
  <c r="J51" i="22"/>
  <c r="K51" i="22" s="1"/>
  <c r="G30" i="22"/>
  <c r="C52" i="22"/>
  <c r="D30" i="22"/>
  <c r="F30" i="22"/>
  <c r="C15" i="22"/>
  <c r="C30" i="22" s="1"/>
  <c r="L51" i="23" l="1"/>
  <c r="K51" i="23"/>
  <c r="L52" i="24"/>
  <c r="K52" i="24"/>
  <c r="L51" i="22"/>
  <c r="C10" i="21" l="1"/>
  <c r="G60" i="21"/>
  <c r="F60" i="21"/>
  <c r="E60" i="21"/>
  <c r="D60" i="21"/>
  <c r="C60" i="21"/>
  <c r="G56" i="21"/>
  <c r="F56" i="21"/>
  <c r="E56" i="21"/>
  <c r="D56" i="21"/>
  <c r="C56" i="21"/>
  <c r="G51" i="21"/>
  <c r="F51" i="21"/>
  <c r="C50" i="21"/>
  <c r="E51" i="21"/>
  <c r="D51" i="21"/>
  <c r="C43" i="21"/>
  <c r="C42" i="21"/>
  <c r="C38" i="21"/>
  <c r="G27" i="21"/>
  <c r="F27" i="21"/>
  <c r="E27" i="21"/>
  <c r="D27" i="21"/>
  <c r="C27" i="21"/>
  <c r="G21" i="21"/>
  <c r="F21" i="21"/>
  <c r="E21" i="21"/>
  <c r="D21" i="21"/>
  <c r="C19" i="21"/>
  <c r="C21" i="21" s="1"/>
  <c r="G15" i="21"/>
  <c r="F15" i="21"/>
  <c r="E15" i="21"/>
  <c r="D15" i="21"/>
  <c r="C12" i="21"/>
  <c r="C7" i="21"/>
  <c r="C6" i="21"/>
  <c r="C5" i="21"/>
  <c r="C15" i="21" l="1"/>
  <c r="C30" i="21" s="1"/>
  <c r="C51" i="21"/>
  <c r="D30" i="21"/>
  <c r="E30" i="21"/>
  <c r="G30" i="21"/>
  <c r="F30" i="21"/>
  <c r="E50" i="20"/>
  <c r="D50" i="20"/>
  <c r="E45" i="20"/>
  <c r="D45" i="20"/>
  <c r="E49" i="20"/>
  <c r="D49" i="20"/>
  <c r="C50" i="20" l="1"/>
  <c r="G60" i="20" l="1"/>
  <c r="F60" i="20"/>
  <c r="E60" i="20"/>
  <c r="D60" i="20"/>
  <c r="C60" i="20"/>
  <c r="G56" i="20"/>
  <c r="F56" i="20"/>
  <c r="E56" i="20"/>
  <c r="D56" i="20"/>
  <c r="C56" i="20"/>
  <c r="G51" i="20"/>
  <c r="F51" i="20"/>
  <c r="E51" i="20"/>
  <c r="D51" i="20"/>
  <c r="C43" i="20"/>
  <c r="C42" i="20"/>
  <c r="C38" i="20"/>
  <c r="C51" i="20" s="1"/>
  <c r="G27" i="20"/>
  <c r="F27" i="20"/>
  <c r="E27" i="20"/>
  <c r="D27" i="20"/>
  <c r="C27" i="20"/>
  <c r="G21" i="20"/>
  <c r="F21" i="20"/>
  <c r="E21" i="20"/>
  <c r="D21" i="20"/>
  <c r="C21" i="20"/>
  <c r="C19" i="20"/>
  <c r="G15" i="20"/>
  <c r="F15" i="20"/>
  <c r="C12" i="20"/>
  <c r="C10" i="20"/>
  <c r="C7" i="20"/>
  <c r="C6" i="20"/>
  <c r="D15" i="20"/>
  <c r="C5" i="20"/>
  <c r="C15" i="20" l="1"/>
  <c r="C30" i="20" s="1"/>
  <c r="D30" i="20"/>
  <c r="G30" i="20"/>
  <c r="F30" i="20"/>
  <c r="E15" i="20"/>
  <c r="E30" i="20" s="1"/>
  <c r="E12" i="19"/>
  <c r="D12" i="19"/>
  <c r="E9" i="19"/>
  <c r="D9" i="19"/>
  <c r="E5" i="19"/>
  <c r="D5" i="19"/>
  <c r="C42" i="19" l="1"/>
  <c r="G60" i="19"/>
  <c r="F60" i="19"/>
  <c r="E60" i="19"/>
  <c r="D60" i="19"/>
  <c r="C60" i="19"/>
  <c r="G56" i="19"/>
  <c r="F56" i="19"/>
  <c r="E56" i="19"/>
  <c r="D56" i="19"/>
  <c r="C56" i="19"/>
  <c r="G51" i="19"/>
  <c r="F51" i="19"/>
  <c r="E51" i="19"/>
  <c r="D51" i="19"/>
  <c r="C50" i="19"/>
  <c r="C43" i="19"/>
  <c r="C51" i="19" s="1"/>
  <c r="C38" i="19"/>
  <c r="G27" i="19"/>
  <c r="F27" i="19"/>
  <c r="E27" i="19"/>
  <c r="D27" i="19"/>
  <c r="C27" i="19"/>
  <c r="F21" i="19"/>
  <c r="E21" i="19"/>
  <c r="D21" i="19"/>
  <c r="C19" i="19"/>
  <c r="C21" i="19" s="1"/>
  <c r="G21" i="19"/>
  <c r="G15" i="19"/>
  <c r="F15" i="19"/>
  <c r="E15" i="19"/>
  <c r="D15" i="19"/>
  <c r="C12" i="19"/>
  <c r="C10" i="19"/>
  <c r="C7" i="19"/>
  <c r="C6" i="19"/>
  <c r="C5" i="19"/>
  <c r="C15" i="19" l="1"/>
  <c r="C30" i="19" s="1"/>
  <c r="D30" i="19"/>
  <c r="E30" i="19"/>
  <c r="F30" i="19"/>
  <c r="G30" i="19"/>
  <c r="E12" i="18"/>
  <c r="D12" i="18"/>
  <c r="G18" i="18"/>
  <c r="F18" i="18"/>
  <c r="D56" i="18" l="1"/>
  <c r="E56" i="18"/>
  <c r="F56" i="18"/>
  <c r="G56" i="18"/>
  <c r="C56" i="18"/>
  <c r="C5" i="18"/>
  <c r="C12" i="18"/>
  <c r="C10" i="18"/>
  <c r="H55" i="18"/>
  <c r="H55" i="19" s="1"/>
  <c r="I55" i="18"/>
  <c r="I55" i="19" s="1"/>
  <c r="I55" i="20" s="1"/>
  <c r="I55" i="21" s="1"/>
  <c r="I56" i="22" s="1"/>
  <c r="I57" i="23" s="1"/>
  <c r="I58" i="24" s="1"/>
  <c r="C7" i="18"/>
  <c r="C6" i="18"/>
  <c r="G60" i="18"/>
  <c r="F60" i="18"/>
  <c r="E60" i="18"/>
  <c r="D60" i="18"/>
  <c r="C60" i="18"/>
  <c r="G51" i="18"/>
  <c r="F51" i="18"/>
  <c r="C50" i="18"/>
  <c r="C43" i="18"/>
  <c r="C38" i="18"/>
  <c r="G27" i="18"/>
  <c r="F27" i="18"/>
  <c r="E27" i="18"/>
  <c r="D27" i="18"/>
  <c r="C27" i="18"/>
  <c r="G21" i="18"/>
  <c r="F21" i="18"/>
  <c r="E21" i="18"/>
  <c r="D21" i="18"/>
  <c r="C19" i="18"/>
  <c r="C21" i="18" s="1"/>
  <c r="G15" i="18"/>
  <c r="F15" i="18"/>
  <c r="E15" i="18"/>
  <c r="D15" i="18"/>
  <c r="H55" i="20" l="1"/>
  <c r="J55" i="19"/>
  <c r="J55" i="18"/>
  <c r="K55" i="18" s="1"/>
  <c r="F30" i="18"/>
  <c r="C15" i="18"/>
  <c r="C30" i="18" s="1"/>
  <c r="D30" i="18"/>
  <c r="E30" i="18"/>
  <c r="D51" i="18"/>
  <c r="C51" i="18"/>
  <c r="G30" i="18"/>
  <c r="E51" i="18"/>
  <c r="C50" i="17"/>
  <c r="L55" i="19" l="1"/>
  <c r="K55" i="19"/>
  <c r="H55" i="21"/>
  <c r="J55" i="20"/>
  <c r="L55" i="18"/>
  <c r="E40" i="17"/>
  <c r="D40" i="17"/>
  <c r="D51" i="17" s="1"/>
  <c r="G59" i="17"/>
  <c r="F59" i="17"/>
  <c r="E59" i="17"/>
  <c r="D59" i="17"/>
  <c r="C59" i="17"/>
  <c r="G55" i="17"/>
  <c r="F55" i="17"/>
  <c r="E55" i="17"/>
  <c r="D55" i="17"/>
  <c r="C55" i="17"/>
  <c r="G51" i="17"/>
  <c r="F51" i="17"/>
  <c r="E51" i="17"/>
  <c r="C43" i="17"/>
  <c r="C38" i="17"/>
  <c r="C51" i="17" s="1"/>
  <c r="G27" i="17"/>
  <c r="F27" i="17"/>
  <c r="E27" i="17"/>
  <c r="D27" i="17"/>
  <c r="C27" i="17"/>
  <c r="G21" i="17"/>
  <c r="F21" i="17"/>
  <c r="E21" i="17"/>
  <c r="D21" i="17"/>
  <c r="C19" i="17"/>
  <c r="C21" i="17" s="1"/>
  <c r="C30" i="17" s="1"/>
  <c r="G15" i="17"/>
  <c r="F15" i="17"/>
  <c r="E15" i="17"/>
  <c r="D15" i="17"/>
  <c r="C15" i="17"/>
  <c r="L55" i="20" l="1"/>
  <c r="K55" i="20"/>
  <c r="H56" i="22"/>
  <c r="J55" i="21"/>
  <c r="G30" i="17"/>
  <c r="E30" i="17"/>
  <c r="F30" i="17"/>
  <c r="D30" i="17"/>
  <c r="L55" i="21" l="1"/>
  <c r="K55" i="21"/>
  <c r="H57" i="23"/>
  <c r="J56" i="22"/>
  <c r="C43" i="15"/>
  <c r="G59" i="15"/>
  <c r="F59" i="15"/>
  <c r="E59" i="15"/>
  <c r="D59" i="15"/>
  <c r="C59" i="15"/>
  <c r="G55" i="15"/>
  <c r="F55" i="15"/>
  <c r="E55" i="15"/>
  <c r="D55" i="15"/>
  <c r="C55" i="15"/>
  <c r="G51" i="15"/>
  <c r="F51" i="15"/>
  <c r="E51" i="15"/>
  <c r="D51" i="15"/>
  <c r="C38" i="15"/>
  <c r="G27" i="15"/>
  <c r="F27" i="15"/>
  <c r="E27" i="15"/>
  <c r="D27" i="15"/>
  <c r="C27" i="15"/>
  <c r="G21" i="15"/>
  <c r="F21" i="15"/>
  <c r="E21" i="15"/>
  <c r="D21" i="15"/>
  <c r="C19" i="15"/>
  <c r="G15" i="15"/>
  <c r="F15" i="15"/>
  <c r="E15" i="15"/>
  <c r="D15" i="15"/>
  <c r="C15" i="15"/>
  <c r="K56" i="22" l="1"/>
  <c r="L56" i="22"/>
  <c r="H58" i="24"/>
  <c r="J58" i="24" s="1"/>
  <c r="J57" i="23"/>
  <c r="E30" i="15"/>
  <c r="G30" i="15"/>
  <c r="D30" i="15"/>
  <c r="F30" i="15"/>
  <c r="C21" i="15"/>
  <c r="C30" i="15" s="1"/>
  <c r="C51" i="15"/>
  <c r="L57" i="23" l="1"/>
  <c r="K57" i="23"/>
  <c r="L58" i="24"/>
  <c r="K58" i="24"/>
  <c r="G59" i="14"/>
  <c r="F59" i="14"/>
  <c r="E59" i="14"/>
  <c r="D59" i="14"/>
  <c r="C59" i="14"/>
  <c r="G55" i="14"/>
  <c r="F55" i="14"/>
  <c r="E55" i="14"/>
  <c r="D55" i="14"/>
  <c r="C55" i="14"/>
  <c r="G51" i="14"/>
  <c r="F51" i="14"/>
  <c r="E51" i="14"/>
  <c r="D51" i="14"/>
  <c r="C43" i="14"/>
  <c r="C38" i="14"/>
  <c r="C51" i="14"/>
  <c r="G27" i="14"/>
  <c r="F27" i="14"/>
  <c r="E27" i="14"/>
  <c r="D27" i="14"/>
  <c r="C27" i="14"/>
  <c r="G21" i="14"/>
  <c r="F21" i="14"/>
  <c r="E21" i="14"/>
  <c r="D21" i="14"/>
  <c r="C19" i="14"/>
  <c r="C21" i="14" s="1"/>
  <c r="C30" i="14" s="1"/>
  <c r="G15" i="14"/>
  <c r="F15" i="14"/>
  <c r="E15" i="14"/>
  <c r="D15" i="14"/>
  <c r="C15" i="14"/>
  <c r="D30" i="14" l="1"/>
  <c r="F30" i="14"/>
  <c r="G30" i="14"/>
  <c r="E30" i="14"/>
  <c r="E14" i="11"/>
  <c r="D14" i="11"/>
  <c r="D39" i="11"/>
  <c r="E39" i="11"/>
  <c r="G59" i="13"/>
  <c r="F59" i="13"/>
  <c r="E59" i="13"/>
  <c r="D59" i="13"/>
  <c r="C59" i="13"/>
  <c r="G55" i="13"/>
  <c r="F55" i="13"/>
  <c r="E55" i="13"/>
  <c r="D55" i="13"/>
  <c r="C55" i="13"/>
  <c r="G51" i="13"/>
  <c r="F51" i="13"/>
  <c r="C43" i="13"/>
  <c r="E51" i="13"/>
  <c r="D51" i="13"/>
  <c r="C38" i="13"/>
  <c r="G27" i="13"/>
  <c r="F27" i="13"/>
  <c r="E27" i="13"/>
  <c r="D27" i="13"/>
  <c r="C27" i="13"/>
  <c r="G21" i="13"/>
  <c r="F21" i="13"/>
  <c r="E21" i="13"/>
  <c r="D21" i="13"/>
  <c r="C19" i="13"/>
  <c r="C21" i="13" s="1"/>
  <c r="G15" i="13"/>
  <c r="F15" i="13"/>
  <c r="C15" i="13"/>
  <c r="E15" i="13"/>
  <c r="D15" i="13"/>
  <c r="C30" i="13" l="1"/>
  <c r="D30" i="13"/>
  <c r="E30" i="13"/>
  <c r="F30" i="13"/>
  <c r="G30" i="13"/>
  <c r="C51" i="13"/>
  <c r="E12" i="12"/>
  <c r="D12" i="12"/>
  <c r="E42" i="12"/>
  <c r="D42" i="12"/>
  <c r="E41" i="12"/>
  <c r="D41" i="12"/>
  <c r="E40" i="12"/>
  <c r="D40" i="12"/>
  <c r="E50" i="12"/>
  <c r="D50" i="12"/>
  <c r="E43" i="12"/>
  <c r="D43" i="12"/>
  <c r="E49" i="12"/>
  <c r="D49" i="12"/>
  <c r="E44" i="12"/>
  <c r="D44" i="12"/>
  <c r="C38" i="12" l="1"/>
  <c r="G59" i="12"/>
  <c r="F59" i="12"/>
  <c r="E59" i="12"/>
  <c r="D59" i="12"/>
  <c r="C59" i="12"/>
  <c r="G55" i="12"/>
  <c r="F55" i="12"/>
  <c r="E55" i="12"/>
  <c r="D55" i="12"/>
  <c r="C55" i="12"/>
  <c r="G51" i="12"/>
  <c r="F51" i="12"/>
  <c r="E51" i="12"/>
  <c r="C43" i="12"/>
  <c r="D51" i="12"/>
  <c r="G27" i="12"/>
  <c r="F27" i="12"/>
  <c r="E27" i="12"/>
  <c r="D27" i="12"/>
  <c r="C27" i="12"/>
  <c r="G21" i="12"/>
  <c r="F21" i="12"/>
  <c r="E21" i="12"/>
  <c r="D21" i="12"/>
  <c r="C21" i="12"/>
  <c r="C19" i="12"/>
  <c r="G15" i="12"/>
  <c r="F15" i="12"/>
  <c r="E15" i="12"/>
  <c r="D15" i="12"/>
  <c r="C15" i="12"/>
  <c r="C30" i="12" s="1"/>
  <c r="F30" i="12" l="1"/>
  <c r="G30" i="12"/>
  <c r="E30" i="12"/>
  <c r="D30" i="12"/>
  <c r="C51" i="12"/>
  <c r="G59" i="11" l="1"/>
  <c r="F59" i="11"/>
  <c r="E59" i="11"/>
  <c r="D59" i="11"/>
  <c r="C59" i="11"/>
  <c r="G55" i="11"/>
  <c r="F55" i="11"/>
  <c r="E55" i="11"/>
  <c r="D55" i="11"/>
  <c r="C55" i="11"/>
  <c r="G51" i="11"/>
  <c r="F51" i="11"/>
  <c r="E51" i="11"/>
  <c r="D51" i="11"/>
  <c r="C43" i="11"/>
  <c r="C51" i="11"/>
  <c r="G27" i="11"/>
  <c r="F27" i="11"/>
  <c r="E27" i="11"/>
  <c r="D27" i="11"/>
  <c r="C27" i="11"/>
  <c r="G21" i="11"/>
  <c r="F21" i="11"/>
  <c r="E21" i="11"/>
  <c r="D21" i="11"/>
  <c r="C19" i="11"/>
  <c r="C21" i="11" s="1"/>
  <c r="G15" i="11"/>
  <c r="F15" i="11"/>
  <c r="E15" i="11"/>
  <c r="D15" i="11"/>
  <c r="C15" i="11"/>
  <c r="C30" i="11" l="1"/>
  <c r="F30" i="11"/>
  <c r="G30" i="11"/>
  <c r="E30" i="11"/>
  <c r="D30" i="11"/>
  <c r="F51" i="9"/>
  <c r="G51" i="9"/>
  <c r="D51" i="10"/>
  <c r="E51" i="10"/>
  <c r="G51" i="10"/>
  <c r="F51" i="10"/>
  <c r="G59" i="10" l="1"/>
  <c r="F59" i="10"/>
  <c r="E59" i="10"/>
  <c r="D59" i="10"/>
  <c r="C59" i="10"/>
  <c r="G55" i="10"/>
  <c r="F55" i="10"/>
  <c r="E55" i="10"/>
  <c r="D55" i="10"/>
  <c r="C55" i="10"/>
  <c r="C43" i="10"/>
  <c r="C51" i="10" s="1"/>
  <c r="G27" i="10"/>
  <c r="F27" i="10"/>
  <c r="E27" i="10"/>
  <c r="D27" i="10"/>
  <c r="C27" i="10"/>
  <c r="G21" i="10"/>
  <c r="F21" i="10"/>
  <c r="E21" i="10"/>
  <c r="D21" i="10"/>
  <c r="C19" i="10"/>
  <c r="C21" i="10" s="1"/>
  <c r="G15" i="10"/>
  <c r="F15" i="10"/>
  <c r="C15" i="10"/>
  <c r="C30" i="10" l="1"/>
  <c r="G30" i="10"/>
  <c r="F30" i="10"/>
  <c r="D15" i="10"/>
  <c r="D30" i="10" s="1"/>
  <c r="E15" i="10"/>
  <c r="E30" i="10" s="1"/>
  <c r="E10" i="9"/>
  <c r="D10" i="9"/>
  <c r="E8" i="9"/>
  <c r="D8" i="9"/>
  <c r="E50" i="9"/>
  <c r="E51" i="9" s="1"/>
  <c r="D50" i="9"/>
  <c r="D51" i="9" s="1"/>
  <c r="I50" i="9" l="1"/>
  <c r="I50" i="10" s="1"/>
  <c r="I50" i="11" s="1"/>
  <c r="I50" i="12" s="1"/>
  <c r="I50" i="13" s="1"/>
  <c r="I50" i="14" s="1"/>
  <c r="I50" i="15" s="1"/>
  <c r="I50" i="17" s="1"/>
  <c r="I50" i="18" s="1"/>
  <c r="I50" i="19" s="1"/>
  <c r="I50" i="20" s="1"/>
  <c r="I50" i="21" s="1"/>
  <c r="I50" i="22" s="1"/>
  <c r="I50" i="23" s="1"/>
  <c r="I51" i="24" s="1"/>
  <c r="H50" i="9"/>
  <c r="H50" i="10" s="1"/>
  <c r="C19" i="9"/>
  <c r="I8" i="9"/>
  <c r="I8" i="10" s="1"/>
  <c r="I8" i="11" s="1"/>
  <c r="I8" i="12" s="1"/>
  <c r="I8" i="13" s="1"/>
  <c r="I8" i="14" s="1"/>
  <c r="I8" i="15" s="1"/>
  <c r="I8" i="17" s="1"/>
  <c r="I8" i="18" s="1"/>
  <c r="I8" i="19" s="1"/>
  <c r="I8" i="20" s="1"/>
  <c r="I8" i="21" s="1"/>
  <c r="I8" i="22" s="1"/>
  <c r="I8" i="23" s="1"/>
  <c r="I9" i="24" s="1"/>
  <c r="H8" i="9"/>
  <c r="H8" i="10" s="1"/>
  <c r="G59" i="9"/>
  <c r="F59" i="9"/>
  <c r="E59" i="9"/>
  <c r="D59" i="9"/>
  <c r="C59" i="9"/>
  <c r="G55" i="9"/>
  <c r="F55" i="9"/>
  <c r="E55" i="9"/>
  <c r="D55" i="9"/>
  <c r="C55" i="9"/>
  <c r="C43" i="9"/>
  <c r="C51" i="9" s="1"/>
  <c r="G27" i="9"/>
  <c r="F27" i="9"/>
  <c r="E27" i="9"/>
  <c r="D27" i="9"/>
  <c r="C27" i="9"/>
  <c r="G21" i="9"/>
  <c r="F21" i="9"/>
  <c r="E21" i="9"/>
  <c r="D21" i="9"/>
  <c r="C21" i="9"/>
  <c r="G15" i="9"/>
  <c r="F15" i="9"/>
  <c r="E15" i="9"/>
  <c r="D15" i="9"/>
  <c r="C15" i="9"/>
  <c r="H8" i="11" l="1"/>
  <c r="J8" i="10"/>
  <c r="C30" i="9"/>
  <c r="H50" i="11"/>
  <c r="J50" i="10"/>
  <c r="F30" i="9"/>
  <c r="J8" i="9"/>
  <c r="K8" i="9" s="1"/>
  <c r="J50" i="9"/>
  <c r="K50" i="9" s="1"/>
  <c r="G30" i="9"/>
  <c r="D30" i="9"/>
  <c r="E30" i="9"/>
  <c r="H50" i="12" l="1"/>
  <c r="J50" i="11"/>
  <c r="L50" i="10"/>
  <c r="K50" i="10"/>
  <c r="L8" i="10"/>
  <c r="K8" i="10"/>
  <c r="H8" i="12"/>
  <c r="J8" i="11"/>
  <c r="L8" i="9"/>
  <c r="L50" i="9"/>
  <c r="E40" i="8"/>
  <c r="D40" i="8"/>
  <c r="L8" i="11" l="1"/>
  <c r="K8" i="11"/>
  <c r="L50" i="11"/>
  <c r="K50" i="11"/>
  <c r="H8" i="13"/>
  <c r="J8" i="12"/>
  <c r="H50" i="13"/>
  <c r="J50" i="12"/>
  <c r="I40" i="8"/>
  <c r="I41" i="9" s="1"/>
  <c r="I41" i="10" s="1"/>
  <c r="I41" i="11" s="1"/>
  <c r="I41" i="12" s="1"/>
  <c r="I41" i="13" s="1"/>
  <c r="I41" i="14" s="1"/>
  <c r="I41" i="15" s="1"/>
  <c r="I41" i="17" s="1"/>
  <c r="I41" i="18" s="1"/>
  <c r="I41" i="19" s="1"/>
  <c r="I41" i="20" s="1"/>
  <c r="I41" i="21" s="1"/>
  <c r="I41" i="22" s="1"/>
  <c r="I41" i="23" s="1"/>
  <c r="I42" i="24" s="1"/>
  <c r="H40" i="8"/>
  <c r="H41" i="9" s="1"/>
  <c r="H8" i="14" l="1"/>
  <c r="J8" i="13"/>
  <c r="H41" i="10"/>
  <c r="J41" i="9"/>
  <c r="L50" i="12"/>
  <c r="K50" i="12"/>
  <c r="H50" i="14"/>
  <c r="J50" i="13"/>
  <c r="L8" i="12"/>
  <c r="K8" i="12"/>
  <c r="J40" i="8"/>
  <c r="K40" i="8" s="1"/>
  <c r="G57" i="8"/>
  <c r="F57" i="8"/>
  <c r="E57" i="8"/>
  <c r="D57" i="8"/>
  <c r="C57" i="8"/>
  <c r="G53" i="8"/>
  <c r="F53" i="8"/>
  <c r="C53" i="8"/>
  <c r="E53" i="8"/>
  <c r="D53" i="8"/>
  <c r="G49" i="8"/>
  <c r="F49" i="8"/>
  <c r="E49" i="8"/>
  <c r="C42" i="8"/>
  <c r="D49" i="8"/>
  <c r="G26" i="8"/>
  <c r="F26" i="8"/>
  <c r="E26" i="8"/>
  <c r="D26" i="8"/>
  <c r="C26" i="8"/>
  <c r="G20" i="8"/>
  <c r="F20" i="8"/>
  <c r="E20" i="8"/>
  <c r="D20" i="8"/>
  <c r="C20" i="8"/>
  <c r="G14" i="8"/>
  <c r="F14" i="8"/>
  <c r="D14" i="8"/>
  <c r="C14" i="8"/>
  <c r="E14" i="8"/>
  <c r="L41" i="9" l="1"/>
  <c r="K41" i="9"/>
  <c r="H41" i="11"/>
  <c r="J41" i="10"/>
  <c r="L50" i="13"/>
  <c r="K50" i="13"/>
  <c r="L8" i="13"/>
  <c r="K8" i="13"/>
  <c r="H50" i="15"/>
  <c r="J50" i="14"/>
  <c r="H8" i="15"/>
  <c r="J8" i="14"/>
  <c r="E29" i="8"/>
  <c r="L40" i="8"/>
  <c r="F29" i="8"/>
  <c r="G29" i="8"/>
  <c r="D29" i="8"/>
  <c r="C29" i="8"/>
  <c r="C49" i="8"/>
  <c r="E51" i="7"/>
  <c r="D51" i="7"/>
  <c r="E11" i="7"/>
  <c r="D11" i="7"/>
  <c r="E9" i="7"/>
  <c r="D9" i="7"/>
  <c r="E8" i="7"/>
  <c r="D8" i="7"/>
  <c r="E7" i="7"/>
  <c r="D7" i="7"/>
  <c r="E5" i="7"/>
  <c r="D5" i="7"/>
  <c r="E39" i="7"/>
  <c r="D39" i="7"/>
  <c r="L8" i="14" l="1"/>
  <c r="K8" i="14"/>
  <c r="L50" i="14"/>
  <c r="K50" i="14"/>
  <c r="L41" i="10"/>
  <c r="K41" i="10"/>
  <c r="H50" i="17"/>
  <c r="J50" i="15"/>
  <c r="H41" i="12"/>
  <c r="J41" i="11"/>
  <c r="H8" i="17"/>
  <c r="J8" i="15"/>
  <c r="G56" i="7"/>
  <c r="F56" i="7"/>
  <c r="E56" i="7"/>
  <c r="D56" i="7"/>
  <c r="C56" i="7"/>
  <c r="G52" i="7"/>
  <c r="F52" i="7"/>
  <c r="C52" i="7"/>
  <c r="E52" i="7"/>
  <c r="D52" i="7"/>
  <c r="G48" i="7"/>
  <c r="F48" i="7"/>
  <c r="E48" i="7"/>
  <c r="D48" i="7"/>
  <c r="C41" i="7"/>
  <c r="G26" i="7"/>
  <c r="F26" i="7"/>
  <c r="E26" i="7"/>
  <c r="D26" i="7"/>
  <c r="C26" i="7"/>
  <c r="G20" i="7"/>
  <c r="F20" i="7"/>
  <c r="E20" i="7"/>
  <c r="D20" i="7"/>
  <c r="C20" i="7"/>
  <c r="G14" i="7"/>
  <c r="F14" i="7"/>
  <c r="E14" i="7"/>
  <c r="D14" i="7"/>
  <c r="C14" i="7"/>
  <c r="L8" i="15" l="1"/>
  <c r="K8" i="15"/>
  <c r="J8" i="17"/>
  <c r="H8" i="18"/>
  <c r="L41" i="11"/>
  <c r="K41" i="11"/>
  <c r="J41" i="12"/>
  <c r="H41" i="13"/>
  <c r="C29" i="7"/>
  <c r="K50" i="15"/>
  <c r="L50" i="15"/>
  <c r="J50" i="17"/>
  <c r="H50" i="18"/>
  <c r="G29" i="7"/>
  <c r="F29" i="7"/>
  <c r="E29" i="7"/>
  <c r="D29" i="7"/>
  <c r="C48" i="7"/>
  <c r="E51" i="6"/>
  <c r="D51" i="6"/>
  <c r="L50" i="17" l="1"/>
  <c r="K50" i="17"/>
  <c r="H8" i="19"/>
  <c r="J8" i="18"/>
  <c r="L8" i="17"/>
  <c r="K8" i="17"/>
  <c r="H41" i="14"/>
  <c r="J41" i="13"/>
  <c r="H50" i="19"/>
  <c r="J50" i="18"/>
  <c r="L41" i="12"/>
  <c r="K41" i="12"/>
  <c r="C41" i="6"/>
  <c r="C48" i="6" s="1"/>
  <c r="G56" i="6"/>
  <c r="F56" i="6"/>
  <c r="E56" i="6"/>
  <c r="D56" i="6"/>
  <c r="C56" i="6"/>
  <c r="G52" i="6"/>
  <c r="F52" i="6"/>
  <c r="C52" i="6"/>
  <c r="E52" i="6"/>
  <c r="D52" i="6"/>
  <c r="G48" i="6"/>
  <c r="F48" i="6"/>
  <c r="E48" i="6"/>
  <c r="D48" i="6"/>
  <c r="G26" i="6"/>
  <c r="F26" i="6"/>
  <c r="E26" i="6"/>
  <c r="D26" i="6"/>
  <c r="C26" i="6"/>
  <c r="G20" i="6"/>
  <c r="F20" i="6"/>
  <c r="E20" i="6"/>
  <c r="D20" i="6"/>
  <c r="C20" i="6"/>
  <c r="G14" i="6"/>
  <c r="F14" i="6"/>
  <c r="E14" i="6"/>
  <c r="D14" i="6"/>
  <c r="C14" i="6"/>
  <c r="C29" i="6" l="1"/>
  <c r="K50" i="18"/>
  <c r="L50" i="18"/>
  <c r="L8" i="18"/>
  <c r="K8" i="18"/>
  <c r="H50" i="20"/>
  <c r="J50" i="19"/>
  <c r="H8" i="20"/>
  <c r="J8" i="19"/>
  <c r="L41" i="13"/>
  <c r="K41" i="13"/>
  <c r="H41" i="15"/>
  <c r="J41" i="14"/>
  <c r="F29" i="6"/>
  <c r="E29" i="6"/>
  <c r="G29" i="6"/>
  <c r="D29" i="6"/>
  <c r="E51" i="5"/>
  <c r="D51" i="5"/>
  <c r="E41" i="4"/>
  <c r="D41" i="4"/>
  <c r="H41" i="17" l="1"/>
  <c r="J41" i="15"/>
  <c r="H50" i="21"/>
  <c r="J50" i="20"/>
  <c r="L8" i="19"/>
  <c r="K8" i="19"/>
  <c r="H8" i="21"/>
  <c r="J8" i="20"/>
  <c r="K41" i="14"/>
  <c r="L41" i="14"/>
  <c r="L50" i="19"/>
  <c r="K50" i="19"/>
  <c r="E52" i="5"/>
  <c r="G56" i="5"/>
  <c r="F56" i="5"/>
  <c r="E56" i="5"/>
  <c r="D56" i="5"/>
  <c r="C56" i="5"/>
  <c r="G52" i="5"/>
  <c r="F52" i="5"/>
  <c r="D52" i="5"/>
  <c r="C52" i="5"/>
  <c r="G48" i="5"/>
  <c r="F48" i="5"/>
  <c r="E48" i="5"/>
  <c r="D48" i="5"/>
  <c r="C48" i="5"/>
  <c r="G26" i="5"/>
  <c r="F26" i="5"/>
  <c r="E26" i="5"/>
  <c r="D26" i="5"/>
  <c r="C26" i="5"/>
  <c r="G20" i="5"/>
  <c r="F20" i="5"/>
  <c r="E20" i="5"/>
  <c r="D20" i="5"/>
  <c r="C20" i="5"/>
  <c r="G14" i="5"/>
  <c r="F14" i="5"/>
  <c r="E14" i="5"/>
  <c r="D14" i="5"/>
  <c r="C14" i="5"/>
  <c r="L50" i="20" l="1"/>
  <c r="K50" i="20"/>
  <c r="H50" i="22"/>
  <c r="J50" i="21"/>
  <c r="C29" i="5"/>
  <c r="L8" i="20"/>
  <c r="K8" i="20"/>
  <c r="L41" i="15"/>
  <c r="K41" i="15"/>
  <c r="H8" i="22"/>
  <c r="J8" i="21"/>
  <c r="H41" i="18"/>
  <c r="J41" i="17"/>
  <c r="E29" i="5"/>
  <c r="D29" i="5"/>
  <c r="G29" i="5"/>
  <c r="F29" i="5"/>
  <c r="H41" i="19" l="1"/>
  <c r="J41" i="18"/>
  <c r="H8" i="23"/>
  <c r="J8" i="22"/>
  <c r="L50" i="21"/>
  <c r="K50" i="21"/>
  <c r="H50" i="23"/>
  <c r="J50" i="22"/>
  <c r="L8" i="21"/>
  <c r="K8" i="21"/>
  <c r="L41" i="17"/>
  <c r="K41" i="17"/>
  <c r="G56" i="4"/>
  <c r="F56" i="4"/>
  <c r="E56" i="4"/>
  <c r="D56" i="4"/>
  <c r="C56" i="4"/>
  <c r="G52" i="4"/>
  <c r="F52" i="4"/>
  <c r="E52" i="4"/>
  <c r="D52" i="4"/>
  <c r="C52" i="4"/>
  <c r="G48" i="4"/>
  <c r="F48" i="4"/>
  <c r="E48" i="4"/>
  <c r="C48" i="4"/>
  <c r="G26" i="4"/>
  <c r="F26" i="4"/>
  <c r="E26" i="4"/>
  <c r="D26" i="4"/>
  <c r="C26" i="4"/>
  <c r="G20" i="4"/>
  <c r="F20" i="4"/>
  <c r="E20" i="4"/>
  <c r="D20" i="4"/>
  <c r="C20" i="4"/>
  <c r="G14" i="4"/>
  <c r="F14" i="4"/>
  <c r="C14" i="4"/>
  <c r="C29" i="4" s="1"/>
  <c r="E14" i="4"/>
  <c r="L8" i="22" l="1"/>
  <c r="K8" i="22"/>
  <c r="H9" i="24"/>
  <c r="J9" i="24" s="1"/>
  <c r="J8" i="23"/>
  <c r="L50" i="22"/>
  <c r="K50" i="22"/>
  <c r="L41" i="18"/>
  <c r="K41" i="18"/>
  <c r="H51" i="24"/>
  <c r="J51" i="24" s="1"/>
  <c r="J50" i="23"/>
  <c r="H41" i="20"/>
  <c r="J41" i="19"/>
  <c r="E29" i="4"/>
  <c r="F29" i="4"/>
  <c r="G29" i="4"/>
  <c r="D14" i="4"/>
  <c r="D29" i="4" s="1"/>
  <c r="D48" i="4"/>
  <c r="E11" i="3"/>
  <c r="D11" i="3"/>
  <c r="I10" i="3"/>
  <c r="I10" i="4" s="1"/>
  <c r="I10" i="5" s="1"/>
  <c r="I10" i="6" s="1"/>
  <c r="I10" i="7" s="1"/>
  <c r="I10" i="8" s="1"/>
  <c r="I11" i="9" s="1"/>
  <c r="I11" i="10" s="1"/>
  <c r="I11" i="11" s="1"/>
  <c r="H10" i="3"/>
  <c r="H10" i="4" s="1"/>
  <c r="H10" i="5" s="1"/>
  <c r="E39" i="3"/>
  <c r="D39" i="3"/>
  <c r="J10" i="4" l="1"/>
  <c r="L10" i="4" s="1"/>
  <c r="L41" i="19"/>
  <c r="K41" i="19"/>
  <c r="H10" i="6"/>
  <c r="J10" i="5"/>
  <c r="L50" i="23"/>
  <c r="K50" i="23"/>
  <c r="L8" i="23"/>
  <c r="K8" i="23"/>
  <c r="I11" i="12"/>
  <c r="I11" i="13" s="1"/>
  <c r="I11" i="14" s="1"/>
  <c r="I11" i="15" s="1"/>
  <c r="I11" i="17" s="1"/>
  <c r="I11" i="18" s="1"/>
  <c r="I11" i="19" s="1"/>
  <c r="I11" i="20" s="1"/>
  <c r="I11" i="21" s="1"/>
  <c r="I11" i="22" s="1"/>
  <c r="I11" i="23" s="1"/>
  <c r="I12" i="24" s="1"/>
  <c r="I12" i="25" s="1"/>
  <c r="I12" i="26" s="1"/>
  <c r="I12" i="27" s="1"/>
  <c r="L51" i="24"/>
  <c r="K51" i="24"/>
  <c r="L9" i="24"/>
  <c r="K9" i="24"/>
  <c r="H41" i="21"/>
  <c r="J41" i="20"/>
  <c r="K10" i="4"/>
  <c r="J10" i="3"/>
  <c r="L10" i="3" s="1"/>
  <c r="G56" i="3"/>
  <c r="F56" i="3"/>
  <c r="E56" i="3"/>
  <c r="D56" i="3"/>
  <c r="C56" i="3"/>
  <c r="G52" i="3"/>
  <c r="F52" i="3"/>
  <c r="E52" i="3"/>
  <c r="D52" i="3"/>
  <c r="C52" i="3"/>
  <c r="F48" i="3"/>
  <c r="E48" i="3"/>
  <c r="D48" i="3"/>
  <c r="C48" i="3"/>
  <c r="G26" i="3"/>
  <c r="F26" i="3"/>
  <c r="E26" i="3"/>
  <c r="D26" i="3"/>
  <c r="C26" i="3"/>
  <c r="G20" i="3"/>
  <c r="F20" i="3"/>
  <c r="E20" i="3"/>
  <c r="D20" i="3"/>
  <c r="C20" i="3"/>
  <c r="G14" i="3"/>
  <c r="F14" i="3"/>
  <c r="E14" i="3"/>
  <c r="D14" i="3"/>
  <c r="C14" i="3"/>
  <c r="I12" i="28" l="1"/>
  <c r="L41" i="20"/>
  <c r="K41" i="20"/>
  <c r="L10" i="5"/>
  <c r="K10" i="5"/>
  <c r="H41" i="22"/>
  <c r="J41" i="21"/>
  <c r="H10" i="7"/>
  <c r="J10" i="6"/>
  <c r="C29" i="3"/>
  <c r="K10" i="3"/>
  <c r="G29" i="3"/>
  <c r="D29" i="3"/>
  <c r="E29" i="3"/>
  <c r="G48" i="3"/>
  <c r="F29" i="3"/>
  <c r="L41" i="21" l="1"/>
  <c r="K41" i="21"/>
  <c r="H41" i="23"/>
  <c r="J41" i="22"/>
  <c r="K10" i="6"/>
  <c r="L10" i="6"/>
  <c r="H10" i="8"/>
  <c r="J10" i="7"/>
  <c r="I41" i="2"/>
  <c r="I42" i="3" s="1"/>
  <c r="I42" i="4" s="1"/>
  <c r="I42" i="5" s="1"/>
  <c r="I42" i="6" s="1"/>
  <c r="H41" i="2"/>
  <c r="H42" i="3" s="1"/>
  <c r="H42" i="4" l="1"/>
  <c r="J42" i="3"/>
  <c r="K41" i="22"/>
  <c r="L41" i="22"/>
  <c r="H42" i="24"/>
  <c r="J42" i="24" s="1"/>
  <c r="J41" i="23"/>
  <c r="L10" i="7"/>
  <c r="K10" i="7"/>
  <c r="I42" i="7"/>
  <c r="I43" i="8" s="1"/>
  <c r="I44" i="9" s="1"/>
  <c r="I44" i="10" s="1"/>
  <c r="I44" i="11" s="1"/>
  <c r="I44" i="12" s="1"/>
  <c r="I44" i="13" s="1"/>
  <c r="I44" i="14" s="1"/>
  <c r="I44" i="15" s="1"/>
  <c r="I44" i="17" s="1"/>
  <c r="I44" i="18" s="1"/>
  <c r="I44" i="19" s="1"/>
  <c r="I44" i="20" s="1"/>
  <c r="I44" i="21" s="1"/>
  <c r="I44" i="22" s="1"/>
  <c r="I44" i="23" s="1"/>
  <c r="I45" i="24" s="1"/>
  <c r="I45" i="25" s="1"/>
  <c r="I45" i="26" s="1"/>
  <c r="I45" i="27" s="1"/>
  <c r="I45" i="28" s="1"/>
  <c r="H11" i="9"/>
  <c r="J10" i="8"/>
  <c r="J41" i="2"/>
  <c r="K41" i="2" s="1"/>
  <c r="L41" i="2"/>
  <c r="G16" i="2"/>
  <c r="F16" i="2"/>
  <c r="K10" i="8" l="1"/>
  <c r="L10" i="8"/>
  <c r="L41" i="23"/>
  <c r="K41" i="23"/>
  <c r="L42" i="24"/>
  <c r="K42" i="24"/>
  <c r="J11" i="9"/>
  <c r="H11" i="10"/>
  <c r="L42" i="3"/>
  <c r="K42" i="3"/>
  <c r="H42" i="5"/>
  <c r="J42" i="4"/>
  <c r="G45" i="2"/>
  <c r="F45" i="2"/>
  <c r="H38" i="2"/>
  <c r="H39" i="3" s="1"/>
  <c r="I38" i="2"/>
  <c r="I39" i="3" s="1"/>
  <c r="I39" i="4" s="1"/>
  <c r="I39" i="5" s="1"/>
  <c r="I39" i="6" s="1"/>
  <c r="I39" i="7" s="1"/>
  <c r="I39" i="8" s="1"/>
  <c r="I40" i="9" s="1"/>
  <c r="I40" i="10" s="1"/>
  <c r="I40" i="11" s="1"/>
  <c r="I40" i="12" s="1"/>
  <c r="I40" i="13" s="1"/>
  <c r="I40" i="14" s="1"/>
  <c r="I40" i="15" s="1"/>
  <c r="I40" i="17" s="1"/>
  <c r="I40" i="18" s="1"/>
  <c r="I40" i="19" s="1"/>
  <c r="I40" i="20" s="1"/>
  <c r="I40" i="21" s="1"/>
  <c r="I40" i="22" s="1"/>
  <c r="I40" i="23" s="1"/>
  <c r="I41" i="24" s="1"/>
  <c r="I41" i="25" s="1"/>
  <c r="I41" i="26" s="1"/>
  <c r="I41" i="27" s="1"/>
  <c r="I41" i="28" s="1"/>
  <c r="L42" i="4" l="1"/>
  <c r="K42" i="4"/>
  <c r="H39" i="4"/>
  <c r="J39" i="3"/>
  <c r="H42" i="6"/>
  <c r="J42" i="5"/>
  <c r="H11" i="11"/>
  <c r="J11" i="10"/>
  <c r="L11" i="9"/>
  <c r="K11" i="9"/>
  <c r="J38" i="2"/>
  <c r="K38" i="2" s="1"/>
  <c r="I54" i="2"/>
  <c r="I55" i="3" s="1"/>
  <c r="I56" i="3" l="1"/>
  <c r="I55" i="4"/>
  <c r="L42" i="5"/>
  <c r="K42" i="5"/>
  <c r="L39" i="3"/>
  <c r="K39" i="3"/>
  <c r="H39" i="5"/>
  <c r="J39" i="4"/>
  <c r="L11" i="10"/>
  <c r="K11" i="10"/>
  <c r="H42" i="7"/>
  <c r="J42" i="6"/>
  <c r="H11" i="12"/>
  <c r="J11" i="11"/>
  <c r="L38" i="2"/>
  <c r="I55" i="2"/>
  <c r="G55" i="2"/>
  <c r="F55" i="2"/>
  <c r="E55" i="2"/>
  <c r="D55" i="2"/>
  <c r="C55" i="2"/>
  <c r="G51" i="2"/>
  <c r="F51" i="2"/>
  <c r="E51" i="2"/>
  <c r="D51" i="2"/>
  <c r="C51" i="2"/>
  <c r="G47" i="2"/>
  <c r="F47" i="2"/>
  <c r="E47" i="2"/>
  <c r="D47" i="2"/>
  <c r="C47" i="2"/>
  <c r="G25" i="2"/>
  <c r="F25" i="2"/>
  <c r="E25" i="2"/>
  <c r="D25" i="2"/>
  <c r="C25" i="2"/>
  <c r="G19" i="2"/>
  <c r="F19" i="2"/>
  <c r="E19" i="2"/>
  <c r="D19" i="2"/>
  <c r="C19" i="2"/>
  <c r="G13" i="2"/>
  <c r="F13" i="2"/>
  <c r="E13" i="2"/>
  <c r="D13" i="2"/>
  <c r="C13" i="2"/>
  <c r="C28" i="2" s="1"/>
  <c r="L42" i="6" l="1"/>
  <c r="K42" i="6"/>
  <c r="J42" i="7"/>
  <c r="H43" i="8"/>
  <c r="L11" i="11"/>
  <c r="K11" i="11"/>
  <c r="L39" i="4"/>
  <c r="K39" i="4"/>
  <c r="I56" i="4"/>
  <c r="I55" i="5"/>
  <c r="J11" i="12"/>
  <c r="H11" i="13"/>
  <c r="H39" i="6"/>
  <c r="J39" i="5"/>
  <c r="G28" i="2"/>
  <c r="E28" i="2"/>
  <c r="D28" i="2"/>
  <c r="F28" i="2"/>
  <c r="I32" i="1"/>
  <c r="I32" i="2" s="1"/>
  <c r="I33" i="3" s="1"/>
  <c r="I33" i="4" s="1"/>
  <c r="I33" i="5" s="1"/>
  <c r="I33" i="6" s="1"/>
  <c r="I33" i="7" s="1"/>
  <c r="I33" i="8" s="1"/>
  <c r="I34" i="9" s="1"/>
  <c r="I34" i="10" s="1"/>
  <c r="H32" i="1"/>
  <c r="I43" i="1"/>
  <c r="I45" i="2" s="1"/>
  <c r="I46" i="3" s="1"/>
  <c r="I46" i="4" s="1"/>
  <c r="I46" i="5" s="1"/>
  <c r="I46" i="6" s="1"/>
  <c r="I46" i="7" s="1"/>
  <c r="I47" i="8" s="1"/>
  <c r="I48" i="9" s="1"/>
  <c r="I48" i="10" s="1"/>
  <c r="I48" i="11" s="1"/>
  <c r="I48" i="12" s="1"/>
  <c r="I48" i="13" s="1"/>
  <c r="I48" i="14" s="1"/>
  <c r="I48" i="15" s="1"/>
  <c r="I48" i="17" s="1"/>
  <c r="I48" i="18" s="1"/>
  <c r="I48" i="19" s="1"/>
  <c r="I48" i="20" s="1"/>
  <c r="I48" i="21" s="1"/>
  <c r="I48" i="22" s="1"/>
  <c r="I48" i="23" s="1"/>
  <c r="I49" i="24" s="1"/>
  <c r="I49" i="25" s="1"/>
  <c r="I49" i="26" s="1"/>
  <c r="I49" i="27" s="1"/>
  <c r="I49" i="28" s="1"/>
  <c r="H43" i="1"/>
  <c r="I42" i="1"/>
  <c r="I44" i="2" s="1"/>
  <c r="I45" i="3" s="1"/>
  <c r="I45" i="4" s="1"/>
  <c r="I45" i="5" s="1"/>
  <c r="I45" i="6" s="1"/>
  <c r="I45" i="7" s="1"/>
  <c r="I46" i="8" s="1"/>
  <c r="I47" i="9" s="1"/>
  <c r="I47" i="10" s="1"/>
  <c r="I47" i="11" s="1"/>
  <c r="I47" i="12" s="1"/>
  <c r="I47" i="13" s="1"/>
  <c r="I47" i="14" s="1"/>
  <c r="I47" i="15" s="1"/>
  <c r="I47" i="17" s="1"/>
  <c r="I47" i="18" s="1"/>
  <c r="I47" i="19" s="1"/>
  <c r="I47" i="20" s="1"/>
  <c r="I47" i="21" s="1"/>
  <c r="I47" i="22" s="1"/>
  <c r="I47" i="23" s="1"/>
  <c r="I48" i="24" s="1"/>
  <c r="I48" i="25" s="1"/>
  <c r="H42" i="1"/>
  <c r="H38" i="1"/>
  <c r="H39" i="2" s="1"/>
  <c r="I38" i="1"/>
  <c r="I39" i="2" s="1"/>
  <c r="I40" i="3" s="1"/>
  <c r="I40" i="4" s="1"/>
  <c r="I40" i="5" s="1"/>
  <c r="I40" i="6" s="1"/>
  <c r="I40" i="7" s="1"/>
  <c r="I41" i="8" s="1"/>
  <c r="I42" i="9" s="1"/>
  <c r="I42" i="10" s="1"/>
  <c r="I42" i="11" s="1"/>
  <c r="I42" i="12" s="1"/>
  <c r="I42" i="13" s="1"/>
  <c r="I42" i="14" s="1"/>
  <c r="I42" i="15" s="1"/>
  <c r="I42" i="17" s="1"/>
  <c r="I42" i="18" s="1"/>
  <c r="I42" i="19" s="1"/>
  <c r="I42" i="20" s="1"/>
  <c r="I42" i="21" s="1"/>
  <c r="I42" i="22" s="1"/>
  <c r="I42" i="23" s="1"/>
  <c r="I43" i="24" s="1"/>
  <c r="I43" i="25" s="1"/>
  <c r="I43" i="26" s="1"/>
  <c r="I43" i="27" s="1"/>
  <c r="I43" i="28" s="1"/>
  <c r="I39" i="1"/>
  <c r="I40" i="2" s="1"/>
  <c r="I41" i="3" s="1"/>
  <c r="I41" i="4" s="1"/>
  <c r="I41" i="5" s="1"/>
  <c r="I41" i="6" s="1"/>
  <c r="I41" i="7" s="1"/>
  <c r="I42" i="8" s="1"/>
  <c r="I43" i="9" s="1"/>
  <c r="I43" i="10" s="1"/>
  <c r="I43" i="11" s="1"/>
  <c r="I43" i="12" s="1"/>
  <c r="I43" i="13" s="1"/>
  <c r="I43" i="14" s="1"/>
  <c r="I43" i="15" s="1"/>
  <c r="I43" i="17" s="1"/>
  <c r="I43" i="18" s="1"/>
  <c r="I43" i="19" s="1"/>
  <c r="I43" i="20" s="1"/>
  <c r="I43" i="21" s="1"/>
  <c r="I43" i="22" s="1"/>
  <c r="I43" i="23" s="1"/>
  <c r="I44" i="24" s="1"/>
  <c r="I44" i="25" s="1"/>
  <c r="I44" i="26" s="1"/>
  <c r="I44" i="27" s="1"/>
  <c r="I44" i="28" s="1"/>
  <c r="H39" i="1"/>
  <c r="H44" i="1"/>
  <c r="H46" i="2" s="1"/>
  <c r="I44" i="1"/>
  <c r="I46" i="2" s="1"/>
  <c r="I47" i="3" s="1"/>
  <c r="I47" i="4" s="1"/>
  <c r="I47" i="5" s="1"/>
  <c r="I47" i="6" s="1"/>
  <c r="I47" i="7" s="1"/>
  <c r="I48" i="8" s="1"/>
  <c r="I49" i="9" s="1"/>
  <c r="I49" i="10" s="1"/>
  <c r="I49" i="11" s="1"/>
  <c r="I49" i="12" s="1"/>
  <c r="I49" i="13" s="1"/>
  <c r="I49" i="14" s="1"/>
  <c r="I49" i="15" s="1"/>
  <c r="I49" i="17" s="1"/>
  <c r="I49" i="18" s="1"/>
  <c r="I49" i="19" s="1"/>
  <c r="F45" i="1"/>
  <c r="G45" i="1"/>
  <c r="E45" i="1"/>
  <c r="D45" i="1"/>
  <c r="C45" i="1"/>
  <c r="I48" i="26" l="1"/>
  <c r="I48" i="27" s="1"/>
  <c r="I48" i="28" s="1"/>
  <c r="H11" i="14"/>
  <c r="J11" i="13"/>
  <c r="I56" i="5"/>
  <c r="I55" i="6"/>
  <c r="H44" i="9"/>
  <c r="J43" i="8"/>
  <c r="J39" i="1"/>
  <c r="H40" i="2"/>
  <c r="L42" i="7"/>
  <c r="K42" i="7"/>
  <c r="H47" i="3"/>
  <c r="J46" i="2"/>
  <c r="L11" i="12"/>
  <c r="K11" i="12"/>
  <c r="H40" i="3"/>
  <c r="J39" i="2"/>
  <c r="L39" i="5"/>
  <c r="K39" i="5"/>
  <c r="I49" i="20"/>
  <c r="I49" i="21" s="1"/>
  <c r="I49" i="22" s="1"/>
  <c r="I49" i="23" s="1"/>
  <c r="I50" i="24" s="1"/>
  <c r="I50" i="25" s="1"/>
  <c r="I50" i="26" s="1"/>
  <c r="I50" i="27" s="1"/>
  <c r="I50" i="28" s="1"/>
  <c r="J42" i="1"/>
  <c r="L42" i="1" s="1"/>
  <c r="H44" i="2"/>
  <c r="H39" i="7"/>
  <c r="J39" i="6"/>
  <c r="I34" i="11"/>
  <c r="J32" i="1"/>
  <c r="H32" i="2"/>
  <c r="J43" i="1"/>
  <c r="K43" i="1" s="1"/>
  <c r="H45" i="2"/>
  <c r="H46" i="3" s="1"/>
  <c r="K32" i="1"/>
  <c r="L32" i="1"/>
  <c r="J38" i="1"/>
  <c r="K38" i="1" s="1"/>
  <c r="J44" i="1"/>
  <c r="L44" i="1"/>
  <c r="K44" i="1"/>
  <c r="K42" i="1"/>
  <c r="L38" i="1"/>
  <c r="L39" i="1"/>
  <c r="K39" i="1"/>
  <c r="H17" i="1"/>
  <c r="H17" i="2" s="1"/>
  <c r="H18" i="3" s="1"/>
  <c r="I17" i="1"/>
  <c r="I17" i="2" s="1"/>
  <c r="I18" i="3" s="1"/>
  <c r="I18" i="4" s="1"/>
  <c r="I18" i="5" s="1"/>
  <c r="I18" i="6" s="1"/>
  <c r="I18" i="7" s="1"/>
  <c r="I18" i="8" s="1"/>
  <c r="I19" i="9" s="1"/>
  <c r="I19" i="10" s="1"/>
  <c r="I19" i="11" s="1"/>
  <c r="I19" i="12" s="1"/>
  <c r="I19" i="13" s="1"/>
  <c r="I19" i="14" s="1"/>
  <c r="I19" i="15" s="1"/>
  <c r="I19" i="17" s="1"/>
  <c r="I19" i="18" s="1"/>
  <c r="I19" i="19" s="1"/>
  <c r="I19" i="20" s="1"/>
  <c r="I19" i="21" s="1"/>
  <c r="I19" i="22" s="1"/>
  <c r="I19" i="23" s="1"/>
  <c r="I20" i="24" s="1"/>
  <c r="I20" i="25" s="1"/>
  <c r="I20" i="26" s="1"/>
  <c r="I20" i="27" s="1"/>
  <c r="I20" i="28" s="1"/>
  <c r="H18" i="1"/>
  <c r="H18" i="2" s="1"/>
  <c r="I18" i="1"/>
  <c r="I18" i="2" s="1"/>
  <c r="I19" i="3" s="1"/>
  <c r="I19" i="4" s="1"/>
  <c r="I19" i="5" s="1"/>
  <c r="I19" i="6" s="1"/>
  <c r="I19" i="7" s="1"/>
  <c r="I19" i="8" s="1"/>
  <c r="I20" i="9" s="1"/>
  <c r="I20" i="10" s="1"/>
  <c r="I20" i="11" s="1"/>
  <c r="I20" i="12" s="1"/>
  <c r="I20" i="13" s="1"/>
  <c r="I20" i="14" s="1"/>
  <c r="I20" i="15" s="1"/>
  <c r="I20" i="17" s="1"/>
  <c r="I20" i="18" s="1"/>
  <c r="I20" i="19" s="1"/>
  <c r="I20" i="20" s="1"/>
  <c r="I20" i="21" s="1"/>
  <c r="I20" i="22" s="1"/>
  <c r="I20" i="23" s="1"/>
  <c r="I21" i="24" s="1"/>
  <c r="I21" i="25" s="1"/>
  <c r="I21" i="26" s="1"/>
  <c r="I21" i="27" s="1"/>
  <c r="I21" i="28" s="1"/>
  <c r="H23" i="1"/>
  <c r="H23" i="2" s="1"/>
  <c r="I23" i="1"/>
  <c r="I23" i="2" s="1"/>
  <c r="I24" i="3" s="1"/>
  <c r="I24" i="4" s="1"/>
  <c r="I24" i="5" s="1"/>
  <c r="H24" i="1"/>
  <c r="H24" i="2" s="1"/>
  <c r="H25" i="3" s="1"/>
  <c r="I24" i="1"/>
  <c r="I24" i="2" s="1"/>
  <c r="H33" i="1"/>
  <c r="H33" i="2" s="1"/>
  <c r="H34" i="3" s="1"/>
  <c r="I33" i="1"/>
  <c r="I33" i="2" s="1"/>
  <c r="I34" i="3" s="1"/>
  <c r="I34" i="4" s="1"/>
  <c r="I34" i="5" s="1"/>
  <c r="I34" i="6" s="1"/>
  <c r="I34" i="7" s="1"/>
  <c r="I34" i="8" s="1"/>
  <c r="I35" i="9" s="1"/>
  <c r="I35" i="10" s="1"/>
  <c r="I35" i="11" s="1"/>
  <c r="I35" i="12" s="1"/>
  <c r="I35" i="13" s="1"/>
  <c r="I35" i="14" s="1"/>
  <c r="I35" i="15" s="1"/>
  <c r="I35" i="17" s="1"/>
  <c r="I35" i="18" s="1"/>
  <c r="I35" i="19" s="1"/>
  <c r="I35" i="20" s="1"/>
  <c r="I35" i="21" s="1"/>
  <c r="I35" i="22" s="1"/>
  <c r="I36" i="23" s="1"/>
  <c r="I37" i="24" s="1"/>
  <c r="I37" i="25" s="1"/>
  <c r="H34" i="1"/>
  <c r="H34" i="2" s="1"/>
  <c r="H35" i="3" s="1"/>
  <c r="H35" i="4" s="1"/>
  <c r="I34" i="1"/>
  <c r="I34" i="2" s="1"/>
  <c r="I35" i="3" s="1"/>
  <c r="H35" i="1"/>
  <c r="H35" i="2" s="1"/>
  <c r="I35" i="1"/>
  <c r="I35" i="2" s="1"/>
  <c r="I36" i="3" s="1"/>
  <c r="I36" i="4" s="1"/>
  <c r="I36" i="5" s="1"/>
  <c r="I36" i="6" s="1"/>
  <c r="I36" i="7" s="1"/>
  <c r="I36" i="8" s="1"/>
  <c r="I37" i="9" s="1"/>
  <c r="I37" i="10" s="1"/>
  <c r="I37" i="11" s="1"/>
  <c r="I37" i="12" s="1"/>
  <c r="I37" i="13" s="1"/>
  <c r="I37" i="14" s="1"/>
  <c r="I37" i="15" s="1"/>
  <c r="I37" i="17" s="1"/>
  <c r="I37" i="18" s="1"/>
  <c r="H36" i="1"/>
  <c r="H36" i="2" s="1"/>
  <c r="H37" i="3" s="1"/>
  <c r="I36" i="1"/>
  <c r="I36" i="2" s="1"/>
  <c r="I37" i="3" s="1"/>
  <c r="I37" i="4" s="1"/>
  <c r="I37" i="5" s="1"/>
  <c r="I37" i="6" s="1"/>
  <c r="I37" i="7" s="1"/>
  <c r="I37" i="8" s="1"/>
  <c r="I38" i="9" s="1"/>
  <c r="H37" i="1"/>
  <c r="H37" i="2" s="1"/>
  <c r="H38" i="3" s="1"/>
  <c r="I37" i="1"/>
  <c r="I37" i="2" s="1"/>
  <c r="I38" i="3" s="1"/>
  <c r="I38" i="4" s="1"/>
  <c r="H41" i="1"/>
  <c r="H43" i="2" s="1"/>
  <c r="H44" i="3" s="1"/>
  <c r="I41" i="1"/>
  <c r="I43" i="2" s="1"/>
  <c r="I44" i="3" s="1"/>
  <c r="I44" i="4" s="1"/>
  <c r="I44" i="5" s="1"/>
  <c r="I44" i="6" s="1"/>
  <c r="I44" i="7" s="1"/>
  <c r="I45" i="8" s="1"/>
  <c r="I46" i="9" s="1"/>
  <c r="I46" i="10" s="1"/>
  <c r="I46" i="11" s="1"/>
  <c r="I46" i="12" s="1"/>
  <c r="I46" i="13" s="1"/>
  <c r="I46" i="14" s="1"/>
  <c r="H40" i="1"/>
  <c r="H42" i="2" s="1"/>
  <c r="H43" i="3" s="1"/>
  <c r="I40" i="1"/>
  <c r="I42" i="2" s="1"/>
  <c r="I43" i="3" s="1"/>
  <c r="I43" i="4" s="1"/>
  <c r="I43" i="5" s="1"/>
  <c r="I43" i="6" s="1"/>
  <c r="I43" i="7" s="1"/>
  <c r="I44" i="8" s="1"/>
  <c r="I45" i="9" s="1"/>
  <c r="I45" i="10" s="1"/>
  <c r="I45" i="11" s="1"/>
  <c r="I45" i="12" s="1"/>
  <c r="I45" i="13" s="1"/>
  <c r="I45" i="14" s="1"/>
  <c r="I45" i="15" s="1"/>
  <c r="I45" i="17" s="1"/>
  <c r="I45" i="18" s="1"/>
  <c r="I45" i="19" s="1"/>
  <c r="I45" i="20" s="1"/>
  <c r="I45" i="21" s="1"/>
  <c r="I45" i="22" s="1"/>
  <c r="I45" i="23" s="1"/>
  <c r="I46" i="24" s="1"/>
  <c r="I46" i="25" s="1"/>
  <c r="I46" i="26" s="1"/>
  <c r="I46" i="27" s="1"/>
  <c r="I46" i="28" s="1"/>
  <c r="H52" i="1"/>
  <c r="H54" i="2" s="1"/>
  <c r="I48" i="1"/>
  <c r="I50" i="2" s="1"/>
  <c r="H48" i="1"/>
  <c r="H50" i="2" s="1"/>
  <c r="I31" i="1"/>
  <c r="I31" i="2" s="1"/>
  <c r="I32" i="3" s="1"/>
  <c r="H31" i="1"/>
  <c r="H31" i="2" s="1"/>
  <c r="H32" i="3" s="1"/>
  <c r="I22" i="1"/>
  <c r="I22" i="2" s="1"/>
  <c r="I23" i="3" s="1"/>
  <c r="H22" i="1"/>
  <c r="H22" i="2" s="1"/>
  <c r="I16" i="1"/>
  <c r="I16" i="2" s="1"/>
  <c r="I17" i="3" s="1"/>
  <c r="H16" i="1"/>
  <c r="H16" i="2" s="1"/>
  <c r="H17" i="3" s="1"/>
  <c r="H4" i="1"/>
  <c r="H4" i="2" s="1"/>
  <c r="H4" i="3" s="1"/>
  <c r="I4" i="1"/>
  <c r="I4" i="2" s="1"/>
  <c r="I4" i="3" s="1"/>
  <c r="I4" i="4" s="1"/>
  <c r="I4" i="5" s="1"/>
  <c r="I4" i="6" s="1"/>
  <c r="I4" i="7" s="1"/>
  <c r="I4" i="8" s="1"/>
  <c r="I4" i="9" s="1"/>
  <c r="I4" i="10" s="1"/>
  <c r="I4" i="11" s="1"/>
  <c r="I4" i="12" s="1"/>
  <c r="I4" i="13" s="1"/>
  <c r="I4" i="14" s="1"/>
  <c r="I4" i="15" s="1"/>
  <c r="I4" i="17" s="1"/>
  <c r="I4" i="18" s="1"/>
  <c r="I4" i="19" s="1"/>
  <c r="I4" i="20" s="1"/>
  <c r="I4" i="21" s="1"/>
  <c r="I4" i="22" s="1"/>
  <c r="H5" i="1"/>
  <c r="H5" i="2" s="1"/>
  <c r="I5" i="1"/>
  <c r="I5" i="2" s="1"/>
  <c r="I5" i="3" s="1"/>
  <c r="I5" i="4" s="1"/>
  <c r="I5" i="5" s="1"/>
  <c r="I5" i="6" s="1"/>
  <c r="I5" i="7" s="1"/>
  <c r="I5" i="8" s="1"/>
  <c r="I5" i="9" s="1"/>
  <c r="I5" i="10" s="1"/>
  <c r="I5" i="11" s="1"/>
  <c r="I5" i="12" s="1"/>
  <c r="I5" i="13" s="1"/>
  <c r="I5" i="14" s="1"/>
  <c r="I5" i="15" s="1"/>
  <c r="I5" i="17" s="1"/>
  <c r="I5" i="18" s="1"/>
  <c r="I5" i="19" s="1"/>
  <c r="I5" i="20" s="1"/>
  <c r="I5" i="21" s="1"/>
  <c r="I5" i="22" s="1"/>
  <c r="I5" i="23" s="1"/>
  <c r="I6" i="24" s="1"/>
  <c r="I6" i="25" s="1"/>
  <c r="I6" i="26" s="1"/>
  <c r="I6" i="27" s="1"/>
  <c r="I6" i="28" s="1"/>
  <c r="H6" i="1"/>
  <c r="H6" i="2" s="1"/>
  <c r="H6" i="3" s="1"/>
  <c r="I6" i="1"/>
  <c r="I6" i="2" s="1"/>
  <c r="I6" i="3" s="1"/>
  <c r="I6" i="4" s="1"/>
  <c r="I6" i="5" s="1"/>
  <c r="I6" i="6" s="1"/>
  <c r="I6" i="7" s="1"/>
  <c r="I6" i="8" s="1"/>
  <c r="I6" i="9" s="1"/>
  <c r="I6" i="10" s="1"/>
  <c r="I6" i="11" s="1"/>
  <c r="I6" i="12" s="1"/>
  <c r="I6" i="13" s="1"/>
  <c r="I6" i="14" s="1"/>
  <c r="I6" i="15" s="1"/>
  <c r="I6" i="17" s="1"/>
  <c r="I6" i="18" s="1"/>
  <c r="I6" i="19" s="1"/>
  <c r="I6" i="20" s="1"/>
  <c r="I6" i="21" s="1"/>
  <c r="I6" i="22" s="1"/>
  <c r="I6" i="23" s="1"/>
  <c r="I7" i="24" s="1"/>
  <c r="I7" i="25" s="1"/>
  <c r="I7" i="26" s="1"/>
  <c r="I7" i="27" s="1"/>
  <c r="I7" i="28" s="1"/>
  <c r="H7" i="1"/>
  <c r="H7" i="2" s="1"/>
  <c r="H7" i="3" s="1"/>
  <c r="I7" i="1"/>
  <c r="I7" i="2" s="1"/>
  <c r="I7" i="3" s="1"/>
  <c r="I7" i="4" s="1"/>
  <c r="I7" i="5" s="1"/>
  <c r="I7" i="6" s="1"/>
  <c r="I7" i="7" s="1"/>
  <c r="I7" i="8" s="1"/>
  <c r="I7" i="9" s="1"/>
  <c r="I7" i="10" s="1"/>
  <c r="I7" i="11" s="1"/>
  <c r="I7" i="12" s="1"/>
  <c r="I7" i="13" s="1"/>
  <c r="I7" i="14" s="1"/>
  <c r="I7" i="15" s="1"/>
  <c r="I7" i="17" s="1"/>
  <c r="I7" i="18" s="1"/>
  <c r="I7" i="19" s="1"/>
  <c r="I7" i="20" s="1"/>
  <c r="I7" i="21" s="1"/>
  <c r="I7" i="22" s="1"/>
  <c r="I7" i="23" s="1"/>
  <c r="I8" i="24" s="1"/>
  <c r="I8" i="25" s="1"/>
  <c r="I8" i="26" s="1"/>
  <c r="I8" i="27" s="1"/>
  <c r="I8" i="28" s="1"/>
  <c r="H8" i="1"/>
  <c r="H8" i="2" s="1"/>
  <c r="I8" i="1"/>
  <c r="I8" i="2" s="1"/>
  <c r="I8" i="3" s="1"/>
  <c r="I8" i="4" s="1"/>
  <c r="I8" i="5" s="1"/>
  <c r="I8" i="6" s="1"/>
  <c r="I8" i="7" s="1"/>
  <c r="I8" i="8" s="1"/>
  <c r="I9" i="9" s="1"/>
  <c r="I9" i="10" s="1"/>
  <c r="I9" i="11" s="1"/>
  <c r="I9" i="12" s="1"/>
  <c r="H9" i="1"/>
  <c r="H9" i="2" s="1"/>
  <c r="I9" i="1"/>
  <c r="I9" i="2" s="1"/>
  <c r="I9" i="3" s="1"/>
  <c r="I9" i="4" s="1"/>
  <c r="I9" i="5" s="1"/>
  <c r="I9" i="6" s="1"/>
  <c r="I9" i="7" s="1"/>
  <c r="I9" i="8" s="1"/>
  <c r="I10" i="9" s="1"/>
  <c r="I10" i="10" s="1"/>
  <c r="I10" i="11" s="1"/>
  <c r="I10" i="12" s="1"/>
  <c r="I10" i="13" s="1"/>
  <c r="I10" i="14" s="1"/>
  <c r="I10" i="15" s="1"/>
  <c r="I10" i="17" s="1"/>
  <c r="I10" i="18" s="1"/>
  <c r="I10" i="19" s="1"/>
  <c r="I10" i="20" s="1"/>
  <c r="I10" i="21" s="1"/>
  <c r="I10" i="22" s="1"/>
  <c r="I10" i="23" s="1"/>
  <c r="I11" i="24" s="1"/>
  <c r="I11" i="25" s="1"/>
  <c r="I11" i="26" s="1"/>
  <c r="I11" i="27" s="1"/>
  <c r="I11" i="28" s="1"/>
  <c r="H10" i="1"/>
  <c r="H10" i="2" s="1"/>
  <c r="I10" i="1"/>
  <c r="I10" i="2" s="1"/>
  <c r="I11" i="3" s="1"/>
  <c r="I11" i="4" s="1"/>
  <c r="I11" i="5" s="1"/>
  <c r="I11" i="6" s="1"/>
  <c r="I11" i="7" s="1"/>
  <c r="I11" i="8" s="1"/>
  <c r="I12" i="9" s="1"/>
  <c r="I12" i="10" s="1"/>
  <c r="I12" i="11" s="1"/>
  <c r="I12" i="12" s="1"/>
  <c r="I12" i="13" s="1"/>
  <c r="I12" i="14" s="1"/>
  <c r="I12" i="15" s="1"/>
  <c r="I12" i="17" s="1"/>
  <c r="I12" i="18" s="1"/>
  <c r="I12" i="19" s="1"/>
  <c r="I12" i="20" s="1"/>
  <c r="I12" i="21" s="1"/>
  <c r="I12" i="22" s="1"/>
  <c r="I12" i="23" s="1"/>
  <c r="I13" i="24" s="1"/>
  <c r="I13" i="25" s="1"/>
  <c r="I13" i="26" s="1"/>
  <c r="I13" i="27" s="1"/>
  <c r="I13" i="28" s="1"/>
  <c r="H11" i="1"/>
  <c r="H11" i="2" s="1"/>
  <c r="I11" i="1"/>
  <c r="I11" i="2" s="1"/>
  <c r="I12" i="3" s="1"/>
  <c r="I12" i="4" s="1"/>
  <c r="I12" i="5" s="1"/>
  <c r="I12" i="6" s="1"/>
  <c r="I12" i="7" s="1"/>
  <c r="I12" i="8" s="1"/>
  <c r="I13" i="9" s="1"/>
  <c r="I13" i="10" s="1"/>
  <c r="I13" i="11" s="1"/>
  <c r="I13" i="12" s="1"/>
  <c r="I13" i="13" s="1"/>
  <c r="I13" i="14" s="1"/>
  <c r="I13" i="15" s="1"/>
  <c r="I13" i="17" s="1"/>
  <c r="I13" i="18" s="1"/>
  <c r="I13" i="19" s="1"/>
  <c r="I13" i="20" s="1"/>
  <c r="I13" i="21" s="1"/>
  <c r="I13" i="22" s="1"/>
  <c r="I13" i="23" s="1"/>
  <c r="I14" i="24" s="1"/>
  <c r="I14" i="25" s="1"/>
  <c r="I14" i="26" s="1"/>
  <c r="I14" i="27" s="1"/>
  <c r="I14" i="28" s="1"/>
  <c r="H12" i="1"/>
  <c r="H12" i="2" s="1"/>
  <c r="I12" i="1"/>
  <c r="I12" i="2" s="1"/>
  <c r="I13" i="3" s="1"/>
  <c r="I13" i="4" s="1"/>
  <c r="I13" i="5" s="1"/>
  <c r="I13" i="6" s="1"/>
  <c r="I13" i="7" s="1"/>
  <c r="I13" i="8" s="1"/>
  <c r="I14" i="9" s="1"/>
  <c r="I14" i="10" s="1"/>
  <c r="I14" i="11" s="1"/>
  <c r="I14" i="12" s="1"/>
  <c r="I14" i="13" s="1"/>
  <c r="I3" i="1"/>
  <c r="I3" i="2" s="1"/>
  <c r="I3" i="3" s="1"/>
  <c r="H3" i="1"/>
  <c r="H3" i="2" s="1"/>
  <c r="H3" i="3" s="1"/>
  <c r="I37" i="26" l="1"/>
  <c r="I37" i="27" s="1"/>
  <c r="I37" i="28" s="1"/>
  <c r="H13" i="3"/>
  <c r="J12" i="2"/>
  <c r="I38" i="5"/>
  <c r="I38" i="6" s="1"/>
  <c r="I38" i="7" s="1"/>
  <c r="I38" i="8" s="1"/>
  <c r="I39" i="9" s="1"/>
  <c r="I39" i="10" s="1"/>
  <c r="I39" i="11" s="1"/>
  <c r="I39" i="12" s="1"/>
  <c r="I39" i="13" s="1"/>
  <c r="I39" i="14" s="1"/>
  <c r="I14" i="14"/>
  <c r="I14" i="15" s="1"/>
  <c r="I14" i="17" s="1"/>
  <c r="I14" i="18" s="1"/>
  <c r="I14" i="19" s="1"/>
  <c r="I14" i="20" s="1"/>
  <c r="I14" i="21" s="1"/>
  <c r="I14" i="22" s="1"/>
  <c r="I14" i="23" s="1"/>
  <c r="I15" i="24" s="1"/>
  <c r="I15" i="25" s="1"/>
  <c r="I15" i="26" s="1"/>
  <c r="I15" i="27" s="1"/>
  <c r="I15" i="28" s="1"/>
  <c r="H17" i="4"/>
  <c r="H20" i="3"/>
  <c r="J17" i="3"/>
  <c r="H51" i="3"/>
  <c r="H51" i="2"/>
  <c r="J50" i="2"/>
  <c r="H44" i="4"/>
  <c r="J44" i="3"/>
  <c r="H36" i="3"/>
  <c r="J35" i="2"/>
  <c r="H25" i="4"/>
  <c r="H18" i="4"/>
  <c r="J18" i="3"/>
  <c r="L39" i="6"/>
  <c r="K39" i="6"/>
  <c r="L46" i="2"/>
  <c r="K46" i="2"/>
  <c r="L43" i="8"/>
  <c r="K43" i="8"/>
  <c r="H9" i="3"/>
  <c r="J9" i="2"/>
  <c r="I51" i="3"/>
  <c r="I51" i="2"/>
  <c r="H44" i="10"/>
  <c r="J44" i="9"/>
  <c r="I9" i="13"/>
  <c r="I9" i="14" s="1"/>
  <c r="I9" i="15" s="1"/>
  <c r="I9" i="17" s="1"/>
  <c r="I9" i="18" s="1"/>
  <c r="I9" i="19" s="1"/>
  <c r="I9" i="20" s="1"/>
  <c r="I9" i="21" s="1"/>
  <c r="I9" i="22" s="1"/>
  <c r="I9" i="23" s="1"/>
  <c r="I10" i="24" s="1"/>
  <c r="I10" i="25" s="1"/>
  <c r="H23" i="3"/>
  <c r="J22" i="2"/>
  <c r="H55" i="3"/>
  <c r="H55" i="2"/>
  <c r="J54" i="2"/>
  <c r="H38" i="4"/>
  <c r="H38" i="5" s="1"/>
  <c r="J38" i="3"/>
  <c r="H35" i="5"/>
  <c r="H24" i="3"/>
  <c r="J23" i="2"/>
  <c r="H46" i="4"/>
  <c r="J46" i="3"/>
  <c r="H45" i="3"/>
  <c r="J44" i="2"/>
  <c r="L39" i="2"/>
  <c r="K39" i="2"/>
  <c r="I56" i="6"/>
  <c r="I55" i="7"/>
  <c r="I17" i="4"/>
  <c r="I20" i="3"/>
  <c r="H39" i="8"/>
  <c r="J39" i="7"/>
  <c r="I38" i="10"/>
  <c r="I38" i="11" s="1"/>
  <c r="I38" i="12" s="1"/>
  <c r="I38" i="13" s="1"/>
  <c r="I38" i="14" s="1"/>
  <c r="I38" i="15" s="1"/>
  <c r="I38" i="17" s="1"/>
  <c r="I38" i="18" s="1"/>
  <c r="I38" i="19" s="1"/>
  <c r="I38" i="20" s="1"/>
  <c r="I38" i="21" s="1"/>
  <c r="I38" i="22" s="1"/>
  <c r="I27" i="23" s="1"/>
  <c r="I28" i="24" s="1"/>
  <c r="I28" i="25" s="1"/>
  <c r="I28" i="26" s="1"/>
  <c r="I28" i="27" s="1"/>
  <c r="I28" i="28" s="1"/>
  <c r="H40" i="4"/>
  <c r="J40" i="3"/>
  <c r="I24" i="6"/>
  <c r="H12" i="3"/>
  <c r="J11" i="2"/>
  <c r="H5" i="3"/>
  <c r="J5" i="2"/>
  <c r="I23" i="4"/>
  <c r="H3" i="4"/>
  <c r="J3" i="3"/>
  <c r="I4" i="23"/>
  <c r="I4" i="24" s="1"/>
  <c r="I4" i="25" s="1"/>
  <c r="I4" i="26" s="1"/>
  <c r="I4" i="27" s="1"/>
  <c r="I4" i="28" s="1"/>
  <c r="H32" i="4"/>
  <c r="J32" i="3"/>
  <c r="H43" i="4"/>
  <c r="J43" i="3"/>
  <c r="H37" i="4"/>
  <c r="J37" i="3"/>
  <c r="H34" i="4"/>
  <c r="J34" i="3"/>
  <c r="H19" i="3"/>
  <c r="J18" i="2"/>
  <c r="J32" i="2"/>
  <c r="H41" i="3"/>
  <c r="J40" i="2"/>
  <c r="L11" i="13"/>
  <c r="K11" i="13"/>
  <c r="H6" i="4"/>
  <c r="J6" i="3"/>
  <c r="J35" i="3"/>
  <c r="I35" i="4"/>
  <c r="I35" i="5" s="1"/>
  <c r="I35" i="6" s="1"/>
  <c r="I35" i="7" s="1"/>
  <c r="I35" i="8" s="1"/>
  <c r="I36" i="9" s="1"/>
  <c r="I36" i="10" s="1"/>
  <c r="I36" i="11" s="1"/>
  <c r="I36" i="12" s="1"/>
  <c r="I36" i="13" s="1"/>
  <c r="I36" i="14" s="1"/>
  <c r="I36" i="15" s="1"/>
  <c r="I36" i="17" s="1"/>
  <c r="I36" i="18" s="1"/>
  <c r="I36" i="19" s="1"/>
  <c r="I36" i="20" s="1"/>
  <c r="I36" i="21" s="1"/>
  <c r="I36" i="22" s="1"/>
  <c r="I37" i="23" s="1"/>
  <c r="I38" i="24" s="1"/>
  <c r="I38" i="25" s="1"/>
  <c r="I38" i="26" s="1"/>
  <c r="I38" i="27" s="1"/>
  <c r="I38" i="28" s="1"/>
  <c r="H47" i="4"/>
  <c r="J47" i="3"/>
  <c r="H8" i="3"/>
  <c r="J8" i="2"/>
  <c r="I3" i="4"/>
  <c r="I14" i="3"/>
  <c r="H11" i="3"/>
  <c r="H14" i="3" s="1"/>
  <c r="J10" i="2"/>
  <c r="H7" i="4"/>
  <c r="J7" i="3"/>
  <c r="H4" i="4"/>
  <c r="J4" i="3"/>
  <c r="I32" i="4"/>
  <c r="I48" i="3"/>
  <c r="I46" i="15"/>
  <c r="I46" i="17" s="1"/>
  <c r="I46" i="18" s="1"/>
  <c r="I46" i="19" s="1"/>
  <c r="I46" i="20" s="1"/>
  <c r="I46" i="21" s="1"/>
  <c r="I46" i="22" s="1"/>
  <c r="I46" i="23" s="1"/>
  <c r="I47" i="24" s="1"/>
  <c r="I47" i="25" s="1"/>
  <c r="I47" i="26" s="1"/>
  <c r="I47" i="27" s="1"/>
  <c r="I47" i="28" s="1"/>
  <c r="I25" i="2"/>
  <c r="I25" i="3"/>
  <c r="I25" i="4" s="1"/>
  <c r="I25" i="5" s="1"/>
  <c r="I25" i="6" s="1"/>
  <c r="I25" i="7" s="1"/>
  <c r="I25" i="8" s="1"/>
  <c r="I26" i="9" s="1"/>
  <c r="I26" i="10" s="1"/>
  <c r="I26" i="11" s="1"/>
  <c r="I26" i="12" s="1"/>
  <c r="I26" i="13" s="1"/>
  <c r="I26" i="14" s="1"/>
  <c r="I26" i="15" s="1"/>
  <c r="I26" i="17" s="1"/>
  <c r="I26" i="18" s="1"/>
  <c r="I26" i="19" s="1"/>
  <c r="I26" i="20" s="1"/>
  <c r="I26" i="21" s="1"/>
  <c r="I26" i="22" s="1"/>
  <c r="I26" i="23" s="1"/>
  <c r="I27" i="24" s="1"/>
  <c r="I27" i="25" s="1"/>
  <c r="I27" i="26" s="1"/>
  <c r="I27" i="27" s="1"/>
  <c r="I27" i="28" s="1"/>
  <c r="L43" i="1"/>
  <c r="H11" i="15"/>
  <c r="J11" i="14"/>
  <c r="I34" i="12"/>
  <c r="I37" i="19"/>
  <c r="I19" i="2"/>
  <c r="J33" i="2"/>
  <c r="J36" i="2"/>
  <c r="K36" i="2" s="1"/>
  <c r="J34" i="2"/>
  <c r="L34" i="2" s="1"/>
  <c r="J6" i="2"/>
  <c r="L6" i="2" s="1"/>
  <c r="J43" i="2"/>
  <c r="L43" i="2" s="1"/>
  <c r="J42" i="2"/>
  <c r="L42" i="2" s="1"/>
  <c r="J37" i="2"/>
  <c r="L37" i="2" s="1"/>
  <c r="L36" i="2"/>
  <c r="I47" i="2"/>
  <c r="L32" i="2"/>
  <c r="K32" i="2"/>
  <c r="J31" i="2"/>
  <c r="L31" i="2" s="1"/>
  <c r="H25" i="2"/>
  <c r="J24" i="2"/>
  <c r="J17" i="2"/>
  <c r="L17" i="2" s="1"/>
  <c r="K17" i="2"/>
  <c r="H19" i="2"/>
  <c r="J16" i="2"/>
  <c r="J7" i="2"/>
  <c r="L7" i="2" s="1"/>
  <c r="J3" i="2"/>
  <c r="L3" i="2" s="1"/>
  <c r="I13" i="2"/>
  <c r="H13" i="2"/>
  <c r="J4" i="2"/>
  <c r="J45" i="2"/>
  <c r="H47" i="2"/>
  <c r="J52" i="1"/>
  <c r="L52" i="1" s="1"/>
  <c r="J5" i="1"/>
  <c r="L5" i="1" s="1"/>
  <c r="I45" i="1"/>
  <c r="H45" i="1"/>
  <c r="J10" i="1"/>
  <c r="L10" i="1" s="1"/>
  <c r="J36" i="1"/>
  <c r="K36" i="1" s="1"/>
  <c r="J17" i="1"/>
  <c r="L17" i="1" s="1"/>
  <c r="J6" i="1"/>
  <c r="K6" i="1" s="1"/>
  <c r="J12" i="1"/>
  <c r="K12" i="1" s="1"/>
  <c r="J9" i="1"/>
  <c r="K9" i="1" s="1"/>
  <c r="J4" i="1"/>
  <c r="L4" i="1" s="1"/>
  <c r="J23" i="1"/>
  <c r="K23" i="1" s="1"/>
  <c r="J11" i="1"/>
  <c r="K11" i="1" s="1"/>
  <c r="J18" i="1"/>
  <c r="L18" i="1" s="1"/>
  <c r="J7" i="1"/>
  <c r="K7" i="1" s="1"/>
  <c r="J41" i="1"/>
  <c r="K41" i="1" s="1"/>
  <c r="J35" i="1"/>
  <c r="K35" i="1" s="1"/>
  <c r="J24" i="1"/>
  <c r="K24" i="1" s="1"/>
  <c r="J22" i="1"/>
  <c r="K22" i="1" s="1"/>
  <c r="J31" i="1"/>
  <c r="L31" i="1" s="1"/>
  <c r="J40" i="1"/>
  <c r="K40" i="1" s="1"/>
  <c r="J34" i="1"/>
  <c r="L34" i="1" s="1"/>
  <c r="J8" i="1"/>
  <c r="K8" i="1" s="1"/>
  <c r="J16" i="1"/>
  <c r="K16" i="1" s="1"/>
  <c r="J48" i="1"/>
  <c r="L48" i="1" s="1"/>
  <c r="J37" i="1"/>
  <c r="L37" i="1" s="1"/>
  <c r="J33" i="1"/>
  <c r="D13" i="1"/>
  <c r="E13" i="1"/>
  <c r="F13" i="1"/>
  <c r="G13" i="1"/>
  <c r="C19" i="1"/>
  <c r="D19" i="1"/>
  <c r="E19" i="1"/>
  <c r="F19" i="1"/>
  <c r="G19" i="1"/>
  <c r="D25" i="1"/>
  <c r="E25" i="1"/>
  <c r="F25" i="1"/>
  <c r="G25" i="1"/>
  <c r="C49" i="1"/>
  <c r="D49" i="1"/>
  <c r="E49" i="1"/>
  <c r="F49" i="1"/>
  <c r="G49" i="1"/>
  <c r="I49" i="1"/>
  <c r="H53" i="1"/>
  <c r="I53" i="1"/>
  <c r="C53" i="1"/>
  <c r="D53" i="1"/>
  <c r="E53" i="1"/>
  <c r="F53" i="1"/>
  <c r="G53" i="1"/>
  <c r="I10" i="26" l="1"/>
  <c r="I10" i="27" s="1"/>
  <c r="I10" i="28" s="1"/>
  <c r="J35" i="4"/>
  <c r="H12" i="4"/>
  <c r="J12" i="3"/>
  <c r="H4" i="5"/>
  <c r="J4" i="4"/>
  <c r="I3" i="5"/>
  <c r="I14" i="4"/>
  <c r="L35" i="3"/>
  <c r="K35" i="3"/>
  <c r="H41" i="4"/>
  <c r="J41" i="3"/>
  <c r="L34" i="3"/>
  <c r="K34" i="3"/>
  <c r="H48" i="3"/>
  <c r="L11" i="2"/>
  <c r="K11" i="2"/>
  <c r="I56" i="7"/>
  <c r="I56" i="8"/>
  <c r="L46" i="3"/>
  <c r="K46" i="3"/>
  <c r="L38" i="3"/>
  <c r="K38" i="3"/>
  <c r="H23" i="4"/>
  <c r="J23" i="3"/>
  <c r="H26" i="3"/>
  <c r="H29" i="3" s="1"/>
  <c r="J25" i="3"/>
  <c r="L50" i="2"/>
  <c r="L51" i="2" s="1"/>
  <c r="J51" i="2"/>
  <c r="K50" i="2"/>
  <c r="K51" i="2" s="1"/>
  <c r="H25" i="5"/>
  <c r="J25" i="4"/>
  <c r="L11" i="14"/>
  <c r="K11" i="14"/>
  <c r="J7" i="4"/>
  <c r="H7" i="5"/>
  <c r="H8" i="4"/>
  <c r="J8" i="3"/>
  <c r="H6" i="5"/>
  <c r="J6" i="4"/>
  <c r="H33" i="4"/>
  <c r="L37" i="3"/>
  <c r="K37" i="3"/>
  <c r="H32" i="5"/>
  <c r="J32" i="4"/>
  <c r="I26" i="3"/>
  <c r="I29" i="3" s="1"/>
  <c r="I24" i="7"/>
  <c r="I24" i="8" s="1"/>
  <c r="I25" i="9" s="1"/>
  <c r="I25" i="10" s="1"/>
  <c r="L39" i="7"/>
  <c r="K39" i="7"/>
  <c r="L23" i="2"/>
  <c r="K23" i="2"/>
  <c r="L54" i="2"/>
  <c r="L55" i="2" s="1"/>
  <c r="K54" i="2"/>
  <c r="K55" i="2" s="1"/>
  <c r="J55" i="2"/>
  <c r="L9" i="2"/>
  <c r="K9" i="2"/>
  <c r="K35" i="2"/>
  <c r="L35" i="2"/>
  <c r="H52" i="3"/>
  <c r="H51" i="4"/>
  <c r="J51" i="3"/>
  <c r="I39" i="15"/>
  <c r="I39" i="17" s="1"/>
  <c r="I39" i="18" s="1"/>
  <c r="I39" i="19" s="1"/>
  <c r="I39" i="20" s="1"/>
  <c r="I39" i="21" s="1"/>
  <c r="I39" i="22" s="1"/>
  <c r="I39" i="23" s="1"/>
  <c r="I40" i="24" s="1"/>
  <c r="I40" i="25" s="1"/>
  <c r="I40" i="26" s="1"/>
  <c r="I40" i="27" s="1"/>
  <c r="L8" i="2"/>
  <c r="K8" i="2"/>
  <c r="H34" i="5"/>
  <c r="J34" i="4"/>
  <c r="H3" i="5"/>
  <c r="J3" i="4"/>
  <c r="H38" i="6"/>
  <c r="J38" i="5"/>
  <c r="K7" i="2"/>
  <c r="H11" i="17"/>
  <c r="J11" i="15"/>
  <c r="K10" i="2"/>
  <c r="L10" i="2"/>
  <c r="L47" i="3"/>
  <c r="K47" i="3"/>
  <c r="H37" i="5"/>
  <c r="J37" i="4"/>
  <c r="I23" i="5"/>
  <c r="I26" i="4"/>
  <c r="H40" i="9"/>
  <c r="J39" i="8"/>
  <c r="H24" i="4"/>
  <c r="J24" i="3"/>
  <c r="H9" i="4"/>
  <c r="J9" i="3"/>
  <c r="H36" i="4"/>
  <c r="J36" i="3"/>
  <c r="L17" i="3"/>
  <c r="K17" i="3"/>
  <c r="J38" i="4"/>
  <c r="K7" i="3"/>
  <c r="L7" i="3"/>
  <c r="L32" i="3"/>
  <c r="K32" i="3"/>
  <c r="I52" i="3"/>
  <c r="I51" i="4"/>
  <c r="I32" i="5"/>
  <c r="I48" i="4"/>
  <c r="H11" i="4"/>
  <c r="J11" i="3"/>
  <c r="H47" i="5"/>
  <c r="J47" i="4"/>
  <c r="L18" i="2"/>
  <c r="K18" i="2"/>
  <c r="K43" i="3"/>
  <c r="L43" i="3"/>
  <c r="L5" i="2"/>
  <c r="K5" i="2"/>
  <c r="L40" i="3"/>
  <c r="K40" i="3"/>
  <c r="L44" i="2"/>
  <c r="K44" i="2"/>
  <c r="L35" i="4"/>
  <c r="K35" i="4"/>
  <c r="H55" i="4"/>
  <c r="H56" i="3"/>
  <c r="J55" i="3"/>
  <c r="L44" i="9"/>
  <c r="K44" i="9"/>
  <c r="L18" i="3"/>
  <c r="K18" i="3"/>
  <c r="L44" i="3"/>
  <c r="K44" i="3"/>
  <c r="L12" i="2"/>
  <c r="K12" i="2"/>
  <c r="L6" i="3"/>
  <c r="K6" i="3"/>
  <c r="J46" i="4"/>
  <c r="H46" i="5"/>
  <c r="L4" i="3"/>
  <c r="K4" i="3"/>
  <c r="K40" i="2"/>
  <c r="L40" i="2"/>
  <c r="H19" i="4"/>
  <c r="J19" i="3"/>
  <c r="J20" i="3" s="1"/>
  <c r="H43" i="5"/>
  <c r="J43" i="4"/>
  <c r="L3" i="3"/>
  <c r="K3" i="3"/>
  <c r="H5" i="4"/>
  <c r="J5" i="3"/>
  <c r="H40" i="5"/>
  <c r="J40" i="4"/>
  <c r="I17" i="5"/>
  <c r="I20" i="4"/>
  <c r="H45" i="4"/>
  <c r="J45" i="3"/>
  <c r="H35" i="6"/>
  <c r="J35" i="5"/>
  <c r="L22" i="2"/>
  <c r="K22" i="2"/>
  <c r="H44" i="11"/>
  <c r="J44" i="10"/>
  <c r="H18" i="5"/>
  <c r="J18" i="4"/>
  <c r="H44" i="5"/>
  <c r="J44" i="4"/>
  <c r="H17" i="5"/>
  <c r="H20" i="4"/>
  <c r="J17" i="4"/>
  <c r="H13" i="4"/>
  <c r="J13" i="3"/>
  <c r="I34" i="13"/>
  <c r="I37" i="20"/>
  <c r="I28" i="2"/>
  <c r="L33" i="2"/>
  <c r="K33" i="2"/>
  <c r="K43" i="2"/>
  <c r="K37" i="2"/>
  <c r="K34" i="2"/>
  <c r="K6" i="2"/>
  <c r="K3" i="2"/>
  <c r="K42" i="2"/>
  <c r="K31" i="2"/>
  <c r="J25" i="2"/>
  <c r="K24" i="2"/>
  <c r="L24" i="2"/>
  <c r="L25" i="2" s="1"/>
  <c r="L16" i="2"/>
  <c r="L19" i="2" s="1"/>
  <c r="K16" i="2"/>
  <c r="J19" i="2"/>
  <c r="H28" i="2"/>
  <c r="K4" i="2"/>
  <c r="J13" i="2"/>
  <c r="L4" i="2"/>
  <c r="L45" i="2"/>
  <c r="K45" i="2"/>
  <c r="J47" i="2"/>
  <c r="K52" i="1"/>
  <c r="K5" i="1"/>
  <c r="L36" i="1"/>
  <c r="L33" i="1"/>
  <c r="J45" i="1"/>
  <c r="K17" i="1"/>
  <c r="K10" i="1"/>
  <c r="L16" i="1"/>
  <c r="L6" i="1"/>
  <c r="L24" i="1"/>
  <c r="L23" i="1"/>
  <c r="K18" i="1"/>
  <c r="L12" i="1"/>
  <c r="L40" i="1"/>
  <c r="L7" i="1"/>
  <c r="L11" i="1"/>
  <c r="K4" i="1"/>
  <c r="L22" i="1"/>
  <c r="L41" i="1"/>
  <c r="K34" i="1"/>
  <c r="L9" i="1"/>
  <c r="L35" i="1"/>
  <c r="L8" i="1"/>
  <c r="K31" i="1"/>
  <c r="K37" i="1"/>
  <c r="K33" i="1"/>
  <c r="K48" i="1"/>
  <c r="G28" i="1"/>
  <c r="J53" i="1"/>
  <c r="J3" i="1"/>
  <c r="D28" i="1"/>
  <c r="I25" i="1"/>
  <c r="F28" i="1"/>
  <c r="J49" i="1"/>
  <c r="I19" i="1"/>
  <c r="H13" i="1"/>
  <c r="E28" i="1"/>
  <c r="J19" i="1"/>
  <c r="H49" i="1"/>
  <c r="H25" i="1"/>
  <c r="H19" i="1"/>
  <c r="I13" i="1"/>
  <c r="C13" i="1"/>
  <c r="C25" i="1"/>
  <c r="I40" i="28" l="1"/>
  <c r="H14" i="4"/>
  <c r="L47" i="2"/>
  <c r="H48" i="4"/>
  <c r="K18" i="4"/>
  <c r="L18" i="4"/>
  <c r="L13" i="3"/>
  <c r="K13" i="3"/>
  <c r="H44" i="6"/>
  <c r="J44" i="5"/>
  <c r="I17" i="6"/>
  <c r="I20" i="5"/>
  <c r="J46" i="5"/>
  <c r="H46" i="6"/>
  <c r="L55" i="3"/>
  <c r="L56" i="3" s="1"/>
  <c r="K55" i="3"/>
  <c r="K56" i="3" s="1"/>
  <c r="J56" i="3"/>
  <c r="H11" i="5"/>
  <c r="J11" i="4"/>
  <c r="L24" i="3"/>
  <c r="K24" i="3"/>
  <c r="L3" i="4"/>
  <c r="K3" i="4"/>
  <c r="H8" i="5"/>
  <c r="J8" i="4"/>
  <c r="H25" i="6"/>
  <c r="J25" i="5"/>
  <c r="L23" i="3"/>
  <c r="K23" i="3"/>
  <c r="K26" i="3" s="1"/>
  <c r="J26" i="3"/>
  <c r="I57" i="8"/>
  <c r="I58" i="9"/>
  <c r="I3" i="6"/>
  <c r="I14" i="5"/>
  <c r="L37" i="4"/>
  <c r="K37" i="4"/>
  <c r="H7" i="6"/>
  <c r="J7" i="5"/>
  <c r="L41" i="3"/>
  <c r="K41" i="3"/>
  <c r="K19" i="2"/>
  <c r="L17" i="4"/>
  <c r="K17" i="4"/>
  <c r="H18" i="6"/>
  <c r="J18" i="5"/>
  <c r="H35" i="7"/>
  <c r="J35" i="6"/>
  <c r="H40" i="6"/>
  <c r="J40" i="5"/>
  <c r="L43" i="4"/>
  <c r="K43" i="4"/>
  <c r="H55" i="5"/>
  <c r="H56" i="4"/>
  <c r="J55" i="4"/>
  <c r="I32" i="6"/>
  <c r="I48" i="5"/>
  <c r="L36" i="3"/>
  <c r="K36" i="3"/>
  <c r="K39" i="8"/>
  <c r="L39" i="8"/>
  <c r="H37" i="6"/>
  <c r="J37" i="5"/>
  <c r="H11" i="18"/>
  <c r="J11" i="17"/>
  <c r="H3" i="6"/>
  <c r="J3" i="5"/>
  <c r="H33" i="5"/>
  <c r="J33" i="4"/>
  <c r="L7" i="4"/>
  <c r="K7" i="4"/>
  <c r="H41" i="5"/>
  <c r="J41" i="4"/>
  <c r="H4" i="6"/>
  <c r="J4" i="5"/>
  <c r="L33" i="3"/>
  <c r="K33" i="3"/>
  <c r="L4" i="4"/>
  <c r="K4" i="4"/>
  <c r="L13" i="2"/>
  <c r="L28" i="2" s="1"/>
  <c r="L44" i="10"/>
  <c r="K44" i="10"/>
  <c r="L45" i="3"/>
  <c r="K45" i="3"/>
  <c r="K5" i="3"/>
  <c r="K14" i="3" s="1"/>
  <c r="K29" i="3" s="1"/>
  <c r="L5" i="3"/>
  <c r="L14" i="3" s="1"/>
  <c r="J43" i="5"/>
  <c r="H43" i="6"/>
  <c r="L47" i="4"/>
  <c r="K47" i="4"/>
  <c r="I51" i="5"/>
  <c r="I52" i="4"/>
  <c r="H36" i="5"/>
  <c r="J36" i="4"/>
  <c r="J40" i="9"/>
  <c r="H40" i="10"/>
  <c r="L34" i="4"/>
  <c r="K34" i="4"/>
  <c r="J52" i="3"/>
  <c r="L51" i="3"/>
  <c r="L52" i="3" s="1"/>
  <c r="K51" i="3"/>
  <c r="K52" i="3" s="1"/>
  <c r="L32" i="4"/>
  <c r="K32" i="4"/>
  <c r="L6" i="4"/>
  <c r="K6" i="4"/>
  <c r="L12" i="3"/>
  <c r="K12" i="3"/>
  <c r="J13" i="4"/>
  <c r="H13" i="5"/>
  <c r="L35" i="5"/>
  <c r="K35" i="5"/>
  <c r="L20" i="3"/>
  <c r="K11" i="15"/>
  <c r="L11" i="15"/>
  <c r="H17" i="6"/>
  <c r="J17" i="5"/>
  <c r="H45" i="5"/>
  <c r="J45" i="4"/>
  <c r="H5" i="5"/>
  <c r="J5" i="4"/>
  <c r="J14" i="4" s="1"/>
  <c r="L19" i="3"/>
  <c r="K19" i="3"/>
  <c r="H47" i="6"/>
  <c r="J47" i="5"/>
  <c r="L38" i="4"/>
  <c r="K38" i="4"/>
  <c r="L9" i="3"/>
  <c r="K9" i="3"/>
  <c r="L38" i="5"/>
  <c r="K38" i="5"/>
  <c r="J34" i="5"/>
  <c r="H34" i="6"/>
  <c r="H52" i="4"/>
  <c r="H51" i="5"/>
  <c r="J51" i="4"/>
  <c r="J32" i="5"/>
  <c r="H32" i="6"/>
  <c r="H6" i="6"/>
  <c r="J6" i="5"/>
  <c r="L25" i="3"/>
  <c r="K25" i="3"/>
  <c r="H12" i="5"/>
  <c r="J12" i="4"/>
  <c r="L40" i="4"/>
  <c r="K40" i="4"/>
  <c r="L46" i="4"/>
  <c r="K46" i="4"/>
  <c r="H24" i="5"/>
  <c r="J24" i="4"/>
  <c r="H23" i="5"/>
  <c r="H26" i="4"/>
  <c r="H29" i="4" s="1"/>
  <c r="J23" i="4"/>
  <c r="H44" i="12"/>
  <c r="J44" i="11"/>
  <c r="K25" i="2"/>
  <c r="L44" i="4"/>
  <c r="K44" i="4"/>
  <c r="J14" i="3"/>
  <c r="J29" i="3" s="1"/>
  <c r="H19" i="5"/>
  <c r="J19" i="4"/>
  <c r="L11" i="3"/>
  <c r="K11" i="3"/>
  <c r="J48" i="3"/>
  <c r="K20" i="3"/>
  <c r="J9" i="4"/>
  <c r="H9" i="5"/>
  <c r="I23" i="6"/>
  <c r="I26" i="5"/>
  <c r="H38" i="7"/>
  <c r="J38" i="6"/>
  <c r="I25" i="11"/>
  <c r="I25" i="12" s="1"/>
  <c r="I25" i="13" s="1"/>
  <c r="I25" i="14" s="1"/>
  <c r="I25" i="15" s="1"/>
  <c r="I25" i="17" s="1"/>
  <c r="I25" i="18" s="1"/>
  <c r="I25" i="19" s="1"/>
  <c r="L8" i="3"/>
  <c r="K8" i="3"/>
  <c r="K25" i="4"/>
  <c r="L25" i="4"/>
  <c r="I29" i="4"/>
  <c r="I34" i="14"/>
  <c r="I37" i="21"/>
  <c r="I37" i="22" s="1"/>
  <c r="I38" i="23" s="1"/>
  <c r="I39" i="24" s="1"/>
  <c r="I39" i="25" s="1"/>
  <c r="K13" i="2"/>
  <c r="K47" i="2"/>
  <c r="K45" i="1"/>
  <c r="J28" i="2"/>
  <c r="L25" i="1"/>
  <c r="L45" i="1"/>
  <c r="K3" i="1"/>
  <c r="L3" i="1"/>
  <c r="L13" i="1" s="1"/>
  <c r="K49" i="1"/>
  <c r="J13" i="1"/>
  <c r="J25" i="1"/>
  <c r="I28" i="1"/>
  <c r="L53" i="1"/>
  <c r="K53" i="1"/>
  <c r="L49" i="1"/>
  <c r="H28" i="1"/>
  <c r="K25" i="1"/>
  <c r="L19" i="1"/>
  <c r="K13" i="1"/>
  <c r="C28" i="1"/>
  <c r="K19" i="1"/>
  <c r="J48" i="4" l="1"/>
  <c r="H48" i="5"/>
  <c r="K48" i="3"/>
  <c r="L48" i="3"/>
  <c r="I39" i="26"/>
  <c r="L23" i="4"/>
  <c r="K23" i="4"/>
  <c r="J26" i="4"/>
  <c r="H47" i="7"/>
  <c r="J47" i="6"/>
  <c r="H23" i="6"/>
  <c r="H26" i="5"/>
  <c r="J23" i="5"/>
  <c r="H6" i="7"/>
  <c r="J6" i="6"/>
  <c r="K17" i="5"/>
  <c r="L17" i="5"/>
  <c r="H36" i="6"/>
  <c r="J36" i="5"/>
  <c r="L43" i="5"/>
  <c r="K43" i="5"/>
  <c r="L4" i="5"/>
  <c r="K4" i="5"/>
  <c r="L33" i="4"/>
  <c r="K33" i="4"/>
  <c r="H11" i="19"/>
  <c r="J11" i="18"/>
  <c r="L18" i="5"/>
  <c r="K18" i="5"/>
  <c r="H8" i="6"/>
  <c r="J8" i="5"/>
  <c r="H46" i="7"/>
  <c r="J46" i="6"/>
  <c r="H44" i="7"/>
  <c r="J44" i="6"/>
  <c r="J34" i="6"/>
  <c r="H34" i="7"/>
  <c r="H17" i="7"/>
  <c r="J17" i="6"/>
  <c r="H4" i="7"/>
  <c r="J4" i="6"/>
  <c r="L37" i="5"/>
  <c r="K37" i="5"/>
  <c r="L46" i="5"/>
  <c r="K46" i="5"/>
  <c r="I25" i="20"/>
  <c r="I25" i="21" s="1"/>
  <c r="I25" i="22" s="1"/>
  <c r="I25" i="23" s="1"/>
  <c r="I26" i="24" s="1"/>
  <c r="I26" i="25" s="1"/>
  <c r="I26" i="26" s="1"/>
  <c r="I26" i="27" s="1"/>
  <c r="I26" i="28" s="1"/>
  <c r="H9" i="6"/>
  <c r="H14" i="6" s="1"/>
  <c r="J9" i="5"/>
  <c r="L19" i="4"/>
  <c r="K19" i="4"/>
  <c r="L44" i="11"/>
  <c r="K44" i="11"/>
  <c r="H24" i="6"/>
  <c r="J24" i="5"/>
  <c r="H12" i="6"/>
  <c r="J12" i="5"/>
  <c r="H32" i="7"/>
  <c r="J32" i="6"/>
  <c r="L34" i="5"/>
  <c r="K34" i="5"/>
  <c r="H5" i="6"/>
  <c r="J5" i="5"/>
  <c r="L13" i="4"/>
  <c r="K13" i="4"/>
  <c r="I52" i="5"/>
  <c r="I51" i="6"/>
  <c r="L41" i="4"/>
  <c r="K41" i="4"/>
  <c r="L3" i="5"/>
  <c r="K3" i="5"/>
  <c r="H37" i="7"/>
  <c r="J37" i="6"/>
  <c r="I32" i="7"/>
  <c r="I48" i="6"/>
  <c r="L40" i="5"/>
  <c r="K40" i="5"/>
  <c r="J20" i="4"/>
  <c r="J29" i="4" s="1"/>
  <c r="L7" i="5"/>
  <c r="K7" i="5"/>
  <c r="I29" i="5"/>
  <c r="L26" i="3"/>
  <c r="L29" i="3" s="1"/>
  <c r="H11" i="6"/>
  <c r="J11" i="5"/>
  <c r="I23" i="7"/>
  <c r="I26" i="6"/>
  <c r="L12" i="4"/>
  <c r="K12" i="4"/>
  <c r="L5" i="4"/>
  <c r="K5" i="4"/>
  <c r="K14" i="4" s="1"/>
  <c r="H33" i="6"/>
  <c r="J33" i="5"/>
  <c r="J18" i="6"/>
  <c r="H18" i="7"/>
  <c r="L11" i="4"/>
  <c r="K11" i="4"/>
  <c r="K28" i="2"/>
  <c r="K9" i="4"/>
  <c r="L9" i="4"/>
  <c r="H19" i="6"/>
  <c r="J19" i="5"/>
  <c r="J20" i="5" s="1"/>
  <c r="H44" i="13"/>
  <c r="J44" i="12"/>
  <c r="L32" i="5"/>
  <c r="K32" i="5"/>
  <c r="L47" i="5"/>
  <c r="K47" i="5"/>
  <c r="L45" i="4"/>
  <c r="K45" i="4"/>
  <c r="H40" i="11"/>
  <c r="J40" i="10"/>
  <c r="H41" i="6"/>
  <c r="J41" i="5"/>
  <c r="H14" i="5"/>
  <c r="L55" i="4"/>
  <c r="L56" i="4" s="1"/>
  <c r="J56" i="4"/>
  <c r="K55" i="4"/>
  <c r="K56" i="4" s="1"/>
  <c r="H40" i="7"/>
  <c r="J40" i="6"/>
  <c r="K20" i="4"/>
  <c r="J7" i="6"/>
  <c r="H7" i="7"/>
  <c r="I3" i="7"/>
  <c r="I14" i="6"/>
  <c r="K25" i="5"/>
  <c r="L25" i="5"/>
  <c r="L20" i="4"/>
  <c r="L24" i="4"/>
  <c r="K24" i="4"/>
  <c r="H13" i="6"/>
  <c r="J13" i="5"/>
  <c r="L38" i="6"/>
  <c r="K38" i="6"/>
  <c r="L51" i="4"/>
  <c r="L52" i="4" s="1"/>
  <c r="K51" i="4"/>
  <c r="K52" i="4" s="1"/>
  <c r="J52" i="4"/>
  <c r="L40" i="9"/>
  <c r="K40" i="9"/>
  <c r="I59" i="9"/>
  <c r="I58" i="10"/>
  <c r="H45" i="6"/>
  <c r="J45" i="5"/>
  <c r="J3" i="6"/>
  <c r="H3" i="7"/>
  <c r="L35" i="6"/>
  <c r="K35" i="6"/>
  <c r="J25" i="6"/>
  <c r="H25" i="7"/>
  <c r="I17" i="7"/>
  <c r="I20" i="6"/>
  <c r="H38" i="8"/>
  <c r="J38" i="7"/>
  <c r="L6" i="5"/>
  <c r="K6" i="5"/>
  <c r="H52" i="5"/>
  <c r="H51" i="6"/>
  <c r="J51" i="5"/>
  <c r="H20" i="5"/>
  <c r="L36" i="4"/>
  <c r="K36" i="4"/>
  <c r="H43" i="7"/>
  <c r="J43" i="6"/>
  <c r="L11" i="17"/>
  <c r="K11" i="17"/>
  <c r="H55" i="6"/>
  <c r="H56" i="5"/>
  <c r="J55" i="5"/>
  <c r="J35" i="7"/>
  <c r="H35" i="8"/>
  <c r="L8" i="4"/>
  <c r="K8" i="4"/>
  <c r="K44" i="5"/>
  <c r="L44" i="5"/>
  <c r="I34" i="15"/>
  <c r="J28" i="1"/>
  <c r="L28" i="1"/>
  <c r="K28" i="1"/>
  <c r="L14" i="4" l="1"/>
  <c r="L26" i="4"/>
  <c r="K48" i="4"/>
  <c r="H48" i="6"/>
  <c r="J48" i="5"/>
  <c r="I39" i="27"/>
  <c r="L35" i="7"/>
  <c r="K35" i="7"/>
  <c r="L43" i="6"/>
  <c r="K43" i="6"/>
  <c r="H51" i="7"/>
  <c r="H52" i="6"/>
  <c r="J51" i="6"/>
  <c r="I59" i="10"/>
  <c r="I58" i="11"/>
  <c r="I3" i="8"/>
  <c r="I14" i="7"/>
  <c r="L40" i="10"/>
  <c r="K40" i="10"/>
  <c r="H19" i="7"/>
  <c r="H20" i="7" s="1"/>
  <c r="J19" i="6"/>
  <c r="H18" i="8"/>
  <c r="J18" i="7"/>
  <c r="H24" i="7"/>
  <c r="J24" i="6"/>
  <c r="H9" i="7"/>
  <c r="J9" i="6"/>
  <c r="H17" i="8"/>
  <c r="J17" i="7"/>
  <c r="J46" i="7"/>
  <c r="H47" i="8"/>
  <c r="J11" i="19"/>
  <c r="H11" i="20"/>
  <c r="K6" i="6"/>
  <c r="L6" i="6"/>
  <c r="H48" i="8"/>
  <c r="J47" i="7"/>
  <c r="L55" i="5"/>
  <c r="L56" i="5" s="1"/>
  <c r="J56" i="5"/>
  <c r="K55" i="5"/>
  <c r="K56" i="5" s="1"/>
  <c r="H3" i="8"/>
  <c r="J3" i="7"/>
  <c r="H6" i="8"/>
  <c r="J6" i="7"/>
  <c r="H25" i="8"/>
  <c r="J25" i="7"/>
  <c r="L3" i="6"/>
  <c r="K3" i="6"/>
  <c r="L7" i="6"/>
  <c r="K7" i="6"/>
  <c r="L33" i="5"/>
  <c r="K33" i="5"/>
  <c r="I32" i="8"/>
  <c r="I48" i="7"/>
  <c r="L5" i="5"/>
  <c r="K5" i="5"/>
  <c r="H32" i="8"/>
  <c r="J32" i="7"/>
  <c r="L4" i="6"/>
  <c r="K4" i="6"/>
  <c r="L34" i="6"/>
  <c r="K34" i="6"/>
  <c r="J8" i="6"/>
  <c r="H8" i="7"/>
  <c r="L48" i="4"/>
  <c r="H36" i="7"/>
  <c r="J36" i="6"/>
  <c r="L23" i="5"/>
  <c r="J26" i="5"/>
  <c r="K23" i="5"/>
  <c r="K26" i="4"/>
  <c r="K29" i="4" s="1"/>
  <c r="H7" i="8"/>
  <c r="J7" i="7"/>
  <c r="J55" i="6"/>
  <c r="H55" i="7"/>
  <c r="H56" i="6"/>
  <c r="L25" i="6"/>
  <c r="K25" i="6"/>
  <c r="L45" i="5"/>
  <c r="K45" i="5"/>
  <c r="L13" i="5"/>
  <c r="K13" i="5"/>
  <c r="H29" i="5"/>
  <c r="L44" i="12"/>
  <c r="K44" i="12"/>
  <c r="H33" i="7"/>
  <c r="J33" i="6"/>
  <c r="I23" i="8"/>
  <c r="I26" i="7"/>
  <c r="L37" i="6"/>
  <c r="K37" i="6"/>
  <c r="H5" i="7"/>
  <c r="J5" i="6"/>
  <c r="L12" i="5"/>
  <c r="K12" i="5"/>
  <c r="H4" i="8"/>
  <c r="J4" i="7"/>
  <c r="L44" i="6"/>
  <c r="K44" i="6"/>
  <c r="I17" i="8"/>
  <c r="I20" i="7"/>
  <c r="L8" i="5"/>
  <c r="K8" i="5"/>
  <c r="K41" i="5"/>
  <c r="L41" i="5"/>
  <c r="H44" i="14"/>
  <c r="J44" i="13"/>
  <c r="K11" i="5"/>
  <c r="L11" i="5"/>
  <c r="J37" i="7"/>
  <c r="H37" i="8"/>
  <c r="I51" i="7"/>
  <c r="I52" i="6"/>
  <c r="H12" i="7"/>
  <c r="J12" i="6"/>
  <c r="H20" i="6"/>
  <c r="H29" i="6" s="1"/>
  <c r="H45" i="8"/>
  <c r="J44" i="7"/>
  <c r="H23" i="7"/>
  <c r="J23" i="6"/>
  <c r="H26" i="6"/>
  <c r="J43" i="7"/>
  <c r="H44" i="8"/>
  <c r="H40" i="12"/>
  <c r="J40" i="11"/>
  <c r="L18" i="6"/>
  <c r="K18" i="6"/>
  <c r="L32" i="6"/>
  <c r="K32" i="6"/>
  <c r="J34" i="7"/>
  <c r="H34" i="8"/>
  <c r="K36" i="5"/>
  <c r="L36" i="5"/>
  <c r="L38" i="7"/>
  <c r="K38" i="7"/>
  <c r="J45" i="6"/>
  <c r="H45" i="7"/>
  <c r="J13" i="6"/>
  <c r="H13" i="7"/>
  <c r="L40" i="6"/>
  <c r="K40" i="6"/>
  <c r="H36" i="9"/>
  <c r="J35" i="8"/>
  <c r="L51" i="5"/>
  <c r="L52" i="5" s="1"/>
  <c r="J52" i="5"/>
  <c r="K51" i="5"/>
  <c r="K52" i="5" s="1"/>
  <c r="H39" i="9"/>
  <c r="J38" i="8"/>
  <c r="I29" i="6"/>
  <c r="H41" i="8"/>
  <c r="J40" i="7"/>
  <c r="H41" i="7"/>
  <c r="J41" i="6"/>
  <c r="L19" i="5"/>
  <c r="L20" i="5" s="1"/>
  <c r="K19" i="5"/>
  <c r="K20" i="5" s="1"/>
  <c r="H11" i="7"/>
  <c r="J11" i="6"/>
  <c r="J14" i="5"/>
  <c r="L24" i="5"/>
  <c r="K24" i="5"/>
  <c r="L9" i="5"/>
  <c r="K9" i="5"/>
  <c r="L17" i="6"/>
  <c r="K17" i="6"/>
  <c r="J20" i="6"/>
  <c r="L46" i="6"/>
  <c r="K46" i="6"/>
  <c r="L11" i="18"/>
  <c r="K11" i="18"/>
  <c r="L47" i="6"/>
  <c r="K47" i="6"/>
  <c r="I34" i="17"/>
  <c r="H14" i="7" l="1"/>
  <c r="H48" i="7"/>
  <c r="K14" i="5"/>
  <c r="K29" i="5" s="1"/>
  <c r="L14" i="5"/>
  <c r="L29" i="4"/>
  <c r="I39" i="28"/>
  <c r="H56" i="8"/>
  <c r="H56" i="7"/>
  <c r="J55" i="7"/>
  <c r="J29" i="5"/>
  <c r="J41" i="7"/>
  <c r="H42" i="8"/>
  <c r="H45" i="9"/>
  <c r="J44" i="8"/>
  <c r="H46" i="9"/>
  <c r="J45" i="8"/>
  <c r="H38" i="9"/>
  <c r="J37" i="8"/>
  <c r="I24" i="9"/>
  <c r="I26" i="8"/>
  <c r="K26" i="5"/>
  <c r="H8" i="8"/>
  <c r="J8" i="7"/>
  <c r="I33" i="9"/>
  <c r="I49" i="8"/>
  <c r="L47" i="7"/>
  <c r="K47" i="7"/>
  <c r="H48" i="9"/>
  <c r="J47" i="8"/>
  <c r="H9" i="8"/>
  <c r="J9" i="7"/>
  <c r="L19" i="6"/>
  <c r="K19" i="6"/>
  <c r="K20" i="6" s="1"/>
  <c r="I58" i="12"/>
  <c r="I59" i="11"/>
  <c r="L11" i="6"/>
  <c r="K11" i="6"/>
  <c r="L8" i="6"/>
  <c r="K8" i="6"/>
  <c r="L3" i="7"/>
  <c r="K3" i="7"/>
  <c r="H11" i="8"/>
  <c r="J11" i="7"/>
  <c r="H42" i="9"/>
  <c r="J41" i="8"/>
  <c r="L13" i="6"/>
  <c r="K13" i="6"/>
  <c r="L12" i="6"/>
  <c r="K12" i="6"/>
  <c r="H5" i="8"/>
  <c r="J5" i="7"/>
  <c r="J14" i="7" s="1"/>
  <c r="H33" i="8"/>
  <c r="H34" i="9" s="1"/>
  <c r="J33" i="7"/>
  <c r="L55" i="6"/>
  <c r="L56" i="6" s="1"/>
  <c r="J56" i="6"/>
  <c r="K55" i="6"/>
  <c r="K56" i="6" s="1"/>
  <c r="L26" i="5"/>
  <c r="L29" i="5" s="1"/>
  <c r="H33" i="9"/>
  <c r="J32" i="8"/>
  <c r="L48" i="5"/>
  <c r="L25" i="7"/>
  <c r="K25" i="7"/>
  <c r="H3" i="9"/>
  <c r="J3" i="8"/>
  <c r="J24" i="7"/>
  <c r="H24" i="8"/>
  <c r="L5" i="6"/>
  <c r="K5" i="6"/>
  <c r="L35" i="8"/>
  <c r="K35" i="8"/>
  <c r="H46" i="8"/>
  <c r="J45" i="7"/>
  <c r="H35" i="9"/>
  <c r="J34" i="8"/>
  <c r="L23" i="6"/>
  <c r="K23" i="6"/>
  <c r="J26" i="6"/>
  <c r="H12" i="8"/>
  <c r="J12" i="7"/>
  <c r="L4" i="7"/>
  <c r="K4" i="7"/>
  <c r="L7" i="7"/>
  <c r="K7" i="7"/>
  <c r="L36" i="6"/>
  <c r="K36" i="6"/>
  <c r="H26" i="9"/>
  <c r="J25" i="8"/>
  <c r="L17" i="7"/>
  <c r="K17" i="7"/>
  <c r="L51" i="6"/>
  <c r="L52" i="6" s="1"/>
  <c r="J52" i="6"/>
  <c r="K51" i="6"/>
  <c r="K52" i="6" s="1"/>
  <c r="L40" i="7"/>
  <c r="K40" i="7"/>
  <c r="L43" i="7"/>
  <c r="K43" i="7"/>
  <c r="L32" i="7"/>
  <c r="K32" i="7"/>
  <c r="H49" i="9"/>
  <c r="J48" i="8"/>
  <c r="L24" i="6"/>
  <c r="K24" i="6"/>
  <c r="L38" i="8"/>
  <c r="K38" i="8"/>
  <c r="L45" i="6"/>
  <c r="K45" i="6"/>
  <c r="L40" i="11"/>
  <c r="K40" i="11"/>
  <c r="H4" i="9"/>
  <c r="J4" i="8"/>
  <c r="H7" i="9"/>
  <c r="J7" i="8"/>
  <c r="H36" i="8"/>
  <c r="H49" i="8" s="1"/>
  <c r="J36" i="7"/>
  <c r="L6" i="7"/>
  <c r="K6" i="7"/>
  <c r="H11" i="21"/>
  <c r="J11" i="20"/>
  <c r="H18" i="9"/>
  <c r="J17" i="8"/>
  <c r="H20" i="8"/>
  <c r="L18" i="7"/>
  <c r="K18" i="7"/>
  <c r="I29" i="7"/>
  <c r="L20" i="6"/>
  <c r="H13" i="8"/>
  <c r="J13" i="7"/>
  <c r="L37" i="7"/>
  <c r="K37" i="7"/>
  <c r="K33" i="6"/>
  <c r="L33" i="6"/>
  <c r="K48" i="5"/>
  <c r="L46" i="7"/>
  <c r="K46" i="7"/>
  <c r="J19" i="7"/>
  <c r="H19" i="8"/>
  <c r="H36" i="10"/>
  <c r="J36" i="9"/>
  <c r="L34" i="7"/>
  <c r="K34" i="7"/>
  <c r="H23" i="8"/>
  <c r="J23" i="7"/>
  <c r="H26" i="7"/>
  <c r="H29" i="7" s="1"/>
  <c r="L44" i="13"/>
  <c r="K44" i="13"/>
  <c r="L41" i="6"/>
  <c r="K41" i="6"/>
  <c r="H39" i="10"/>
  <c r="J39" i="9"/>
  <c r="J48" i="6"/>
  <c r="H40" i="13"/>
  <c r="J40" i="12"/>
  <c r="L44" i="7"/>
  <c r="K44" i="7"/>
  <c r="I52" i="8"/>
  <c r="I52" i="7"/>
  <c r="H44" i="15"/>
  <c r="J44" i="14"/>
  <c r="I18" i="9"/>
  <c r="I20" i="8"/>
  <c r="J14" i="6"/>
  <c r="J29" i="6" s="1"/>
  <c r="H6" i="9"/>
  <c r="J6" i="8"/>
  <c r="L11" i="19"/>
  <c r="K11" i="19"/>
  <c r="L9" i="6"/>
  <c r="L14" i="6" s="1"/>
  <c r="K9" i="6"/>
  <c r="H19" i="9"/>
  <c r="J18" i="8"/>
  <c r="I3" i="9"/>
  <c r="I14" i="8"/>
  <c r="I29" i="8" s="1"/>
  <c r="H52" i="8"/>
  <c r="H52" i="7"/>
  <c r="J51" i="7"/>
  <c r="I34" i="18"/>
  <c r="H34" i="10" l="1"/>
  <c r="J34" i="9"/>
  <c r="K14" i="6"/>
  <c r="L51" i="7"/>
  <c r="L52" i="7" s="1"/>
  <c r="K51" i="7"/>
  <c r="K52" i="7" s="1"/>
  <c r="J52" i="7"/>
  <c r="H14" i="9"/>
  <c r="J13" i="8"/>
  <c r="L32" i="8"/>
  <c r="K32" i="8"/>
  <c r="K18" i="8"/>
  <c r="L18" i="8"/>
  <c r="L6" i="8"/>
  <c r="K6" i="8"/>
  <c r="H44" i="17"/>
  <c r="J44" i="15"/>
  <c r="H40" i="14"/>
  <c r="J40" i="13"/>
  <c r="L13" i="7"/>
  <c r="K13" i="7"/>
  <c r="J4" i="9"/>
  <c r="H4" i="10"/>
  <c r="L25" i="8"/>
  <c r="K25" i="8"/>
  <c r="L26" i="6"/>
  <c r="L3" i="8"/>
  <c r="K3" i="8"/>
  <c r="H12" i="9"/>
  <c r="J11" i="8"/>
  <c r="L9" i="7"/>
  <c r="K9" i="7"/>
  <c r="L44" i="8"/>
  <c r="K44" i="8"/>
  <c r="L55" i="7"/>
  <c r="L56" i="7" s="1"/>
  <c r="K55" i="7"/>
  <c r="K56" i="7" s="1"/>
  <c r="J56" i="7"/>
  <c r="H6" i="10"/>
  <c r="J6" i="9"/>
  <c r="K34" i="8"/>
  <c r="L34" i="8"/>
  <c r="H10" i="9"/>
  <c r="J9" i="8"/>
  <c r="H45" i="10"/>
  <c r="J45" i="9"/>
  <c r="I54" i="9"/>
  <c r="I53" i="8"/>
  <c r="L39" i="9"/>
  <c r="K39" i="9"/>
  <c r="H36" i="11"/>
  <c r="J36" i="10"/>
  <c r="L48" i="6"/>
  <c r="H18" i="10"/>
  <c r="J18" i="9"/>
  <c r="J36" i="8"/>
  <c r="H37" i="9"/>
  <c r="L12" i="7"/>
  <c r="K12" i="7"/>
  <c r="H35" i="10"/>
  <c r="J35" i="9"/>
  <c r="H3" i="10"/>
  <c r="J3" i="9"/>
  <c r="H33" i="10"/>
  <c r="J33" i="9"/>
  <c r="J33" i="8"/>
  <c r="L47" i="8"/>
  <c r="K47" i="8"/>
  <c r="I33" i="10"/>
  <c r="I51" i="9"/>
  <c r="L37" i="8"/>
  <c r="K37" i="8"/>
  <c r="H43" i="9"/>
  <c r="J42" i="8"/>
  <c r="H58" i="9"/>
  <c r="H57" i="8"/>
  <c r="J56" i="8"/>
  <c r="L17" i="8"/>
  <c r="J20" i="8"/>
  <c r="K17" i="8"/>
  <c r="J26" i="9"/>
  <c r="H26" i="10"/>
  <c r="H14" i="8"/>
  <c r="H54" i="9"/>
  <c r="H53" i="8"/>
  <c r="J52" i="8"/>
  <c r="J39" i="10"/>
  <c r="H39" i="11"/>
  <c r="L23" i="7"/>
  <c r="K23" i="7"/>
  <c r="J26" i="7"/>
  <c r="J29" i="7" s="1"/>
  <c r="H20" i="9"/>
  <c r="H21" i="9" s="1"/>
  <c r="J19" i="8"/>
  <c r="K48" i="6"/>
  <c r="L11" i="20"/>
  <c r="K11" i="20"/>
  <c r="L7" i="8"/>
  <c r="K7" i="8"/>
  <c r="L48" i="8"/>
  <c r="K48" i="8"/>
  <c r="H13" i="9"/>
  <c r="J12" i="8"/>
  <c r="L45" i="7"/>
  <c r="K45" i="7"/>
  <c r="L5" i="7"/>
  <c r="K5" i="7"/>
  <c r="K41" i="8"/>
  <c r="L41" i="8"/>
  <c r="I59" i="12"/>
  <c r="I58" i="13"/>
  <c r="H48" i="10"/>
  <c r="J48" i="9"/>
  <c r="L8" i="7"/>
  <c r="K8" i="7"/>
  <c r="H38" i="10"/>
  <c r="J38" i="9"/>
  <c r="L41" i="7"/>
  <c r="K41" i="7"/>
  <c r="L36" i="9"/>
  <c r="K36" i="9"/>
  <c r="L29" i="6"/>
  <c r="I18" i="10"/>
  <c r="I21" i="9"/>
  <c r="L19" i="7"/>
  <c r="K19" i="7"/>
  <c r="K20" i="7" s="1"/>
  <c r="H7" i="10"/>
  <c r="J7" i="9"/>
  <c r="J49" i="9"/>
  <c r="H49" i="10"/>
  <c r="J20" i="7"/>
  <c r="H25" i="9"/>
  <c r="J24" i="8"/>
  <c r="H5" i="9"/>
  <c r="J5" i="8"/>
  <c r="J14" i="8" s="1"/>
  <c r="H42" i="10"/>
  <c r="J42" i="9"/>
  <c r="H9" i="9"/>
  <c r="J8" i="8"/>
  <c r="L45" i="8"/>
  <c r="K45" i="8"/>
  <c r="H19" i="10"/>
  <c r="J19" i="9"/>
  <c r="L36" i="7"/>
  <c r="K36" i="7"/>
  <c r="K33" i="7"/>
  <c r="L33" i="7"/>
  <c r="I24" i="10"/>
  <c r="I27" i="9"/>
  <c r="H24" i="9"/>
  <c r="J23" i="8"/>
  <c r="H26" i="8"/>
  <c r="H11" i="22"/>
  <c r="J11" i="21"/>
  <c r="H47" i="9"/>
  <c r="J46" i="8"/>
  <c r="I3" i="10"/>
  <c r="I15" i="9"/>
  <c r="I30" i="9" s="1"/>
  <c r="K44" i="14"/>
  <c r="L44" i="14"/>
  <c r="L40" i="12"/>
  <c r="K40" i="12"/>
  <c r="L4" i="8"/>
  <c r="K4" i="8"/>
  <c r="J48" i="7"/>
  <c r="L20" i="7"/>
  <c r="K26" i="6"/>
  <c r="K29" i="6" s="1"/>
  <c r="L24" i="7"/>
  <c r="K24" i="7"/>
  <c r="L11" i="7"/>
  <c r="K11" i="7"/>
  <c r="H46" i="10"/>
  <c r="J46" i="9"/>
  <c r="I34" i="19"/>
  <c r="K14" i="7" l="1"/>
  <c r="H34" i="11"/>
  <c r="J34" i="10"/>
  <c r="H51" i="9"/>
  <c r="J49" i="8"/>
  <c r="L23" i="8"/>
  <c r="K23" i="8"/>
  <c r="J26" i="8"/>
  <c r="J29" i="8" s="1"/>
  <c r="H38" i="11"/>
  <c r="J38" i="10"/>
  <c r="K48" i="7"/>
  <c r="H5" i="10"/>
  <c r="J5" i="9"/>
  <c r="L7" i="9"/>
  <c r="K7" i="9"/>
  <c r="L38" i="9"/>
  <c r="K38" i="9"/>
  <c r="I59" i="13"/>
  <c r="I58" i="14"/>
  <c r="L19" i="8"/>
  <c r="K19" i="8"/>
  <c r="K20" i="8" s="1"/>
  <c r="L39" i="10"/>
  <c r="K39" i="10"/>
  <c r="L26" i="9"/>
  <c r="K26" i="9"/>
  <c r="H59" i="9"/>
  <c r="H58" i="10"/>
  <c r="J58" i="9"/>
  <c r="I33" i="11"/>
  <c r="I51" i="10"/>
  <c r="L35" i="9"/>
  <c r="K35" i="9"/>
  <c r="L18" i="9"/>
  <c r="K18" i="9"/>
  <c r="L9" i="8"/>
  <c r="K9" i="8"/>
  <c r="L13" i="8"/>
  <c r="K13" i="8"/>
  <c r="L8" i="8"/>
  <c r="K8" i="8"/>
  <c r="H7" i="11"/>
  <c r="J7" i="10"/>
  <c r="L52" i="8"/>
  <c r="L53" i="8" s="1"/>
  <c r="K52" i="8"/>
  <c r="K53" i="8" s="1"/>
  <c r="J53" i="8"/>
  <c r="L11" i="8"/>
  <c r="K11" i="8"/>
  <c r="K26" i="8"/>
  <c r="H24" i="10"/>
  <c r="J24" i="9"/>
  <c r="H27" i="9"/>
  <c r="J25" i="9"/>
  <c r="H25" i="10"/>
  <c r="L26" i="8"/>
  <c r="H40" i="15"/>
  <c r="J40" i="14"/>
  <c r="L46" i="9"/>
  <c r="K46" i="9"/>
  <c r="H47" i="10"/>
  <c r="J47" i="9"/>
  <c r="L19" i="9"/>
  <c r="K19" i="9"/>
  <c r="L42" i="9"/>
  <c r="K42" i="9"/>
  <c r="L14" i="7"/>
  <c r="H13" i="10"/>
  <c r="J13" i="9"/>
  <c r="K26" i="7"/>
  <c r="K29" i="7" s="1"/>
  <c r="H55" i="9"/>
  <c r="H54" i="10"/>
  <c r="J54" i="9"/>
  <c r="L20" i="8"/>
  <c r="H15" i="9"/>
  <c r="I55" i="9"/>
  <c r="I54" i="10"/>
  <c r="H4" i="11"/>
  <c r="J4" i="10"/>
  <c r="K44" i="15"/>
  <c r="L44" i="15"/>
  <c r="I3" i="11"/>
  <c r="I15" i="10"/>
  <c r="L24" i="8"/>
  <c r="K24" i="8"/>
  <c r="H20" i="10"/>
  <c r="J20" i="9"/>
  <c r="L33" i="9"/>
  <c r="K33" i="9"/>
  <c r="H14" i="10"/>
  <c r="J14" i="9"/>
  <c r="H18" i="11"/>
  <c r="J18" i="10"/>
  <c r="L11" i="21"/>
  <c r="K11" i="21"/>
  <c r="I24" i="11"/>
  <c r="I27" i="10"/>
  <c r="H19" i="11"/>
  <c r="J19" i="10"/>
  <c r="H42" i="11"/>
  <c r="J42" i="10"/>
  <c r="H49" i="11"/>
  <c r="J49" i="10"/>
  <c r="L48" i="9"/>
  <c r="K48" i="9"/>
  <c r="L26" i="7"/>
  <c r="H29" i="8"/>
  <c r="L56" i="8"/>
  <c r="L57" i="8" s="1"/>
  <c r="J57" i="8"/>
  <c r="K56" i="8"/>
  <c r="K57" i="8" s="1"/>
  <c r="L33" i="8"/>
  <c r="K33" i="8"/>
  <c r="L3" i="9"/>
  <c r="K3" i="9"/>
  <c r="J37" i="9"/>
  <c r="K37" i="9" s="1"/>
  <c r="H37" i="10"/>
  <c r="J37" i="10" s="1"/>
  <c r="L36" i="10"/>
  <c r="K36" i="10"/>
  <c r="L45" i="9"/>
  <c r="K45" i="9"/>
  <c r="L6" i="9"/>
  <c r="K6" i="9"/>
  <c r="L4" i="9"/>
  <c r="K4" i="9"/>
  <c r="H44" i="18"/>
  <c r="J44" i="17"/>
  <c r="L42" i="8"/>
  <c r="K42" i="8"/>
  <c r="J35" i="10"/>
  <c r="H35" i="11"/>
  <c r="H10" i="10"/>
  <c r="J10" i="9"/>
  <c r="L40" i="13"/>
  <c r="K40" i="13"/>
  <c r="L46" i="8"/>
  <c r="K46" i="8"/>
  <c r="H9" i="10"/>
  <c r="J9" i="9"/>
  <c r="J15" i="9" s="1"/>
  <c r="L12" i="8"/>
  <c r="L14" i="8" s="1"/>
  <c r="L29" i="8" s="1"/>
  <c r="K12" i="8"/>
  <c r="H43" i="10"/>
  <c r="J43" i="9"/>
  <c r="J33" i="10"/>
  <c r="H33" i="11"/>
  <c r="H12" i="10"/>
  <c r="J12" i="9"/>
  <c r="J46" i="10"/>
  <c r="H46" i="11"/>
  <c r="J11" i="22"/>
  <c r="H11" i="23"/>
  <c r="L48" i="7"/>
  <c r="L5" i="8"/>
  <c r="K5" i="8"/>
  <c r="L49" i="9"/>
  <c r="K49" i="9"/>
  <c r="I18" i="11"/>
  <c r="I21" i="10"/>
  <c r="H48" i="11"/>
  <c r="J48" i="10"/>
  <c r="H39" i="12"/>
  <c r="J39" i="11"/>
  <c r="H26" i="11"/>
  <c r="J26" i="10"/>
  <c r="H3" i="11"/>
  <c r="J3" i="10"/>
  <c r="L36" i="8"/>
  <c r="K36" i="8"/>
  <c r="H36" i="12"/>
  <c r="J36" i="11"/>
  <c r="H45" i="11"/>
  <c r="J45" i="10"/>
  <c r="H6" i="11"/>
  <c r="J6" i="10"/>
  <c r="I34" i="20"/>
  <c r="L34" i="10" l="1"/>
  <c r="K34" i="10"/>
  <c r="H30" i="9"/>
  <c r="H51" i="10"/>
  <c r="H9" i="11"/>
  <c r="J9" i="10"/>
  <c r="H20" i="11"/>
  <c r="J20" i="10"/>
  <c r="H15" i="10"/>
  <c r="I18" i="12"/>
  <c r="I21" i="11"/>
  <c r="H45" i="12"/>
  <c r="J45" i="11"/>
  <c r="L3" i="10"/>
  <c r="K3" i="10"/>
  <c r="L39" i="11"/>
  <c r="K39" i="11"/>
  <c r="K11" i="22"/>
  <c r="L11" i="22"/>
  <c r="H33" i="12"/>
  <c r="J33" i="11"/>
  <c r="L9" i="9"/>
  <c r="K9" i="9"/>
  <c r="L10" i="9"/>
  <c r="K10" i="9"/>
  <c r="L44" i="17"/>
  <c r="K44" i="17"/>
  <c r="L49" i="10"/>
  <c r="K49" i="10"/>
  <c r="H18" i="12"/>
  <c r="H21" i="11"/>
  <c r="J18" i="11"/>
  <c r="L20" i="9"/>
  <c r="K20" i="9"/>
  <c r="L13" i="9"/>
  <c r="K13" i="9"/>
  <c r="H40" i="17"/>
  <c r="J40" i="15"/>
  <c r="H24" i="11"/>
  <c r="J24" i="10"/>
  <c r="H27" i="10"/>
  <c r="H38" i="12"/>
  <c r="J38" i="11"/>
  <c r="H3" i="12"/>
  <c r="J3" i="11"/>
  <c r="L33" i="10"/>
  <c r="K33" i="10"/>
  <c r="L14" i="9"/>
  <c r="K14" i="9"/>
  <c r="H13" i="11"/>
  <c r="J13" i="10"/>
  <c r="I58" i="15"/>
  <c r="I59" i="14"/>
  <c r="L34" i="9"/>
  <c r="K34" i="9"/>
  <c r="L46" i="10"/>
  <c r="K46" i="10"/>
  <c r="L43" i="9"/>
  <c r="K43" i="9"/>
  <c r="H35" i="12"/>
  <c r="J35" i="11"/>
  <c r="K42" i="10"/>
  <c r="L42" i="10"/>
  <c r="H14" i="11"/>
  <c r="J14" i="10"/>
  <c r="L4" i="10"/>
  <c r="K4" i="10"/>
  <c r="L54" i="9"/>
  <c r="L55" i="9" s="1"/>
  <c r="K54" i="9"/>
  <c r="K55" i="9" s="1"/>
  <c r="J55" i="9"/>
  <c r="L29" i="7"/>
  <c r="H47" i="11"/>
  <c r="J47" i="10"/>
  <c r="H25" i="11"/>
  <c r="J25" i="10"/>
  <c r="H7" i="12"/>
  <c r="J7" i="11"/>
  <c r="H5" i="11"/>
  <c r="J5" i="10"/>
  <c r="L36" i="11"/>
  <c r="K36" i="11"/>
  <c r="H46" i="12"/>
  <c r="J46" i="11"/>
  <c r="H49" i="12"/>
  <c r="J49" i="11"/>
  <c r="L47" i="9"/>
  <c r="K47" i="9"/>
  <c r="L7" i="10"/>
  <c r="K7" i="10"/>
  <c r="L5" i="9"/>
  <c r="L15" i="9" s="1"/>
  <c r="K5" i="9"/>
  <c r="J36" i="12"/>
  <c r="H36" i="13"/>
  <c r="L6" i="10"/>
  <c r="K6" i="10"/>
  <c r="H48" i="12"/>
  <c r="J48" i="11"/>
  <c r="L12" i="9"/>
  <c r="K12" i="9"/>
  <c r="J43" i="10"/>
  <c r="J51" i="10" s="1"/>
  <c r="H43" i="11"/>
  <c r="L35" i="10"/>
  <c r="K35" i="10"/>
  <c r="K49" i="8"/>
  <c r="H42" i="12"/>
  <c r="J42" i="11"/>
  <c r="J51" i="9"/>
  <c r="H4" i="12"/>
  <c r="J4" i="11"/>
  <c r="H55" i="10"/>
  <c r="H54" i="11"/>
  <c r="J54" i="10"/>
  <c r="L25" i="9"/>
  <c r="K25" i="9"/>
  <c r="K14" i="8"/>
  <c r="K29" i="8" s="1"/>
  <c r="K21" i="9"/>
  <c r="I33" i="12"/>
  <c r="I51" i="11"/>
  <c r="H10" i="11"/>
  <c r="J10" i="10"/>
  <c r="L48" i="10"/>
  <c r="K48" i="10"/>
  <c r="H6" i="12"/>
  <c r="J6" i="11"/>
  <c r="L26" i="10"/>
  <c r="K26" i="10"/>
  <c r="H12" i="11"/>
  <c r="J12" i="10"/>
  <c r="H37" i="11"/>
  <c r="L49" i="8"/>
  <c r="L19" i="10"/>
  <c r="K19" i="10"/>
  <c r="L18" i="10"/>
  <c r="J21" i="10"/>
  <c r="K18" i="10"/>
  <c r="I30" i="10"/>
  <c r="I54" i="11"/>
  <c r="I55" i="10"/>
  <c r="J21" i="9"/>
  <c r="L58" i="9"/>
  <c r="L59" i="9" s="1"/>
  <c r="J59" i="9"/>
  <c r="K58" i="9"/>
  <c r="K59" i="9" s="1"/>
  <c r="J39" i="12"/>
  <c r="H39" i="13"/>
  <c r="H44" i="19"/>
  <c r="J44" i="18"/>
  <c r="I24" i="12"/>
  <c r="I27" i="11"/>
  <c r="K45" i="10"/>
  <c r="L45" i="10"/>
  <c r="H26" i="12"/>
  <c r="J26" i="11"/>
  <c r="H12" i="24"/>
  <c r="J11" i="23"/>
  <c r="L37" i="9"/>
  <c r="H19" i="12"/>
  <c r="J19" i="11"/>
  <c r="H21" i="10"/>
  <c r="I3" i="12"/>
  <c r="I15" i="11"/>
  <c r="I30" i="11" s="1"/>
  <c r="L40" i="14"/>
  <c r="K40" i="14"/>
  <c r="L24" i="9"/>
  <c r="L27" i="9" s="1"/>
  <c r="J27" i="9"/>
  <c r="K24" i="9"/>
  <c r="K27" i="9" s="1"/>
  <c r="L21" i="9"/>
  <c r="H58" i="11"/>
  <c r="H59" i="10"/>
  <c r="J58" i="10"/>
  <c r="L38" i="10"/>
  <c r="K38" i="10"/>
  <c r="I34" i="21"/>
  <c r="I34" i="22" s="1"/>
  <c r="I35" i="23" s="1"/>
  <c r="I36" i="24" s="1"/>
  <c r="I36" i="25" s="1"/>
  <c r="L30" i="9" l="1"/>
  <c r="H30" i="10"/>
  <c r="J30" i="9"/>
  <c r="J12" i="24"/>
  <c r="H12" i="25"/>
  <c r="K15" i="9"/>
  <c r="K30" i="9" s="1"/>
  <c r="J15" i="10"/>
  <c r="I36" i="26"/>
  <c r="H58" i="12"/>
  <c r="J58" i="11"/>
  <c r="H59" i="11"/>
  <c r="H12" i="12"/>
  <c r="J12" i="11"/>
  <c r="H19" i="13"/>
  <c r="J19" i="12"/>
  <c r="H26" i="13"/>
  <c r="J26" i="12"/>
  <c r="H44" i="20"/>
  <c r="J44" i="19"/>
  <c r="L12" i="10"/>
  <c r="K12" i="10"/>
  <c r="L54" i="10"/>
  <c r="L55" i="10" s="1"/>
  <c r="J55" i="10"/>
  <c r="K54" i="10"/>
  <c r="K55" i="10" s="1"/>
  <c r="L42" i="11"/>
  <c r="K42" i="11"/>
  <c r="L43" i="10"/>
  <c r="K43" i="10"/>
  <c r="H46" i="13"/>
  <c r="J46" i="12"/>
  <c r="H7" i="13"/>
  <c r="J7" i="12"/>
  <c r="H14" i="12"/>
  <c r="J14" i="11"/>
  <c r="H3" i="13"/>
  <c r="J3" i="12"/>
  <c r="K40" i="15"/>
  <c r="L40" i="15"/>
  <c r="L18" i="11"/>
  <c r="K18" i="11"/>
  <c r="K33" i="11"/>
  <c r="L33" i="11"/>
  <c r="I18" i="13"/>
  <c r="I21" i="12"/>
  <c r="H42" i="13"/>
  <c r="J42" i="12"/>
  <c r="L39" i="12"/>
  <c r="K39" i="12"/>
  <c r="I54" i="12"/>
  <c r="I55" i="11"/>
  <c r="L36" i="12"/>
  <c r="K36" i="12"/>
  <c r="H25" i="12"/>
  <c r="J25" i="11"/>
  <c r="L13" i="10"/>
  <c r="K13" i="10"/>
  <c r="H38" i="13"/>
  <c r="J38" i="12"/>
  <c r="H18" i="13"/>
  <c r="J18" i="12"/>
  <c r="L20" i="10"/>
  <c r="L21" i="10" s="1"/>
  <c r="K20" i="10"/>
  <c r="H55" i="11"/>
  <c r="H54" i="12"/>
  <c r="J54" i="11"/>
  <c r="L38" i="11"/>
  <c r="K38" i="11"/>
  <c r="I3" i="13"/>
  <c r="I15" i="12"/>
  <c r="L11" i="23"/>
  <c r="K11" i="23"/>
  <c r="L4" i="11"/>
  <c r="K4" i="11"/>
  <c r="L48" i="11"/>
  <c r="K48" i="11"/>
  <c r="L49" i="11"/>
  <c r="K49" i="11"/>
  <c r="L5" i="10"/>
  <c r="K5" i="10"/>
  <c r="L47" i="10"/>
  <c r="K47" i="10"/>
  <c r="H13" i="12"/>
  <c r="J13" i="11"/>
  <c r="L45" i="11"/>
  <c r="K45" i="11"/>
  <c r="J20" i="11"/>
  <c r="H20" i="12"/>
  <c r="H39" i="14"/>
  <c r="J39" i="13"/>
  <c r="H51" i="11"/>
  <c r="H34" i="12"/>
  <c r="J34" i="11"/>
  <c r="H36" i="14"/>
  <c r="J36" i="13"/>
  <c r="K25" i="10"/>
  <c r="L25" i="10"/>
  <c r="I58" i="17"/>
  <c r="I59" i="15"/>
  <c r="J40" i="17"/>
  <c r="H40" i="18"/>
  <c r="H33" i="13"/>
  <c r="J33" i="12"/>
  <c r="L12" i="24"/>
  <c r="K12" i="24"/>
  <c r="K21" i="10"/>
  <c r="L6" i="11"/>
  <c r="K6" i="11"/>
  <c r="H5" i="12"/>
  <c r="J5" i="11"/>
  <c r="K51" i="9"/>
  <c r="L3" i="11"/>
  <c r="K3" i="11"/>
  <c r="L24" i="10"/>
  <c r="L27" i="10" s="1"/>
  <c r="K24" i="10"/>
  <c r="J27" i="10"/>
  <c r="J30" i="10" s="1"/>
  <c r="H45" i="13"/>
  <c r="J45" i="12"/>
  <c r="L9" i="10"/>
  <c r="K9" i="10"/>
  <c r="I33" i="13"/>
  <c r="I51" i="12"/>
  <c r="I24" i="13"/>
  <c r="I27" i="12"/>
  <c r="J37" i="11"/>
  <c r="H37" i="12"/>
  <c r="L10" i="10"/>
  <c r="K10" i="10"/>
  <c r="H4" i="13"/>
  <c r="J4" i="12"/>
  <c r="H48" i="13"/>
  <c r="J48" i="12"/>
  <c r="H49" i="13"/>
  <c r="J49" i="12"/>
  <c r="H47" i="12"/>
  <c r="J47" i="11"/>
  <c r="L35" i="11"/>
  <c r="K35" i="11"/>
  <c r="L58" i="10"/>
  <c r="L59" i="10" s="1"/>
  <c r="K58" i="10"/>
  <c r="K59" i="10" s="1"/>
  <c r="J59" i="10"/>
  <c r="K19" i="11"/>
  <c r="L19" i="11"/>
  <c r="L26" i="11"/>
  <c r="K26" i="11"/>
  <c r="K44" i="18"/>
  <c r="L44" i="18"/>
  <c r="L37" i="10"/>
  <c r="K37" i="10"/>
  <c r="H6" i="13"/>
  <c r="J6" i="12"/>
  <c r="H10" i="12"/>
  <c r="J10" i="11"/>
  <c r="H43" i="12"/>
  <c r="J43" i="11"/>
  <c r="L46" i="11"/>
  <c r="K46" i="11"/>
  <c r="L7" i="11"/>
  <c r="K7" i="11"/>
  <c r="L14" i="10"/>
  <c r="K14" i="10"/>
  <c r="J35" i="12"/>
  <c r="H35" i="13"/>
  <c r="L51" i="9"/>
  <c r="H15" i="11"/>
  <c r="H24" i="12"/>
  <c r="H27" i="11"/>
  <c r="J24" i="11"/>
  <c r="H9" i="12"/>
  <c r="J9" i="11"/>
  <c r="H12" i="26" l="1"/>
  <c r="J12" i="25"/>
  <c r="I30" i="12"/>
  <c r="H30" i="11"/>
  <c r="J15" i="11"/>
  <c r="K15" i="10"/>
  <c r="K30" i="10" s="1"/>
  <c r="K27" i="10"/>
  <c r="H15" i="12"/>
  <c r="L15" i="10"/>
  <c r="L30" i="10" s="1"/>
  <c r="J51" i="11"/>
  <c r="L51" i="10"/>
  <c r="I36" i="27"/>
  <c r="H4" i="14"/>
  <c r="J4" i="13"/>
  <c r="H20" i="13"/>
  <c r="H21" i="13" s="1"/>
  <c r="J20" i="12"/>
  <c r="J14" i="12"/>
  <c r="H14" i="13"/>
  <c r="H24" i="13"/>
  <c r="H27" i="12"/>
  <c r="J24" i="12"/>
  <c r="H43" i="13"/>
  <c r="J43" i="12"/>
  <c r="L47" i="11"/>
  <c r="K47" i="11"/>
  <c r="L4" i="12"/>
  <c r="K4" i="12"/>
  <c r="L45" i="12"/>
  <c r="K45" i="12"/>
  <c r="H40" i="19"/>
  <c r="J40" i="18"/>
  <c r="L36" i="13"/>
  <c r="K36" i="13"/>
  <c r="H39" i="15"/>
  <c r="J39" i="14"/>
  <c r="H13" i="13"/>
  <c r="J13" i="12"/>
  <c r="L54" i="11"/>
  <c r="L55" i="11" s="1"/>
  <c r="J55" i="11"/>
  <c r="K54" i="11"/>
  <c r="K55" i="11" s="1"/>
  <c r="H21" i="12"/>
  <c r="I55" i="12"/>
  <c r="I54" i="13"/>
  <c r="I18" i="14"/>
  <c r="I21" i="13"/>
  <c r="L14" i="11"/>
  <c r="K14" i="11"/>
  <c r="L44" i="19"/>
  <c r="K44" i="19"/>
  <c r="L12" i="11"/>
  <c r="K12" i="11"/>
  <c r="H47" i="13"/>
  <c r="J47" i="12"/>
  <c r="H44" i="21"/>
  <c r="J44" i="20"/>
  <c r="H10" i="13"/>
  <c r="J10" i="12"/>
  <c r="L49" i="12"/>
  <c r="K49" i="12"/>
  <c r="K34" i="11"/>
  <c r="L34" i="11"/>
  <c r="L20" i="11"/>
  <c r="L21" i="11" s="1"/>
  <c r="K20" i="11"/>
  <c r="K21" i="11" s="1"/>
  <c r="I3" i="14"/>
  <c r="I15" i="13"/>
  <c r="H18" i="14"/>
  <c r="J18" i="13"/>
  <c r="H25" i="13"/>
  <c r="J25" i="12"/>
  <c r="L7" i="12"/>
  <c r="K7" i="12"/>
  <c r="K51" i="10"/>
  <c r="L26" i="12"/>
  <c r="K26" i="12"/>
  <c r="I24" i="14"/>
  <c r="I27" i="13"/>
  <c r="L40" i="17"/>
  <c r="K40" i="17"/>
  <c r="L25" i="11"/>
  <c r="K25" i="11"/>
  <c r="H12" i="13"/>
  <c r="J12" i="12"/>
  <c r="L9" i="11"/>
  <c r="K9" i="11"/>
  <c r="H9" i="13"/>
  <c r="J9" i="12"/>
  <c r="J35" i="13"/>
  <c r="H35" i="14"/>
  <c r="L6" i="12"/>
  <c r="K6" i="12"/>
  <c r="H49" i="14"/>
  <c r="J49" i="13"/>
  <c r="I33" i="14"/>
  <c r="I51" i="13"/>
  <c r="K5" i="11"/>
  <c r="L5" i="11"/>
  <c r="I59" i="17"/>
  <c r="I59" i="18"/>
  <c r="H51" i="12"/>
  <c r="H34" i="13"/>
  <c r="J34" i="12"/>
  <c r="L38" i="12"/>
  <c r="K38" i="12"/>
  <c r="K42" i="12"/>
  <c r="L42" i="12"/>
  <c r="J7" i="13"/>
  <c r="H7" i="14"/>
  <c r="H26" i="14"/>
  <c r="J26" i="13"/>
  <c r="L58" i="11"/>
  <c r="L59" i="11" s="1"/>
  <c r="K58" i="11"/>
  <c r="K59" i="11" s="1"/>
  <c r="J59" i="11"/>
  <c r="H45" i="14"/>
  <c r="J45" i="13"/>
  <c r="H36" i="15"/>
  <c r="J36" i="14"/>
  <c r="H54" i="13"/>
  <c r="J54" i="12"/>
  <c r="H55" i="12"/>
  <c r="L18" i="12"/>
  <c r="K18" i="12"/>
  <c r="J21" i="12"/>
  <c r="L48" i="12"/>
  <c r="K48" i="12"/>
  <c r="K33" i="12"/>
  <c r="L33" i="12"/>
  <c r="H42" i="14"/>
  <c r="J42" i="13"/>
  <c r="J21" i="11"/>
  <c r="J30" i="11" s="1"/>
  <c r="L3" i="12"/>
  <c r="K3" i="12"/>
  <c r="L46" i="12"/>
  <c r="K46" i="12"/>
  <c r="L19" i="12"/>
  <c r="K19" i="12"/>
  <c r="H59" i="12"/>
  <c r="H58" i="13"/>
  <c r="J58" i="12"/>
  <c r="L10" i="11"/>
  <c r="K10" i="11"/>
  <c r="L24" i="11"/>
  <c r="L27" i="11" s="1"/>
  <c r="K24" i="11"/>
  <c r="K27" i="11" s="1"/>
  <c r="J27" i="11"/>
  <c r="K35" i="12"/>
  <c r="L35" i="12"/>
  <c r="H6" i="14"/>
  <c r="J6" i="13"/>
  <c r="H37" i="13"/>
  <c r="J37" i="13" s="1"/>
  <c r="K37" i="13" s="1"/>
  <c r="J37" i="12"/>
  <c r="H5" i="13"/>
  <c r="J5" i="12"/>
  <c r="H38" i="14"/>
  <c r="J38" i="13"/>
  <c r="L43" i="11"/>
  <c r="K43" i="11"/>
  <c r="H48" i="14"/>
  <c r="J48" i="13"/>
  <c r="L37" i="11"/>
  <c r="K37" i="11"/>
  <c r="J33" i="13"/>
  <c r="H33" i="14"/>
  <c r="L39" i="13"/>
  <c r="K39" i="13"/>
  <c r="L13" i="11"/>
  <c r="K13" i="11"/>
  <c r="K15" i="11" s="1"/>
  <c r="K30" i="11" s="1"/>
  <c r="H3" i="14"/>
  <c r="J3" i="13"/>
  <c r="H46" i="14"/>
  <c r="J46" i="13"/>
  <c r="H19" i="14"/>
  <c r="J19" i="13"/>
  <c r="H15" i="13" l="1"/>
  <c r="L12" i="25"/>
  <c r="K12" i="25"/>
  <c r="J15" i="12"/>
  <c r="H30" i="12"/>
  <c r="H12" i="27"/>
  <c r="J12" i="26"/>
  <c r="I36" i="28"/>
  <c r="L45" i="13"/>
  <c r="K45" i="13"/>
  <c r="L3" i="13"/>
  <c r="K3" i="13"/>
  <c r="L48" i="13"/>
  <c r="K48" i="13"/>
  <c r="H19" i="15"/>
  <c r="J19" i="14"/>
  <c r="L33" i="13"/>
  <c r="K33" i="13"/>
  <c r="K37" i="12"/>
  <c r="L37" i="12"/>
  <c r="H58" i="14"/>
  <c r="J58" i="13"/>
  <c r="H59" i="13"/>
  <c r="J51" i="12"/>
  <c r="J36" i="15"/>
  <c r="H36" i="17"/>
  <c r="L26" i="13"/>
  <c r="K26" i="13"/>
  <c r="H49" i="15"/>
  <c r="J49" i="14"/>
  <c r="J9" i="13"/>
  <c r="H9" i="14"/>
  <c r="H10" i="14"/>
  <c r="J10" i="13"/>
  <c r="H43" i="14"/>
  <c r="J43" i="13"/>
  <c r="L20" i="12"/>
  <c r="K20" i="12"/>
  <c r="K21" i="12" s="1"/>
  <c r="H37" i="14"/>
  <c r="H26" i="15"/>
  <c r="J26" i="14"/>
  <c r="L51" i="11"/>
  <c r="K24" i="12"/>
  <c r="L24" i="12"/>
  <c r="J27" i="12"/>
  <c r="J30" i="12" s="1"/>
  <c r="H46" i="15"/>
  <c r="J46" i="14"/>
  <c r="L38" i="13"/>
  <c r="K38" i="13"/>
  <c r="L6" i="13"/>
  <c r="K6" i="13"/>
  <c r="H45" i="15"/>
  <c r="J45" i="14"/>
  <c r="H7" i="15"/>
  <c r="J7" i="14"/>
  <c r="L34" i="12"/>
  <c r="K34" i="12"/>
  <c r="H18" i="15"/>
  <c r="J18" i="14"/>
  <c r="K51" i="11"/>
  <c r="H44" i="22"/>
  <c r="J44" i="21"/>
  <c r="I55" i="13"/>
  <c r="I54" i="14"/>
  <c r="L13" i="12"/>
  <c r="K13" i="12"/>
  <c r="L40" i="18"/>
  <c r="K40" i="18"/>
  <c r="L4" i="13"/>
  <c r="K4" i="13"/>
  <c r="L15" i="11"/>
  <c r="L30" i="11" s="1"/>
  <c r="L18" i="13"/>
  <c r="K18" i="13"/>
  <c r="L44" i="20"/>
  <c r="K44" i="20"/>
  <c r="I18" i="15"/>
  <c r="I21" i="14"/>
  <c r="H20" i="14"/>
  <c r="J20" i="13"/>
  <c r="H38" i="15"/>
  <c r="J38" i="14"/>
  <c r="H6" i="15"/>
  <c r="J6" i="14"/>
  <c r="L54" i="12"/>
  <c r="L55" i="12" s="1"/>
  <c r="J55" i="12"/>
  <c r="K54" i="12"/>
  <c r="K55" i="12" s="1"/>
  <c r="L7" i="13"/>
  <c r="K7" i="13"/>
  <c r="H34" i="14"/>
  <c r="J34" i="13"/>
  <c r="H35" i="15"/>
  <c r="J35" i="14"/>
  <c r="L12" i="12"/>
  <c r="K12" i="12"/>
  <c r="I30" i="13"/>
  <c r="K47" i="12"/>
  <c r="L47" i="12"/>
  <c r="H13" i="14"/>
  <c r="J13" i="13"/>
  <c r="J40" i="19"/>
  <c r="H40" i="20"/>
  <c r="H24" i="14"/>
  <c r="H27" i="13"/>
  <c r="H30" i="13" s="1"/>
  <c r="J24" i="13"/>
  <c r="H4" i="15"/>
  <c r="J4" i="14"/>
  <c r="L5" i="12"/>
  <c r="K5" i="12"/>
  <c r="L46" i="13"/>
  <c r="K46" i="13"/>
  <c r="L21" i="12"/>
  <c r="H51" i="13"/>
  <c r="L42" i="13"/>
  <c r="K42" i="13"/>
  <c r="H55" i="13"/>
  <c r="H54" i="14"/>
  <c r="J54" i="13"/>
  <c r="I33" i="15"/>
  <c r="I51" i="14"/>
  <c r="L35" i="13"/>
  <c r="K35" i="13"/>
  <c r="H12" i="14"/>
  <c r="J12" i="13"/>
  <c r="I24" i="15"/>
  <c r="I27" i="14"/>
  <c r="L25" i="12"/>
  <c r="K25" i="12"/>
  <c r="I3" i="15"/>
  <c r="I15" i="14"/>
  <c r="H47" i="14"/>
  <c r="J47" i="13"/>
  <c r="L39" i="14"/>
  <c r="K39" i="14"/>
  <c r="H14" i="14"/>
  <c r="J14" i="13"/>
  <c r="L19" i="13"/>
  <c r="K19" i="13"/>
  <c r="H3" i="15"/>
  <c r="J3" i="14"/>
  <c r="H33" i="15"/>
  <c r="J33" i="14"/>
  <c r="H51" i="14"/>
  <c r="H48" i="15"/>
  <c r="J48" i="14"/>
  <c r="J5" i="13"/>
  <c r="H5" i="14"/>
  <c r="L58" i="12"/>
  <c r="L59" i="12" s="1"/>
  <c r="K58" i="12"/>
  <c r="K59" i="12" s="1"/>
  <c r="J59" i="12"/>
  <c r="H42" i="15"/>
  <c r="J42" i="14"/>
  <c r="L36" i="14"/>
  <c r="K36" i="14"/>
  <c r="I60" i="18"/>
  <c r="I59" i="19"/>
  <c r="K49" i="13"/>
  <c r="L49" i="13"/>
  <c r="K9" i="12"/>
  <c r="L9" i="12"/>
  <c r="H25" i="14"/>
  <c r="J25" i="13"/>
  <c r="L10" i="12"/>
  <c r="K10" i="12"/>
  <c r="H39" i="17"/>
  <c r="J39" i="15"/>
  <c r="L43" i="12"/>
  <c r="K43" i="12"/>
  <c r="L14" i="12"/>
  <c r="K14" i="12"/>
  <c r="H12" i="28" l="1"/>
  <c r="J12" i="28" s="1"/>
  <c r="J12" i="27"/>
  <c r="K15" i="12"/>
  <c r="K27" i="12"/>
  <c r="L12" i="26"/>
  <c r="K12" i="26"/>
  <c r="K47" i="13"/>
  <c r="L47" i="13"/>
  <c r="K30" i="12"/>
  <c r="L42" i="14"/>
  <c r="K42" i="14"/>
  <c r="L3" i="14"/>
  <c r="K3" i="14"/>
  <c r="H12" i="15"/>
  <c r="J12" i="14"/>
  <c r="L25" i="13"/>
  <c r="K25" i="13"/>
  <c r="I60" i="19"/>
  <c r="I59" i="20"/>
  <c r="H48" i="17"/>
  <c r="J48" i="15"/>
  <c r="J3" i="15"/>
  <c r="H3" i="17"/>
  <c r="H24" i="15"/>
  <c r="J24" i="15" s="1"/>
  <c r="H27" i="14"/>
  <c r="J24" i="14"/>
  <c r="K34" i="13"/>
  <c r="L34" i="13"/>
  <c r="H20" i="15"/>
  <c r="J20" i="14"/>
  <c r="H44" i="23"/>
  <c r="J44" i="22"/>
  <c r="L51" i="12"/>
  <c r="L27" i="12"/>
  <c r="J37" i="14"/>
  <c r="H37" i="15"/>
  <c r="H10" i="15"/>
  <c r="J10" i="14"/>
  <c r="L58" i="13"/>
  <c r="L59" i="13" s="1"/>
  <c r="K58" i="13"/>
  <c r="K59" i="13" s="1"/>
  <c r="J59" i="13"/>
  <c r="H40" i="21"/>
  <c r="J40" i="20"/>
  <c r="K6" i="14"/>
  <c r="L6" i="14"/>
  <c r="L7" i="14"/>
  <c r="K7" i="14"/>
  <c r="H9" i="15"/>
  <c r="J9" i="14"/>
  <c r="H58" i="15"/>
  <c r="J58" i="14"/>
  <c r="H59" i="14"/>
  <c r="L19" i="14"/>
  <c r="K19" i="14"/>
  <c r="L39" i="15"/>
  <c r="K39" i="15"/>
  <c r="L33" i="14"/>
  <c r="K33" i="14"/>
  <c r="H47" i="15"/>
  <c r="J47" i="14"/>
  <c r="I24" i="17"/>
  <c r="I27" i="15"/>
  <c r="I33" i="17"/>
  <c r="I51" i="15"/>
  <c r="L4" i="14"/>
  <c r="K4" i="14"/>
  <c r="L40" i="19"/>
  <c r="K40" i="19"/>
  <c r="H6" i="17"/>
  <c r="J6" i="15"/>
  <c r="I18" i="17"/>
  <c r="I21" i="15"/>
  <c r="L18" i="14"/>
  <c r="J21" i="14"/>
  <c r="K18" i="14"/>
  <c r="H7" i="17"/>
  <c r="J7" i="15"/>
  <c r="L9" i="13"/>
  <c r="K9" i="13"/>
  <c r="L36" i="15"/>
  <c r="K36" i="15"/>
  <c r="H19" i="17"/>
  <c r="J19" i="15"/>
  <c r="H34" i="15"/>
  <c r="J34" i="14"/>
  <c r="J36" i="17"/>
  <c r="H36" i="18"/>
  <c r="H39" i="18"/>
  <c r="J39" i="17"/>
  <c r="H5" i="15"/>
  <c r="J5" i="14"/>
  <c r="H33" i="17"/>
  <c r="J33" i="15"/>
  <c r="L14" i="13"/>
  <c r="K14" i="13"/>
  <c r="I30" i="14"/>
  <c r="L12" i="13"/>
  <c r="K12" i="13"/>
  <c r="L54" i="13"/>
  <c r="L55" i="13" s="1"/>
  <c r="J55" i="13"/>
  <c r="K54" i="13"/>
  <c r="K55" i="13" s="1"/>
  <c r="H4" i="17"/>
  <c r="J4" i="15"/>
  <c r="L13" i="13"/>
  <c r="K13" i="13"/>
  <c r="L38" i="14"/>
  <c r="K38" i="14"/>
  <c r="I55" i="14"/>
  <c r="I54" i="15"/>
  <c r="H21" i="14"/>
  <c r="L45" i="14"/>
  <c r="K45" i="14"/>
  <c r="L46" i="14"/>
  <c r="K46" i="14"/>
  <c r="L26" i="14"/>
  <c r="K26" i="14"/>
  <c r="L43" i="13"/>
  <c r="K43" i="13"/>
  <c r="L49" i="14"/>
  <c r="K49" i="14"/>
  <c r="I3" i="17"/>
  <c r="I15" i="15"/>
  <c r="H25" i="15"/>
  <c r="J25" i="14"/>
  <c r="L5" i="13"/>
  <c r="K5" i="13"/>
  <c r="H14" i="15"/>
  <c r="J14" i="14"/>
  <c r="H55" i="14"/>
  <c r="H54" i="15"/>
  <c r="J54" i="14"/>
  <c r="L24" i="13"/>
  <c r="K24" i="13"/>
  <c r="K27" i="13" s="1"/>
  <c r="J27" i="13"/>
  <c r="H13" i="15"/>
  <c r="J13" i="14"/>
  <c r="L35" i="14"/>
  <c r="K35" i="14"/>
  <c r="H38" i="17"/>
  <c r="J38" i="15"/>
  <c r="H18" i="17"/>
  <c r="J18" i="15"/>
  <c r="H21" i="15"/>
  <c r="H45" i="17"/>
  <c r="J45" i="15"/>
  <c r="H46" i="17"/>
  <c r="J46" i="15"/>
  <c r="H26" i="17"/>
  <c r="J26" i="15"/>
  <c r="H43" i="15"/>
  <c r="J43" i="14"/>
  <c r="H49" i="17"/>
  <c r="J49" i="15"/>
  <c r="J51" i="13"/>
  <c r="L15" i="12"/>
  <c r="L30" i="12" s="1"/>
  <c r="J42" i="15"/>
  <c r="H42" i="17"/>
  <c r="K48" i="14"/>
  <c r="L48" i="14"/>
  <c r="H15" i="14"/>
  <c r="H30" i="14" s="1"/>
  <c r="H35" i="17"/>
  <c r="J35" i="15"/>
  <c r="L20" i="13"/>
  <c r="L21" i="13" s="1"/>
  <c r="K20" i="13"/>
  <c r="K21" i="13" s="1"/>
  <c r="J21" i="13"/>
  <c r="L44" i="21"/>
  <c r="K44" i="21"/>
  <c r="K51" i="12"/>
  <c r="L37" i="13"/>
  <c r="L10" i="13"/>
  <c r="K10" i="13"/>
  <c r="J15" i="13"/>
  <c r="J30" i="13" s="1"/>
  <c r="L15" i="13" l="1"/>
  <c r="K12" i="27"/>
  <c r="L12" i="27"/>
  <c r="L12" i="28"/>
  <c r="K12" i="28"/>
  <c r="K24" i="15"/>
  <c r="L24" i="15"/>
  <c r="L18" i="15"/>
  <c r="K18" i="15"/>
  <c r="L43" i="14"/>
  <c r="K43" i="14"/>
  <c r="H38" i="18"/>
  <c r="J38" i="17"/>
  <c r="H35" i="18"/>
  <c r="J35" i="17"/>
  <c r="K26" i="15"/>
  <c r="L26" i="15"/>
  <c r="L54" i="14"/>
  <c r="L55" i="14" s="1"/>
  <c r="J55" i="14"/>
  <c r="K54" i="14"/>
  <c r="K55" i="14" s="1"/>
  <c r="K15" i="13"/>
  <c r="K30" i="13" s="1"/>
  <c r="H5" i="17"/>
  <c r="J5" i="15"/>
  <c r="H34" i="17"/>
  <c r="J34" i="15"/>
  <c r="L58" i="14"/>
  <c r="L59" i="14" s="1"/>
  <c r="J59" i="14"/>
  <c r="K58" i="14"/>
  <c r="K59" i="14" s="1"/>
  <c r="L51" i="13"/>
  <c r="H3" i="18"/>
  <c r="J3" i="17"/>
  <c r="H26" i="18"/>
  <c r="J26" i="17"/>
  <c r="H55" i="15"/>
  <c r="H54" i="17"/>
  <c r="J54" i="15"/>
  <c r="L19" i="15"/>
  <c r="K19" i="15"/>
  <c r="I18" i="18"/>
  <c r="I21" i="17"/>
  <c r="L47" i="14"/>
  <c r="K47" i="14"/>
  <c r="J58" i="15"/>
  <c r="H58" i="17"/>
  <c r="H59" i="15"/>
  <c r="L10" i="14"/>
  <c r="K10" i="14"/>
  <c r="K51" i="13"/>
  <c r="L49" i="15"/>
  <c r="K49" i="15"/>
  <c r="L46" i="15"/>
  <c r="K46" i="15"/>
  <c r="H18" i="18"/>
  <c r="J18" i="17"/>
  <c r="H13" i="17"/>
  <c r="J13" i="15"/>
  <c r="H25" i="17"/>
  <c r="J25" i="15"/>
  <c r="J27" i="15" s="1"/>
  <c r="H51" i="15"/>
  <c r="H39" i="19"/>
  <c r="J39" i="18"/>
  <c r="J19" i="17"/>
  <c r="H19" i="18"/>
  <c r="J7" i="17"/>
  <c r="H7" i="18"/>
  <c r="L6" i="15"/>
  <c r="K6" i="15"/>
  <c r="H47" i="17"/>
  <c r="J47" i="15"/>
  <c r="L9" i="14"/>
  <c r="K9" i="14"/>
  <c r="L40" i="20"/>
  <c r="K40" i="20"/>
  <c r="H10" i="17"/>
  <c r="J10" i="15"/>
  <c r="H45" i="24"/>
  <c r="J44" i="23"/>
  <c r="L24" i="14"/>
  <c r="K24" i="14"/>
  <c r="J27" i="14"/>
  <c r="L48" i="15"/>
  <c r="K48" i="15"/>
  <c r="L12" i="14"/>
  <c r="K12" i="14"/>
  <c r="L13" i="14"/>
  <c r="K13" i="14"/>
  <c r="L25" i="14"/>
  <c r="K25" i="14"/>
  <c r="L39" i="17"/>
  <c r="K39" i="17"/>
  <c r="L7" i="15"/>
  <c r="K7" i="15"/>
  <c r="K44" i="22"/>
  <c r="L44" i="22"/>
  <c r="L3" i="15"/>
  <c r="K3" i="15"/>
  <c r="H49" i="18"/>
  <c r="J49" i="17"/>
  <c r="H46" i="18"/>
  <c r="J46" i="17"/>
  <c r="L38" i="15"/>
  <c r="K38" i="15"/>
  <c r="L14" i="14"/>
  <c r="K14" i="14"/>
  <c r="I30" i="15"/>
  <c r="L33" i="15"/>
  <c r="K33" i="15"/>
  <c r="H36" i="19"/>
  <c r="J36" i="18"/>
  <c r="H6" i="18"/>
  <c r="J6" i="17"/>
  <c r="I33" i="18"/>
  <c r="I51" i="17"/>
  <c r="H9" i="17"/>
  <c r="J9" i="15"/>
  <c r="H40" i="22"/>
  <c r="J40" i="21"/>
  <c r="H37" i="17"/>
  <c r="J37" i="15"/>
  <c r="H48" i="18"/>
  <c r="J48" i="17"/>
  <c r="H12" i="17"/>
  <c r="J12" i="15"/>
  <c r="J42" i="17"/>
  <c r="H42" i="18"/>
  <c r="L45" i="15"/>
  <c r="K45" i="15"/>
  <c r="H14" i="17"/>
  <c r="J14" i="15"/>
  <c r="I3" i="18"/>
  <c r="I15" i="17"/>
  <c r="I55" i="15"/>
  <c r="I54" i="17"/>
  <c r="L4" i="15"/>
  <c r="K4" i="15"/>
  <c r="H33" i="18"/>
  <c r="J33" i="17"/>
  <c r="L36" i="17"/>
  <c r="K36" i="17"/>
  <c r="J51" i="14"/>
  <c r="L37" i="14"/>
  <c r="K37" i="14"/>
  <c r="L20" i="14"/>
  <c r="L21" i="14" s="1"/>
  <c r="K20" i="14"/>
  <c r="K21" i="14" s="1"/>
  <c r="H24" i="17"/>
  <c r="H27" i="15"/>
  <c r="I59" i="21"/>
  <c r="I60" i="20"/>
  <c r="J15" i="14"/>
  <c r="J30" i="14" s="1"/>
  <c r="K35" i="15"/>
  <c r="L35" i="15"/>
  <c r="L42" i="15"/>
  <c r="K42" i="15"/>
  <c r="H43" i="17"/>
  <c r="J43" i="15"/>
  <c r="J45" i="17"/>
  <c r="H45" i="18"/>
  <c r="L27" i="13"/>
  <c r="L30" i="13" s="1"/>
  <c r="H4" i="18"/>
  <c r="J4" i="17"/>
  <c r="L5" i="14"/>
  <c r="L15" i="14" s="1"/>
  <c r="K5" i="14"/>
  <c r="K15" i="14" s="1"/>
  <c r="K34" i="14"/>
  <c r="L34" i="14"/>
  <c r="I24" i="18"/>
  <c r="I27" i="17"/>
  <c r="H20" i="17"/>
  <c r="J20" i="15"/>
  <c r="J21" i="15" s="1"/>
  <c r="H15" i="15"/>
  <c r="H51" i="17" l="1"/>
  <c r="J45" i="24"/>
  <c r="H45" i="25"/>
  <c r="H15" i="17"/>
  <c r="H30" i="15"/>
  <c r="K51" i="14"/>
  <c r="L51" i="14"/>
  <c r="L40" i="21"/>
  <c r="K40" i="21"/>
  <c r="L46" i="17"/>
  <c r="K46" i="17"/>
  <c r="L44" i="23"/>
  <c r="K44" i="23"/>
  <c r="H7" i="19"/>
  <c r="J7" i="18"/>
  <c r="K18" i="17"/>
  <c r="L18" i="17"/>
  <c r="L54" i="15"/>
  <c r="L55" i="15" s="1"/>
  <c r="J55" i="15"/>
  <c r="K54" i="15"/>
  <c r="K55" i="15" s="1"/>
  <c r="L3" i="17"/>
  <c r="K3" i="17"/>
  <c r="H35" i="19"/>
  <c r="J35" i="18"/>
  <c r="H6" i="19"/>
  <c r="J6" i="18"/>
  <c r="H46" i="19"/>
  <c r="J46" i="18"/>
  <c r="L7" i="17"/>
  <c r="K7" i="17"/>
  <c r="L34" i="15"/>
  <c r="K34" i="15"/>
  <c r="I55" i="17"/>
  <c r="I54" i="18"/>
  <c r="L48" i="17"/>
  <c r="K48" i="17"/>
  <c r="L9" i="15"/>
  <c r="K9" i="15"/>
  <c r="K36" i="18"/>
  <c r="L36" i="18"/>
  <c r="K49" i="17"/>
  <c r="L49" i="17"/>
  <c r="L10" i="15"/>
  <c r="K10" i="15"/>
  <c r="L47" i="15"/>
  <c r="K47" i="15"/>
  <c r="H19" i="19"/>
  <c r="J19" i="18"/>
  <c r="J25" i="17"/>
  <c r="H25" i="18"/>
  <c r="H3" i="19"/>
  <c r="J3" i="18"/>
  <c r="H34" i="18"/>
  <c r="J34" i="17"/>
  <c r="H38" i="19"/>
  <c r="J38" i="18"/>
  <c r="H24" i="18"/>
  <c r="J24" i="17"/>
  <c r="H27" i="17"/>
  <c r="H12" i="18"/>
  <c r="J12" i="17"/>
  <c r="H18" i="19"/>
  <c r="J18" i="18"/>
  <c r="L45" i="17"/>
  <c r="K45" i="17"/>
  <c r="H48" i="19"/>
  <c r="J48" i="18"/>
  <c r="H9" i="18"/>
  <c r="J9" i="17"/>
  <c r="H36" i="20"/>
  <c r="J36" i="19"/>
  <c r="H49" i="19"/>
  <c r="J49" i="18"/>
  <c r="H10" i="18"/>
  <c r="J10" i="17"/>
  <c r="H47" i="18"/>
  <c r="J47" i="17"/>
  <c r="K19" i="17"/>
  <c r="L19" i="17"/>
  <c r="K13" i="15"/>
  <c r="L13" i="15"/>
  <c r="I18" i="19"/>
  <c r="I21" i="18"/>
  <c r="L26" i="17"/>
  <c r="K26" i="17"/>
  <c r="K5" i="15"/>
  <c r="L5" i="15"/>
  <c r="L14" i="15"/>
  <c r="K14" i="15"/>
  <c r="L6" i="17"/>
  <c r="K6" i="17"/>
  <c r="H45" i="19"/>
  <c r="J45" i="18"/>
  <c r="J40" i="22"/>
  <c r="H40" i="23"/>
  <c r="L38" i="17"/>
  <c r="K38" i="17"/>
  <c r="L43" i="15"/>
  <c r="K43" i="15"/>
  <c r="I24" i="19"/>
  <c r="I27" i="18"/>
  <c r="L4" i="17"/>
  <c r="K4" i="17"/>
  <c r="H43" i="18"/>
  <c r="J43" i="17"/>
  <c r="L33" i="17"/>
  <c r="K33" i="17"/>
  <c r="I30" i="17"/>
  <c r="H42" i="19"/>
  <c r="J42" i="18"/>
  <c r="K37" i="15"/>
  <c r="L37" i="15"/>
  <c r="J51" i="15"/>
  <c r="J15" i="15"/>
  <c r="J30" i="15" s="1"/>
  <c r="K27" i="14"/>
  <c r="K30" i="14" s="1"/>
  <c r="L39" i="18"/>
  <c r="K39" i="18"/>
  <c r="H13" i="18"/>
  <c r="J13" i="17"/>
  <c r="H59" i="18"/>
  <c r="J58" i="17"/>
  <c r="H59" i="17"/>
  <c r="H26" i="19"/>
  <c r="J26" i="18"/>
  <c r="H5" i="18"/>
  <c r="J5" i="17"/>
  <c r="L12" i="15"/>
  <c r="K12" i="15"/>
  <c r="K15" i="15" s="1"/>
  <c r="L20" i="15"/>
  <c r="L21" i="15" s="1"/>
  <c r="K20" i="15"/>
  <c r="K21" i="15" s="1"/>
  <c r="H14" i="18"/>
  <c r="J14" i="17"/>
  <c r="L45" i="24"/>
  <c r="K45" i="24"/>
  <c r="L25" i="15"/>
  <c r="L27" i="15" s="1"/>
  <c r="K25" i="15"/>
  <c r="K27" i="15" s="1"/>
  <c r="H54" i="18"/>
  <c r="H55" i="17"/>
  <c r="J54" i="17"/>
  <c r="H20" i="18"/>
  <c r="J20" i="17"/>
  <c r="J21" i="17" s="1"/>
  <c r="H4" i="19"/>
  <c r="J4" i="18"/>
  <c r="I60" i="21"/>
  <c r="I60" i="22"/>
  <c r="H33" i="19"/>
  <c r="J33" i="18"/>
  <c r="I3" i="19"/>
  <c r="I15" i="18"/>
  <c r="L42" i="17"/>
  <c r="K42" i="17"/>
  <c r="J37" i="17"/>
  <c r="H37" i="18"/>
  <c r="I33" i="19"/>
  <c r="I51" i="18"/>
  <c r="L27" i="14"/>
  <c r="L30" i="14" s="1"/>
  <c r="H39" i="20"/>
  <c r="J39" i="19"/>
  <c r="H21" i="17"/>
  <c r="H30" i="17" s="1"/>
  <c r="L58" i="15"/>
  <c r="L59" i="15" s="1"/>
  <c r="J59" i="15"/>
  <c r="K58" i="15"/>
  <c r="K59" i="15" s="1"/>
  <c r="L35" i="17"/>
  <c r="K35" i="17"/>
  <c r="K30" i="15" l="1"/>
  <c r="H45" i="26"/>
  <c r="J45" i="25"/>
  <c r="I30" i="18"/>
  <c r="H39" i="21"/>
  <c r="J39" i="20"/>
  <c r="L37" i="17"/>
  <c r="K37" i="17"/>
  <c r="H33" i="20"/>
  <c r="J33" i="19"/>
  <c r="H20" i="19"/>
  <c r="H21" i="19" s="1"/>
  <c r="J20" i="18"/>
  <c r="L42" i="18"/>
  <c r="K42" i="18"/>
  <c r="L43" i="17"/>
  <c r="K43" i="17"/>
  <c r="L45" i="18"/>
  <c r="K45" i="18"/>
  <c r="I18" i="20"/>
  <c r="I21" i="19"/>
  <c r="H47" i="19"/>
  <c r="J47" i="18"/>
  <c r="H36" i="21"/>
  <c r="J36" i="20"/>
  <c r="L34" i="17"/>
  <c r="K34" i="17"/>
  <c r="L25" i="17"/>
  <c r="K25" i="17"/>
  <c r="L51" i="15"/>
  <c r="H6" i="20"/>
  <c r="J6" i="19"/>
  <c r="I61" i="22"/>
  <c r="I61" i="23"/>
  <c r="H43" i="19"/>
  <c r="J43" i="18"/>
  <c r="J45" i="19"/>
  <c r="H45" i="20"/>
  <c r="L10" i="17"/>
  <c r="K10" i="17"/>
  <c r="L24" i="17"/>
  <c r="J27" i="17"/>
  <c r="K24" i="17"/>
  <c r="K27" i="17" s="1"/>
  <c r="L14" i="17"/>
  <c r="K14" i="17"/>
  <c r="L5" i="17"/>
  <c r="K5" i="17"/>
  <c r="H59" i="19"/>
  <c r="J59" i="18"/>
  <c r="H60" i="18"/>
  <c r="H10" i="19"/>
  <c r="J10" i="18"/>
  <c r="H9" i="19"/>
  <c r="J9" i="18"/>
  <c r="H21" i="18"/>
  <c r="H24" i="19"/>
  <c r="H27" i="18"/>
  <c r="J24" i="18"/>
  <c r="L3" i="18"/>
  <c r="K3" i="18"/>
  <c r="H19" i="20"/>
  <c r="J19" i="19"/>
  <c r="L35" i="18"/>
  <c r="K35" i="18"/>
  <c r="J7" i="19"/>
  <c r="H7" i="20"/>
  <c r="K58" i="17"/>
  <c r="K59" i="17" s="1"/>
  <c r="J59" i="17"/>
  <c r="L58" i="17"/>
  <c r="L59" i="17" s="1"/>
  <c r="L15" i="15"/>
  <c r="L30" i="15" s="1"/>
  <c r="H51" i="18"/>
  <c r="H34" i="19"/>
  <c r="J34" i="18"/>
  <c r="L4" i="18"/>
  <c r="K4" i="18"/>
  <c r="H14" i="19"/>
  <c r="J14" i="18"/>
  <c r="H5" i="19"/>
  <c r="J5" i="18"/>
  <c r="L13" i="17"/>
  <c r="K13" i="17"/>
  <c r="J51" i="17"/>
  <c r="L49" i="18"/>
  <c r="K49" i="18"/>
  <c r="K48" i="18"/>
  <c r="L48" i="18"/>
  <c r="H18" i="20"/>
  <c r="J18" i="19"/>
  <c r="H15" i="18"/>
  <c r="H30" i="18" s="1"/>
  <c r="I56" i="18"/>
  <c r="I54" i="19"/>
  <c r="L46" i="18"/>
  <c r="K46" i="18"/>
  <c r="J35" i="19"/>
  <c r="H35" i="20"/>
  <c r="H42" i="20"/>
  <c r="J42" i="19"/>
  <c r="L18" i="18"/>
  <c r="K18" i="18"/>
  <c r="J21" i="18"/>
  <c r="L7" i="18"/>
  <c r="K7" i="18"/>
  <c r="I33" i="20"/>
  <c r="I51" i="19"/>
  <c r="H4" i="20"/>
  <c r="J4" i="19"/>
  <c r="K26" i="18"/>
  <c r="L26" i="18"/>
  <c r="H13" i="19"/>
  <c r="J13" i="18"/>
  <c r="H41" i="24"/>
  <c r="J40" i="23"/>
  <c r="H49" i="20"/>
  <c r="J49" i="19"/>
  <c r="J48" i="19"/>
  <c r="H48" i="20"/>
  <c r="L12" i="17"/>
  <c r="K12" i="17"/>
  <c r="L38" i="18"/>
  <c r="K38" i="18"/>
  <c r="H3" i="20"/>
  <c r="J3" i="19"/>
  <c r="J46" i="19"/>
  <c r="H46" i="20"/>
  <c r="J15" i="17"/>
  <c r="J30" i="17" s="1"/>
  <c r="K54" i="17"/>
  <c r="K55" i="17" s="1"/>
  <c r="J55" i="17"/>
  <c r="L54" i="17"/>
  <c r="L55" i="17" s="1"/>
  <c r="L9" i="17"/>
  <c r="K9" i="17"/>
  <c r="L19" i="18"/>
  <c r="K19" i="18"/>
  <c r="H56" i="18"/>
  <c r="H54" i="19"/>
  <c r="J54" i="18"/>
  <c r="I3" i="20"/>
  <c r="I15" i="19"/>
  <c r="I30" i="19" s="1"/>
  <c r="L39" i="19"/>
  <c r="K39" i="19"/>
  <c r="J37" i="18"/>
  <c r="H37" i="19"/>
  <c r="L33" i="18"/>
  <c r="K33" i="18"/>
  <c r="L20" i="17"/>
  <c r="L21" i="17" s="1"/>
  <c r="K20" i="17"/>
  <c r="K21" i="17" s="1"/>
  <c r="H26" i="20"/>
  <c r="J26" i="19"/>
  <c r="I24" i="20"/>
  <c r="I27" i="19"/>
  <c r="L40" i="22"/>
  <c r="K40" i="22"/>
  <c r="L47" i="17"/>
  <c r="K47" i="17"/>
  <c r="L36" i="19"/>
  <c r="K36" i="19"/>
  <c r="H12" i="19"/>
  <c r="J12" i="18"/>
  <c r="J38" i="19"/>
  <c r="H38" i="20"/>
  <c r="J25" i="18"/>
  <c r="H25" i="19"/>
  <c r="K51" i="15"/>
  <c r="L6" i="18"/>
  <c r="K6" i="18"/>
  <c r="K15" i="17"/>
  <c r="K30" i="17" s="1"/>
  <c r="J41" i="24" l="1"/>
  <c r="H41" i="25"/>
  <c r="L45" i="25"/>
  <c r="K45" i="25"/>
  <c r="K51" i="17"/>
  <c r="H45" i="27"/>
  <c r="J45" i="26"/>
  <c r="L15" i="17"/>
  <c r="J51" i="18"/>
  <c r="I24" i="21"/>
  <c r="I27" i="20"/>
  <c r="L49" i="19"/>
  <c r="K49" i="19"/>
  <c r="H25" i="20"/>
  <c r="J25" i="19"/>
  <c r="H3" i="21"/>
  <c r="J3" i="20"/>
  <c r="L48" i="19"/>
  <c r="K48" i="19"/>
  <c r="H13" i="20"/>
  <c r="J13" i="19"/>
  <c r="I33" i="21"/>
  <c r="I51" i="20"/>
  <c r="L42" i="19"/>
  <c r="K42" i="19"/>
  <c r="I54" i="20"/>
  <c r="I56" i="19"/>
  <c r="L19" i="19"/>
  <c r="K19" i="19"/>
  <c r="H10" i="20"/>
  <c r="J10" i="19"/>
  <c r="H47" i="20"/>
  <c r="J47" i="19"/>
  <c r="L33" i="19"/>
  <c r="K33" i="19"/>
  <c r="L26" i="19"/>
  <c r="K26" i="19"/>
  <c r="H49" i="21"/>
  <c r="J49" i="20"/>
  <c r="H35" i="21"/>
  <c r="J35" i="20"/>
  <c r="H5" i="20"/>
  <c r="J5" i="19"/>
  <c r="H34" i="20"/>
  <c r="J34" i="19"/>
  <c r="H7" i="21"/>
  <c r="J7" i="20"/>
  <c r="L59" i="18"/>
  <c r="L60" i="18" s="1"/>
  <c r="J60" i="18"/>
  <c r="K59" i="18"/>
  <c r="K60" i="18" s="1"/>
  <c r="L45" i="19"/>
  <c r="K45" i="19"/>
  <c r="K6" i="19"/>
  <c r="L6" i="19"/>
  <c r="L51" i="17"/>
  <c r="I18" i="21"/>
  <c r="I21" i="20"/>
  <c r="L5" i="18"/>
  <c r="K5" i="18"/>
  <c r="H24" i="20"/>
  <c r="J24" i="19"/>
  <c r="H27" i="19"/>
  <c r="H46" i="21"/>
  <c r="J46" i="20"/>
  <c r="L38" i="19"/>
  <c r="K38" i="19"/>
  <c r="H26" i="21"/>
  <c r="J26" i="20"/>
  <c r="J37" i="19"/>
  <c r="H37" i="20"/>
  <c r="L54" i="18"/>
  <c r="L56" i="18" s="1"/>
  <c r="K54" i="18"/>
  <c r="K56" i="18" s="1"/>
  <c r="J56" i="18"/>
  <c r="L46" i="19"/>
  <c r="K46" i="19"/>
  <c r="L40" i="23"/>
  <c r="K40" i="23"/>
  <c r="L4" i="19"/>
  <c r="K4" i="19"/>
  <c r="L35" i="19"/>
  <c r="K35" i="19"/>
  <c r="L14" i="18"/>
  <c r="K14" i="18"/>
  <c r="K7" i="19"/>
  <c r="L7" i="19"/>
  <c r="J15" i="18"/>
  <c r="K9" i="18"/>
  <c r="L9" i="18"/>
  <c r="J59" i="19"/>
  <c r="H59" i="20"/>
  <c r="H60" i="19"/>
  <c r="L43" i="18"/>
  <c r="K43" i="18"/>
  <c r="H6" i="21"/>
  <c r="J6" i="20"/>
  <c r="L36" i="20"/>
  <c r="K36" i="20"/>
  <c r="L20" i="18"/>
  <c r="K20" i="18"/>
  <c r="L25" i="18"/>
  <c r="K25" i="18"/>
  <c r="H42" i="21"/>
  <c r="J42" i="20"/>
  <c r="L34" i="18"/>
  <c r="K34" i="18"/>
  <c r="H33" i="21"/>
  <c r="J33" i="20"/>
  <c r="H54" i="20"/>
  <c r="J54" i="19"/>
  <c r="H56" i="19"/>
  <c r="H15" i="19"/>
  <c r="H30" i="19" s="1"/>
  <c r="L41" i="24"/>
  <c r="K41" i="24"/>
  <c r="H4" i="21"/>
  <c r="J4" i="20"/>
  <c r="K21" i="18"/>
  <c r="L18" i="19"/>
  <c r="K18" i="19"/>
  <c r="H14" i="20"/>
  <c r="J14" i="19"/>
  <c r="H9" i="20"/>
  <c r="J9" i="19"/>
  <c r="L27" i="17"/>
  <c r="L30" i="17" s="1"/>
  <c r="H43" i="20"/>
  <c r="J43" i="19"/>
  <c r="H36" i="22"/>
  <c r="J36" i="21"/>
  <c r="H20" i="20"/>
  <c r="J20" i="19"/>
  <c r="J21" i="19" s="1"/>
  <c r="L39" i="20"/>
  <c r="K39" i="20"/>
  <c r="H19" i="21"/>
  <c r="J19" i="20"/>
  <c r="H45" i="21"/>
  <c r="J45" i="20"/>
  <c r="J38" i="20"/>
  <c r="H38" i="21"/>
  <c r="I3" i="21"/>
  <c r="I15" i="20"/>
  <c r="I30" i="20" s="1"/>
  <c r="L12" i="18"/>
  <c r="K12" i="18"/>
  <c r="L37" i="18"/>
  <c r="K37" i="18"/>
  <c r="H12" i="20"/>
  <c r="J12" i="19"/>
  <c r="L3" i="19"/>
  <c r="K3" i="19"/>
  <c r="H48" i="21"/>
  <c r="J48" i="20"/>
  <c r="L13" i="18"/>
  <c r="K13" i="18"/>
  <c r="L21" i="18"/>
  <c r="H18" i="21"/>
  <c r="J18" i="20"/>
  <c r="L24" i="18"/>
  <c r="K24" i="18"/>
  <c r="J27" i="18"/>
  <c r="L10" i="18"/>
  <c r="K10" i="18"/>
  <c r="I62" i="23"/>
  <c r="I62" i="24"/>
  <c r="K47" i="18"/>
  <c r="L47" i="18"/>
  <c r="H51" i="19"/>
  <c r="H39" i="22"/>
  <c r="J39" i="21"/>
  <c r="H45" i="28" l="1"/>
  <c r="J45" i="28" s="1"/>
  <c r="J45" i="27"/>
  <c r="K15" i="18"/>
  <c r="L15" i="18"/>
  <c r="J51" i="19"/>
  <c r="H41" i="26"/>
  <c r="J41" i="25"/>
  <c r="I63" i="24"/>
  <c r="I62" i="25"/>
  <c r="K27" i="18"/>
  <c r="K45" i="26"/>
  <c r="L45" i="26"/>
  <c r="L19" i="20"/>
  <c r="K19" i="20"/>
  <c r="H45" i="22"/>
  <c r="J45" i="21"/>
  <c r="H20" i="21"/>
  <c r="J20" i="20"/>
  <c r="J21" i="20" s="1"/>
  <c r="L9" i="19"/>
  <c r="K9" i="19"/>
  <c r="L33" i="20"/>
  <c r="K33" i="20"/>
  <c r="L6" i="20"/>
  <c r="K6" i="20"/>
  <c r="L59" i="19"/>
  <c r="L60" i="19" s="1"/>
  <c r="K59" i="19"/>
  <c r="K60" i="19" s="1"/>
  <c r="J60" i="19"/>
  <c r="H5" i="21"/>
  <c r="J5" i="20"/>
  <c r="L10" i="19"/>
  <c r="K10" i="19"/>
  <c r="H25" i="21"/>
  <c r="J25" i="20"/>
  <c r="H9" i="21"/>
  <c r="J9" i="20"/>
  <c r="H12" i="21"/>
  <c r="J12" i="20"/>
  <c r="J36" i="22"/>
  <c r="H37" i="23"/>
  <c r="K51" i="18"/>
  <c r="L37" i="19"/>
  <c r="K37" i="19"/>
  <c r="H46" i="22"/>
  <c r="J46" i="21"/>
  <c r="H7" i="22"/>
  <c r="J7" i="21"/>
  <c r="H35" i="22"/>
  <c r="J35" i="21"/>
  <c r="L3" i="20"/>
  <c r="K3" i="20"/>
  <c r="L36" i="21"/>
  <c r="K36" i="21"/>
  <c r="H33" i="22"/>
  <c r="J33" i="21"/>
  <c r="L35" i="20"/>
  <c r="K35" i="20"/>
  <c r="L39" i="21"/>
  <c r="K39" i="21"/>
  <c r="L43" i="19"/>
  <c r="K43" i="19"/>
  <c r="L14" i="19"/>
  <c r="K14" i="19"/>
  <c r="L4" i="20"/>
  <c r="K4" i="20"/>
  <c r="L54" i="19"/>
  <c r="L56" i="19" s="1"/>
  <c r="K54" i="19"/>
  <c r="K56" i="19" s="1"/>
  <c r="J56" i="19"/>
  <c r="L51" i="18"/>
  <c r="J30" i="18"/>
  <c r="L26" i="20"/>
  <c r="K26" i="20"/>
  <c r="I18" i="22"/>
  <c r="I21" i="21"/>
  <c r="L34" i="19"/>
  <c r="K34" i="19"/>
  <c r="L49" i="20"/>
  <c r="K49" i="20"/>
  <c r="I33" i="22"/>
  <c r="I51" i="21"/>
  <c r="H15" i="20"/>
  <c r="J15" i="19"/>
  <c r="K12" i="19"/>
  <c r="L12" i="19"/>
  <c r="H6" i="22"/>
  <c r="J6" i="21"/>
  <c r="H37" i="21"/>
  <c r="J37" i="20"/>
  <c r="H10" i="21"/>
  <c r="J10" i="20"/>
  <c r="J15" i="20" s="1"/>
  <c r="I3" i="22"/>
  <c r="I15" i="21"/>
  <c r="L48" i="20"/>
  <c r="K48" i="20"/>
  <c r="H48" i="22"/>
  <c r="J48" i="21"/>
  <c r="L38" i="20"/>
  <c r="K38" i="20"/>
  <c r="H43" i="21"/>
  <c r="J43" i="20"/>
  <c r="H14" i="21"/>
  <c r="J14" i="20"/>
  <c r="H4" i="22"/>
  <c r="J4" i="21"/>
  <c r="H54" i="21"/>
  <c r="H56" i="20"/>
  <c r="J54" i="20"/>
  <c r="L42" i="20"/>
  <c r="K42" i="20"/>
  <c r="H26" i="22"/>
  <c r="J26" i="21"/>
  <c r="L24" i="19"/>
  <c r="J27" i="19"/>
  <c r="K24" i="19"/>
  <c r="H34" i="21"/>
  <c r="J34" i="20"/>
  <c r="H49" i="22"/>
  <c r="J49" i="21"/>
  <c r="L47" i="19"/>
  <c r="K47" i="19"/>
  <c r="L13" i="19"/>
  <c r="K13" i="19"/>
  <c r="H3" i="22"/>
  <c r="J3" i="21"/>
  <c r="I24" i="22"/>
  <c r="I27" i="21"/>
  <c r="L46" i="20"/>
  <c r="K46" i="20"/>
  <c r="L7" i="20"/>
  <c r="K7" i="20"/>
  <c r="L27" i="18"/>
  <c r="L30" i="18" s="1"/>
  <c r="H19" i="22"/>
  <c r="J19" i="21"/>
  <c r="L18" i="20"/>
  <c r="K18" i="20"/>
  <c r="J38" i="21"/>
  <c r="H38" i="22"/>
  <c r="H39" i="23"/>
  <c r="J39" i="22"/>
  <c r="H21" i="20"/>
  <c r="H18" i="22"/>
  <c r="J18" i="21"/>
  <c r="H21" i="21"/>
  <c r="L45" i="20"/>
  <c r="K45" i="20"/>
  <c r="L20" i="19"/>
  <c r="L21" i="19" s="1"/>
  <c r="K20" i="19"/>
  <c r="K21" i="19"/>
  <c r="H51" i="20"/>
  <c r="H42" i="22"/>
  <c r="J42" i="21"/>
  <c r="H59" i="21"/>
  <c r="J59" i="20"/>
  <c r="H60" i="20"/>
  <c r="H24" i="21"/>
  <c r="J24" i="20"/>
  <c r="H27" i="20"/>
  <c r="K5" i="19"/>
  <c r="L5" i="19"/>
  <c r="H47" i="21"/>
  <c r="J47" i="20"/>
  <c r="I54" i="21"/>
  <c r="I56" i="20"/>
  <c r="H13" i="21"/>
  <c r="J13" i="20"/>
  <c r="L25" i="19"/>
  <c r="K25" i="19"/>
  <c r="I63" i="25" l="1"/>
  <c r="I62" i="26"/>
  <c r="K30" i="18"/>
  <c r="H15" i="21"/>
  <c r="L45" i="27"/>
  <c r="K45" i="27"/>
  <c r="H41" i="27"/>
  <c r="J41" i="26"/>
  <c r="K41" i="25"/>
  <c r="L41" i="25"/>
  <c r="L45" i="28"/>
  <c r="K45" i="28"/>
  <c r="H51" i="21"/>
  <c r="L47" i="20"/>
  <c r="K47" i="20"/>
  <c r="H19" i="23"/>
  <c r="J19" i="22"/>
  <c r="I55" i="22"/>
  <c r="I56" i="21"/>
  <c r="L24" i="20"/>
  <c r="K24" i="20"/>
  <c r="J27" i="20"/>
  <c r="H42" i="23"/>
  <c r="J42" i="22"/>
  <c r="H40" i="24"/>
  <c r="J39" i="23"/>
  <c r="L19" i="21"/>
  <c r="K19" i="21"/>
  <c r="K34" i="20"/>
  <c r="L34" i="20"/>
  <c r="H26" i="23"/>
  <c r="J26" i="22"/>
  <c r="L4" i="21"/>
  <c r="K4" i="21"/>
  <c r="I30" i="21"/>
  <c r="L6" i="21"/>
  <c r="K6" i="21"/>
  <c r="L51" i="19"/>
  <c r="L7" i="21"/>
  <c r="K7" i="21"/>
  <c r="H9" i="22"/>
  <c r="J9" i="21"/>
  <c r="H5" i="22"/>
  <c r="J5" i="21"/>
  <c r="J51" i="20"/>
  <c r="H20" i="22"/>
  <c r="J20" i="21"/>
  <c r="H24" i="22"/>
  <c r="J24" i="21"/>
  <c r="H27" i="21"/>
  <c r="H30" i="21" s="1"/>
  <c r="H4" i="23"/>
  <c r="J4" i="22"/>
  <c r="H6" i="23"/>
  <c r="J6" i="22"/>
  <c r="H7" i="23"/>
  <c r="J7" i="22"/>
  <c r="I24" i="23"/>
  <c r="I27" i="22"/>
  <c r="K27" i="19"/>
  <c r="L14" i="20"/>
  <c r="K14" i="20"/>
  <c r="L48" i="21"/>
  <c r="K48" i="21"/>
  <c r="L10" i="20"/>
  <c r="K10" i="20"/>
  <c r="L15" i="19"/>
  <c r="I18" i="23"/>
  <c r="I21" i="22"/>
  <c r="L46" i="21"/>
  <c r="K46" i="21"/>
  <c r="L36" i="22"/>
  <c r="K36" i="22"/>
  <c r="H25" i="22"/>
  <c r="J25" i="21"/>
  <c r="H45" i="23"/>
  <c r="J45" i="22"/>
  <c r="H34" i="22"/>
  <c r="J34" i="21"/>
  <c r="I3" i="23"/>
  <c r="I15" i="22"/>
  <c r="I30" i="22" s="1"/>
  <c r="L45" i="21"/>
  <c r="K45" i="21"/>
  <c r="K3" i="21"/>
  <c r="L3" i="21"/>
  <c r="L54" i="20"/>
  <c r="L56" i="20" s="1"/>
  <c r="K54" i="20"/>
  <c r="K56" i="20" s="1"/>
  <c r="J56" i="20"/>
  <c r="H14" i="22"/>
  <c r="J14" i="21"/>
  <c r="H48" i="23"/>
  <c r="J48" i="22"/>
  <c r="H10" i="22"/>
  <c r="J10" i="21"/>
  <c r="K15" i="19"/>
  <c r="L33" i="21"/>
  <c r="K33" i="21"/>
  <c r="H46" i="23"/>
  <c r="J46" i="22"/>
  <c r="L12" i="20"/>
  <c r="K12" i="20"/>
  <c r="H38" i="24"/>
  <c r="J37" i="23"/>
  <c r="L25" i="20"/>
  <c r="K25" i="20"/>
  <c r="L18" i="21"/>
  <c r="K18" i="21"/>
  <c r="L13" i="20"/>
  <c r="K13" i="20"/>
  <c r="L59" i="20"/>
  <c r="L60" i="20" s="1"/>
  <c r="K59" i="20"/>
  <c r="K60" i="20" s="1"/>
  <c r="J60" i="20"/>
  <c r="H60" i="22"/>
  <c r="H60" i="21"/>
  <c r="J59" i="21"/>
  <c r="L49" i="21"/>
  <c r="K49" i="21"/>
  <c r="L27" i="19"/>
  <c r="L43" i="20"/>
  <c r="K43" i="20"/>
  <c r="K37" i="20"/>
  <c r="L37" i="20"/>
  <c r="J30" i="19"/>
  <c r="H34" i="23"/>
  <c r="J33" i="22"/>
  <c r="L35" i="21"/>
  <c r="K35" i="21"/>
  <c r="H12" i="22"/>
  <c r="J12" i="21"/>
  <c r="J38" i="22"/>
  <c r="H27" i="23"/>
  <c r="I34" i="23"/>
  <c r="I52" i="22"/>
  <c r="J30" i="20"/>
  <c r="H47" i="22"/>
  <c r="J47" i="21"/>
  <c r="L38" i="21"/>
  <c r="K38" i="21"/>
  <c r="H18" i="23"/>
  <c r="H21" i="22"/>
  <c r="J18" i="22"/>
  <c r="H13" i="22"/>
  <c r="J13" i="21"/>
  <c r="L42" i="21"/>
  <c r="K42" i="21"/>
  <c r="K39" i="22"/>
  <c r="L39" i="22"/>
  <c r="H3" i="23"/>
  <c r="H15" i="22"/>
  <c r="J3" i="22"/>
  <c r="J49" i="22"/>
  <c r="H49" i="23"/>
  <c r="L26" i="21"/>
  <c r="K26" i="21"/>
  <c r="H55" i="22"/>
  <c r="H56" i="21"/>
  <c r="J54" i="21"/>
  <c r="H43" i="22"/>
  <c r="J43" i="21"/>
  <c r="H37" i="22"/>
  <c r="J37" i="21"/>
  <c r="H30" i="20"/>
  <c r="K51" i="19"/>
  <c r="J35" i="22"/>
  <c r="H36" i="23"/>
  <c r="L9" i="20"/>
  <c r="K9" i="20"/>
  <c r="L5" i="20"/>
  <c r="L15" i="20" s="1"/>
  <c r="K5" i="20"/>
  <c r="L20" i="20"/>
  <c r="L21" i="20" s="1"/>
  <c r="K20" i="20"/>
  <c r="K21" i="20" s="1"/>
  <c r="L41" i="26" l="1"/>
  <c r="K41" i="26"/>
  <c r="I63" i="26"/>
  <c r="I63" i="27"/>
  <c r="K15" i="20"/>
  <c r="J40" i="24"/>
  <c r="H40" i="25"/>
  <c r="H41" i="28"/>
  <c r="J41" i="28" s="1"/>
  <c r="J41" i="27"/>
  <c r="J38" i="24"/>
  <c r="H38" i="25"/>
  <c r="K37" i="21"/>
  <c r="L37" i="21"/>
  <c r="H56" i="23"/>
  <c r="H57" i="22"/>
  <c r="J55" i="22"/>
  <c r="I35" i="24"/>
  <c r="I53" i="23"/>
  <c r="K46" i="22"/>
  <c r="L46" i="22"/>
  <c r="K30" i="19"/>
  <c r="H14" i="23"/>
  <c r="J14" i="22"/>
  <c r="H35" i="23"/>
  <c r="J34" i="22"/>
  <c r="L30" i="19"/>
  <c r="K6" i="22"/>
  <c r="L6" i="22"/>
  <c r="H24" i="23"/>
  <c r="H27" i="22"/>
  <c r="H30" i="22" s="1"/>
  <c r="J24" i="22"/>
  <c r="L9" i="21"/>
  <c r="K9" i="21"/>
  <c r="L51" i="20"/>
  <c r="L42" i="22"/>
  <c r="K42" i="22"/>
  <c r="I56" i="23"/>
  <c r="I57" i="22"/>
  <c r="J37" i="22"/>
  <c r="H38" i="23"/>
  <c r="J27" i="23"/>
  <c r="H28" i="24"/>
  <c r="L45" i="22"/>
  <c r="K45" i="22"/>
  <c r="J6" i="23"/>
  <c r="H7" i="24"/>
  <c r="H43" i="24"/>
  <c r="J42" i="23"/>
  <c r="L43" i="21"/>
  <c r="K43" i="21"/>
  <c r="H13" i="23"/>
  <c r="J13" i="22"/>
  <c r="L47" i="21"/>
  <c r="K47" i="21"/>
  <c r="L38" i="22"/>
  <c r="K38" i="22"/>
  <c r="L33" i="22"/>
  <c r="K33" i="22"/>
  <c r="J52" i="22"/>
  <c r="L37" i="23"/>
  <c r="K37" i="23"/>
  <c r="J10" i="22"/>
  <c r="H10" i="23"/>
  <c r="H46" i="24"/>
  <c r="J45" i="23"/>
  <c r="L4" i="22"/>
  <c r="K4" i="22"/>
  <c r="H20" i="23"/>
  <c r="J20" i="22"/>
  <c r="H20" i="24"/>
  <c r="J19" i="23"/>
  <c r="H3" i="24"/>
  <c r="H3" i="25" s="1"/>
  <c r="J3" i="23"/>
  <c r="H52" i="22"/>
  <c r="L59" i="21"/>
  <c r="L60" i="21" s="1"/>
  <c r="K59" i="21"/>
  <c r="K60" i="21" s="1"/>
  <c r="J60" i="21"/>
  <c r="H47" i="24"/>
  <c r="J46" i="23"/>
  <c r="K20" i="21"/>
  <c r="L20" i="21"/>
  <c r="L21" i="21" s="1"/>
  <c r="L19" i="22"/>
  <c r="K19" i="22"/>
  <c r="H43" i="23"/>
  <c r="J43" i="22"/>
  <c r="L18" i="22"/>
  <c r="J21" i="22"/>
  <c r="K18" i="22"/>
  <c r="L12" i="21"/>
  <c r="K12" i="21"/>
  <c r="H61" i="23"/>
  <c r="H61" i="22"/>
  <c r="J60" i="22"/>
  <c r="K21" i="21"/>
  <c r="L38" i="24"/>
  <c r="K38" i="24"/>
  <c r="J51" i="21"/>
  <c r="K48" i="22"/>
  <c r="L48" i="22"/>
  <c r="L25" i="21"/>
  <c r="K25" i="21"/>
  <c r="I25" i="24"/>
  <c r="I28" i="23"/>
  <c r="H4" i="24"/>
  <c r="J4" i="23"/>
  <c r="K27" i="20"/>
  <c r="K30" i="20" s="1"/>
  <c r="K13" i="21"/>
  <c r="L13" i="21"/>
  <c r="L10" i="21"/>
  <c r="K10" i="21"/>
  <c r="K51" i="20"/>
  <c r="H50" i="24"/>
  <c r="J49" i="23"/>
  <c r="H47" i="23"/>
  <c r="J47" i="22"/>
  <c r="L49" i="22"/>
  <c r="K49" i="22"/>
  <c r="H12" i="23"/>
  <c r="J12" i="22"/>
  <c r="J21" i="21"/>
  <c r="H49" i="24"/>
  <c r="J48" i="23"/>
  <c r="J15" i="21"/>
  <c r="I3" i="24"/>
  <c r="I15" i="23"/>
  <c r="J25" i="22"/>
  <c r="H25" i="23"/>
  <c r="L7" i="22"/>
  <c r="K7" i="22"/>
  <c r="L5" i="21"/>
  <c r="L15" i="21" s="1"/>
  <c r="K5" i="21"/>
  <c r="K15" i="21" s="1"/>
  <c r="L26" i="22"/>
  <c r="K26" i="22"/>
  <c r="L39" i="23"/>
  <c r="K39" i="23"/>
  <c r="L27" i="20"/>
  <c r="L30" i="20" s="1"/>
  <c r="H9" i="23"/>
  <c r="J9" i="22"/>
  <c r="H37" i="24"/>
  <c r="J36" i="23"/>
  <c r="L35" i="22"/>
  <c r="K35" i="22"/>
  <c r="H35" i="24"/>
  <c r="H35" i="25" s="1"/>
  <c r="J34" i="23"/>
  <c r="L54" i="21"/>
  <c r="L56" i="21" s="1"/>
  <c r="J56" i="21"/>
  <c r="K54" i="21"/>
  <c r="K56" i="21" s="1"/>
  <c r="K3" i="22"/>
  <c r="L3" i="22"/>
  <c r="H19" i="24"/>
  <c r="H19" i="25" s="1"/>
  <c r="H21" i="23"/>
  <c r="J18" i="23"/>
  <c r="L14" i="21"/>
  <c r="K14" i="21"/>
  <c r="L34" i="21"/>
  <c r="L51" i="21" s="1"/>
  <c r="K34" i="21"/>
  <c r="I19" i="24"/>
  <c r="I21" i="23"/>
  <c r="H8" i="24"/>
  <c r="J7" i="23"/>
  <c r="L24" i="21"/>
  <c r="K24" i="21"/>
  <c r="J27" i="21"/>
  <c r="H5" i="23"/>
  <c r="J5" i="22"/>
  <c r="H27" i="24"/>
  <c r="J26" i="23"/>
  <c r="L40" i="24"/>
  <c r="K40" i="24"/>
  <c r="H19" i="26" l="1"/>
  <c r="I29" i="24"/>
  <c r="I25" i="25"/>
  <c r="J47" i="24"/>
  <c r="K47" i="24" s="1"/>
  <c r="H47" i="25"/>
  <c r="H3" i="26"/>
  <c r="J28" i="24"/>
  <c r="H28" i="25"/>
  <c r="J43" i="24"/>
  <c r="H43" i="25"/>
  <c r="I54" i="24"/>
  <c r="I35" i="25"/>
  <c r="H35" i="26"/>
  <c r="J35" i="25"/>
  <c r="I16" i="24"/>
  <c r="I3" i="25"/>
  <c r="J3" i="25" s="1"/>
  <c r="J50" i="24"/>
  <c r="H50" i="25"/>
  <c r="J20" i="24"/>
  <c r="H20" i="25"/>
  <c r="J46" i="24"/>
  <c r="H46" i="25"/>
  <c r="J7" i="24"/>
  <c r="H7" i="25"/>
  <c r="I63" i="28"/>
  <c r="I64" i="28" s="1"/>
  <c r="I64" i="27"/>
  <c r="L41" i="27"/>
  <c r="K41" i="27"/>
  <c r="J4" i="24"/>
  <c r="H4" i="25"/>
  <c r="L41" i="28"/>
  <c r="K41" i="28"/>
  <c r="J27" i="24"/>
  <c r="H27" i="25"/>
  <c r="J8" i="24"/>
  <c r="H8" i="25"/>
  <c r="I22" i="24"/>
  <c r="I32" i="24" s="1"/>
  <c r="I19" i="25"/>
  <c r="J37" i="24"/>
  <c r="H37" i="25"/>
  <c r="J49" i="24"/>
  <c r="H49" i="25"/>
  <c r="H40" i="26"/>
  <c r="J40" i="25"/>
  <c r="J38" i="25"/>
  <c r="H38" i="26"/>
  <c r="I31" i="23"/>
  <c r="K5" i="22"/>
  <c r="L5" i="22"/>
  <c r="K8" i="24"/>
  <c r="L8" i="24"/>
  <c r="J15" i="22"/>
  <c r="L34" i="23"/>
  <c r="K34" i="23"/>
  <c r="L9" i="22"/>
  <c r="K9" i="22"/>
  <c r="L25" i="22"/>
  <c r="K25" i="22"/>
  <c r="H48" i="24"/>
  <c r="J47" i="23"/>
  <c r="H44" i="24"/>
  <c r="J43" i="23"/>
  <c r="L3" i="23"/>
  <c r="K3" i="23"/>
  <c r="I57" i="24"/>
  <c r="I58" i="23"/>
  <c r="L24" i="22"/>
  <c r="K24" i="22"/>
  <c r="K27" i="22" s="1"/>
  <c r="J27" i="22"/>
  <c r="K34" i="22"/>
  <c r="L34" i="22"/>
  <c r="L42" i="23"/>
  <c r="K42" i="23"/>
  <c r="H13" i="24"/>
  <c r="J12" i="23"/>
  <c r="L50" i="24"/>
  <c r="K50" i="24"/>
  <c r="L19" i="23"/>
  <c r="K19" i="23"/>
  <c r="L45" i="23"/>
  <c r="K45" i="23"/>
  <c r="L43" i="24"/>
  <c r="K43" i="24"/>
  <c r="L27" i="23"/>
  <c r="K27" i="23"/>
  <c r="H25" i="24"/>
  <c r="H25" i="25" s="1"/>
  <c r="J24" i="23"/>
  <c r="H28" i="23"/>
  <c r="H6" i="24"/>
  <c r="J5" i="23"/>
  <c r="J15" i="23" s="1"/>
  <c r="H10" i="24"/>
  <c r="J9" i="23"/>
  <c r="J3" i="24"/>
  <c r="H57" i="24"/>
  <c r="H57" i="25" s="1"/>
  <c r="H58" i="23"/>
  <c r="J56" i="23"/>
  <c r="J30" i="21"/>
  <c r="L4" i="23"/>
  <c r="K4" i="23"/>
  <c r="L60" i="22"/>
  <c r="L61" i="22" s="1"/>
  <c r="K60" i="22"/>
  <c r="K61" i="22" s="1"/>
  <c r="J61" i="22"/>
  <c r="L20" i="24"/>
  <c r="K20" i="24"/>
  <c r="L46" i="24"/>
  <c r="K46" i="24"/>
  <c r="L13" i="22"/>
  <c r="K13" i="22"/>
  <c r="L7" i="24"/>
  <c r="K7" i="24"/>
  <c r="H39" i="24"/>
  <c r="J38" i="23"/>
  <c r="L14" i="22"/>
  <c r="K14" i="22"/>
  <c r="L49" i="23"/>
  <c r="K49" i="23"/>
  <c r="L28" i="24"/>
  <c r="K28" i="24"/>
  <c r="H36" i="24"/>
  <c r="J35" i="23"/>
  <c r="K27" i="21"/>
  <c r="K30" i="21" s="1"/>
  <c r="J19" i="24"/>
  <c r="L36" i="23"/>
  <c r="K36" i="23"/>
  <c r="L48" i="23"/>
  <c r="K48" i="23"/>
  <c r="L4" i="24"/>
  <c r="K4" i="24"/>
  <c r="L20" i="22"/>
  <c r="L21" i="22" s="1"/>
  <c r="K20" i="22"/>
  <c r="K21" i="22" s="1"/>
  <c r="H11" i="24"/>
  <c r="J10" i="23"/>
  <c r="H14" i="24"/>
  <c r="J13" i="23"/>
  <c r="L6" i="23"/>
  <c r="K6" i="23"/>
  <c r="L37" i="22"/>
  <c r="K37" i="22"/>
  <c r="H15" i="24"/>
  <c r="J14" i="23"/>
  <c r="J35" i="24"/>
  <c r="K12" i="22"/>
  <c r="L12" i="22"/>
  <c r="L18" i="23"/>
  <c r="K18" i="23"/>
  <c r="K51" i="21"/>
  <c r="L26" i="23"/>
  <c r="K26" i="23"/>
  <c r="L27" i="21"/>
  <c r="L30" i="21" s="1"/>
  <c r="L27" i="24"/>
  <c r="K27" i="24"/>
  <c r="L7" i="23"/>
  <c r="K7" i="23"/>
  <c r="H53" i="23"/>
  <c r="K37" i="24"/>
  <c r="L37" i="24"/>
  <c r="H26" i="24"/>
  <c r="J25" i="23"/>
  <c r="L49" i="24"/>
  <c r="K49" i="24"/>
  <c r="L47" i="22"/>
  <c r="K47" i="22"/>
  <c r="H62" i="23"/>
  <c r="H62" i="24"/>
  <c r="H62" i="25" s="1"/>
  <c r="J61" i="23"/>
  <c r="K43" i="22"/>
  <c r="L43" i="22"/>
  <c r="L46" i="23"/>
  <c r="K46" i="23"/>
  <c r="H15" i="23"/>
  <c r="H21" i="24"/>
  <c r="J20" i="23"/>
  <c r="J21" i="23" s="1"/>
  <c r="L10" i="22"/>
  <c r="K10" i="22"/>
  <c r="L55" i="22"/>
  <c r="L57" i="22" s="1"/>
  <c r="K55" i="22"/>
  <c r="K57" i="22" s="1"/>
  <c r="J57" i="22"/>
  <c r="L3" i="25" l="1"/>
  <c r="K3" i="25"/>
  <c r="J11" i="24"/>
  <c r="H11" i="25"/>
  <c r="J6" i="24"/>
  <c r="K6" i="24" s="1"/>
  <c r="H6" i="25"/>
  <c r="L47" i="24"/>
  <c r="J47" i="25"/>
  <c r="H47" i="26"/>
  <c r="I59" i="24"/>
  <c r="I57" i="25"/>
  <c r="I19" i="26"/>
  <c r="I22" i="25"/>
  <c r="H20" i="26"/>
  <c r="J20" i="25"/>
  <c r="J44" i="24"/>
  <c r="K44" i="24" s="1"/>
  <c r="H44" i="25"/>
  <c r="L15" i="22"/>
  <c r="H40" i="27"/>
  <c r="J40" i="26"/>
  <c r="J35" i="26"/>
  <c r="H35" i="27"/>
  <c r="I25" i="26"/>
  <c r="I29" i="25"/>
  <c r="H28" i="26"/>
  <c r="J28" i="25"/>
  <c r="H31" i="23"/>
  <c r="H25" i="26"/>
  <c r="J25" i="25"/>
  <c r="J13" i="24"/>
  <c r="H13" i="25"/>
  <c r="H49" i="26"/>
  <c r="J49" i="25"/>
  <c r="H8" i="26"/>
  <c r="J8" i="25"/>
  <c r="H4" i="26"/>
  <c r="J4" i="25"/>
  <c r="H7" i="26"/>
  <c r="J7" i="25"/>
  <c r="J50" i="25"/>
  <c r="H50" i="26"/>
  <c r="I35" i="26"/>
  <c r="I54" i="25"/>
  <c r="H57" i="26"/>
  <c r="H59" i="25"/>
  <c r="L40" i="25"/>
  <c r="K40" i="25"/>
  <c r="L35" i="25"/>
  <c r="K35" i="25"/>
  <c r="J21" i="24"/>
  <c r="H21" i="25"/>
  <c r="H22" i="25" s="1"/>
  <c r="H63" i="25"/>
  <c r="H62" i="26"/>
  <c r="J62" i="25"/>
  <c r="J26" i="24"/>
  <c r="L26" i="24" s="1"/>
  <c r="H26" i="25"/>
  <c r="J15" i="24"/>
  <c r="H15" i="25"/>
  <c r="J14" i="24"/>
  <c r="H14" i="25"/>
  <c r="J10" i="24"/>
  <c r="L10" i="24" s="1"/>
  <c r="H10" i="25"/>
  <c r="J48" i="24"/>
  <c r="H48" i="25"/>
  <c r="J19" i="25"/>
  <c r="K15" i="22"/>
  <c r="K30" i="22" s="1"/>
  <c r="L27" i="22"/>
  <c r="L30" i="22" s="1"/>
  <c r="H37" i="26"/>
  <c r="J37" i="25"/>
  <c r="J27" i="25"/>
  <c r="H27" i="26"/>
  <c r="H46" i="26"/>
  <c r="J46" i="25"/>
  <c r="I3" i="26"/>
  <c r="I16" i="25"/>
  <c r="I32" i="25" s="1"/>
  <c r="J43" i="25"/>
  <c r="H43" i="26"/>
  <c r="H3" i="27"/>
  <c r="J3" i="26"/>
  <c r="H19" i="27"/>
  <c r="J19" i="26"/>
  <c r="J38" i="26"/>
  <c r="H38" i="27"/>
  <c r="L38" i="25"/>
  <c r="K38" i="25"/>
  <c r="J39" i="24"/>
  <c r="K39" i="24" s="1"/>
  <c r="H39" i="25"/>
  <c r="J36" i="24"/>
  <c r="K36" i="24" s="1"/>
  <c r="H36" i="25"/>
  <c r="J53" i="23"/>
  <c r="H54" i="24"/>
  <c r="L35" i="24"/>
  <c r="K35" i="24"/>
  <c r="K35" i="23"/>
  <c r="L35" i="23"/>
  <c r="L9" i="23"/>
  <c r="K9" i="23"/>
  <c r="H29" i="24"/>
  <c r="J25" i="24"/>
  <c r="K12" i="23"/>
  <c r="L12" i="23"/>
  <c r="K52" i="22"/>
  <c r="L44" i="24"/>
  <c r="L56" i="23"/>
  <c r="L58" i="23" s="1"/>
  <c r="K56" i="23"/>
  <c r="K58" i="23" s="1"/>
  <c r="J58" i="23"/>
  <c r="L14" i="23"/>
  <c r="K14" i="23"/>
  <c r="K13" i="23"/>
  <c r="L13" i="23"/>
  <c r="L5" i="23"/>
  <c r="K5" i="23"/>
  <c r="L48" i="24"/>
  <c r="K48" i="24"/>
  <c r="L13" i="24"/>
  <c r="K13" i="24"/>
  <c r="L15" i="24"/>
  <c r="K15" i="24"/>
  <c r="L14" i="24"/>
  <c r="K14" i="24"/>
  <c r="H22" i="24"/>
  <c r="K38" i="23"/>
  <c r="L38" i="23"/>
  <c r="J57" i="24"/>
  <c r="H59" i="24"/>
  <c r="L6" i="24"/>
  <c r="L20" i="23"/>
  <c r="L21" i="23" s="1"/>
  <c r="K20" i="23"/>
  <c r="K21" i="23" s="1"/>
  <c r="L21" i="24"/>
  <c r="K21" i="24"/>
  <c r="L61" i="23"/>
  <c r="L62" i="23" s="1"/>
  <c r="K61" i="23"/>
  <c r="K62" i="23" s="1"/>
  <c r="J62" i="23"/>
  <c r="K10" i="23"/>
  <c r="L10" i="23"/>
  <c r="L19" i="24"/>
  <c r="L22" i="24" s="1"/>
  <c r="J22" i="24"/>
  <c r="K19" i="24"/>
  <c r="L39" i="24"/>
  <c r="H16" i="24"/>
  <c r="J30" i="22"/>
  <c r="K10" i="24"/>
  <c r="K47" i="23"/>
  <c r="L47" i="23"/>
  <c r="H63" i="24"/>
  <c r="J62" i="24"/>
  <c r="L25" i="23"/>
  <c r="K25" i="23"/>
  <c r="L11" i="24"/>
  <c r="K11" i="24"/>
  <c r="L3" i="24"/>
  <c r="K3" i="24"/>
  <c r="L24" i="23"/>
  <c r="L28" i="23" s="1"/>
  <c r="J28" i="23"/>
  <c r="J31" i="23" s="1"/>
  <c r="K24" i="23"/>
  <c r="L52" i="22"/>
  <c r="L43" i="23"/>
  <c r="K43" i="23"/>
  <c r="L46" i="25" l="1"/>
  <c r="K46" i="25"/>
  <c r="L7" i="25"/>
  <c r="K7" i="25"/>
  <c r="L49" i="25"/>
  <c r="K49" i="25"/>
  <c r="H35" i="28"/>
  <c r="L15" i="23"/>
  <c r="L31" i="23" s="1"/>
  <c r="K26" i="24"/>
  <c r="H3" i="28"/>
  <c r="J3" i="27"/>
  <c r="H46" i="27"/>
  <c r="J46" i="26"/>
  <c r="H14" i="26"/>
  <c r="J14" i="25"/>
  <c r="L62" i="25"/>
  <c r="L63" i="25" s="1"/>
  <c r="J63" i="25"/>
  <c r="K62" i="25"/>
  <c r="K63" i="25" s="1"/>
  <c r="H16" i="25"/>
  <c r="H7" i="27"/>
  <c r="J7" i="26"/>
  <c r="J49" i="26"/>
  <c r="H49" i="27"/>
  <c r="L35" i="26"/>
  <c r="K35" i="26"/>
  <c r="K20" i="25"/>
  <c r="L20" i="25"/>
  <c r="H11" i="26"/>
  <c r="J11" i="25"/>
  <c r="H58" i="27"/>
  <c r="H59" i="26"/>
  <c r="H43" i="27"/>
  <c r="J43" i="26"/>
  <c r="H27" i="27"/>
  <c r="J27" i="26"/>
  <c r="L19" i="25"/>
  <c r="K19" i="25"/>
  <c r="H63" i="27"/>
  <c r="H63" i="26"/>
  <c r="J62" i="26"/>
  <c r="L4" i="25"/>
  <c r="K4" i="25"/>
  <c r="H13" i="26"/>
  <c r="J13" i="25"/>
  <c r="L28" i="25"/>
  <c r="K28" i="25"/>
  <c r="L40" i="26"/>
  <c r="K40" i="26"/>
  <c r="H20" i="27"/>
  <c r="J20" i="26"/>
  <c r="H47" i="27"/>
  <c r="J47" i="26"/>
  <c r="L3" i="26"/>
  <c r="K3" i="26"/>
  <c r="H25" i="27"/>
  <c r="J25" i="26"/>
  <c r="K15" i="23"/>
  <c r="L19" i="26"/>
  <c r="K19" i="26"/>
  <c r="L43" i="25"/>
  <c r="K43" i="25"/>
  <c r="L27" i="25"/>
  <c r="K27" i="25"/>
  <c r="H48" i="26"/>
  <c r="J48" i="25"/>
  <c r="H15" i="26"/>
  <c r="J15" i="25"/>
  <c r="I35" i="27"/>
  <c r="I54" i="26"/>
  <c r="H4" i="27"/>
  <c r="J4" i="26"/>
  <c r="H28" i="27"/>
  <c r="J28" i="26"/>
  <c r="H40" i="28"/>
  <c r="J40" i="28" s="1"/>
  <c r="J40" i="27"/>
  <c r="L47" i="25"/>
  <c r="K47" i="25"/>
  <c r="I57" i="26"/>
  <c r="J57" i="26" s="1"/>
  <c r="I59" i="25"/>
  <c r="K28" i="23"/>
  <c r="L37" i="25"/>
  <c r="K37" i="25"/>
  <c r="J21" i="25"/>
  <c r="H21" i="26"/>
  <c r="H50" i="27"/>
  <c r="J50" i="26"/>
  <c r="L8" i="25"/>
  <c r="K8" i="25"/>
  <c r="L25" i="25"/>
  <c r="K25" i="25"/>
  <c r="J16" i="24"/>
  <c r="K22" i="24"/>
  <c r="J54" i="24"/>
  <c r="H19" i="28"/>
  <c r="I3" i="27"/>
  <c r="I16" i="26"/>
  <c r="H37" i="27"/>
  <c r="J37" i="26"/>
  <c r="H10" i="26"/>
  <c r="J10" i="25"/>
  <c r="J26" i="25"/>
  <c r="H26" i="26"/>
  <c r="J57" i="25"/>
  <c r="L50" i="25"/>
  <c r="K50" i="25"/>
  <c r="H8" i="27"/>
  <c r="J8" i="26"/>
  <c r="H29" i="25"/>
  <c r="I25" i="27"/>
  <c r="I29" i="26"/>
  <c r="J44" i="25"/>
  <c r="H44" i="26"/>
  <c r="I19" i="27"/>
  <c r="J19" i="27" s="1"/>
  <c r="I22" i="26"/>
  <c r="J6" i="25"/>
  <c r="H6" i="26"/>
  <c r="H38" i="28"/>
  <c r="J38" i="28" s="1"/>
  <c r="J38" i="27"/>
  <c r="L38" i="26"/>
  <c r="K38" i="26"/>
  <c r="L53" i="23"/>
  <c r="L36" i="24"/>
  <c r="L54" i="24" s="1"/>
  <c r="H39" i="26"/>
  <c r="J39" i="25"/>
  <c r="H36" i="26"/>
  <c r="H54" i="25"/>
  <c r="J36" i="25"/>
  <c r="K53" i="23"/>
  <c r="H32" i="24"/>
  <c r="L16" i="24"/>
  <c r="K31" i="23"/>
  <c r="K57" i="24"/>
  <c r="K59" i="24" s="1"/>
  <c r="J59" i="24"/>
  <c r="L57" i="24"/>
  <c r="L59" i="24" s="1"/>
  <c r="L62" i="24"/>
  <c r="L63" i="24" s="1"/>
  <c r="J63" i="24"/>
  <c r="K62" i="24"/>
  <c r="K63" i="24" s="1"/>
  <c r="L25" i="24"/>
  <c r="L29" i="24" s="1"/>
  <c r="K25" i="24"/>
  <c r="K29" i="24" s="1"/>
  <c r="J29" i="24"/>
  <c r="J32" i="24" s="1"/>
  <c r="K16" i="24"/>
  <c r="K54" i="24"/>
  <c r="L57" i="26" l="1"/>
  <c r="L59" i="26" s="1"/>
  <c r="J59" i="26"/>
  <c r="K57" i="26"/>
  <c r="K59" i="26" s="1"/>
  <c r="K19" i="27"/>
  <c r="L19" i="27"/>
  <c r="H27" i="28"/>
  <c r="J27" i="28" s="1"/>
  <c r="J27" i="27"/>
  <c r="L11" i="25"/>
  <c r="K11" i="25"/>
  <c r="H26" i="27"/>
  <c r="J26" i="26"/>
  <c r="J29" i="26" s="1"/>
  <c r="I32" i="26"/>
  <c r="L4" i="26"/>
  <c r="K4" i="26"/>
  <c r="L48" i="25"/>
  <c r="K48" i="25"/>
  <c r="H25" i="28"/>
  <c r="J25" i="27"/>
  <c r="K20" i="26"/>
  <c r="L20" i="26"/>
  <c r="L13" i="25"/>
  <c r="K13" i="25"/>
  <c r="H64" i="27"/>
  <c r="H63" i="28"/>
  <c r="J63" i="27"/>
  <c r="L43" i="26"/>
  <c r="K43" i="26"/>
  <c r="H11" i="27"/>
  <c r="J11" i="26"/>
  <c r="L49" i="26"/>
  <c r="K49" i="26"/>
  <c r="J3" i="28"/>
  <c r="I25" i="28"/>
  <c r="I29" i="28" s="1"/>
  <c r="I29" i="27"/>
  <c r="L21" i="25"/>
  <c r="K21" i="25"/>
  <c r="H47" i="28"/>
  <c r="J47" i="28" s="1"/>
  <c r="J47" i="27"/>
  <c r="K8" i="26"/>
  <c r="L8" i="26"/>
  <c r="L26" i="25"/>
  <c r="K26" i="25"/>
  <c r="I3" i="28"/>
  <c r="I16" i="28" s="1"/>
  <c r="I16" i="27"/>
  <c r="J4" i="27"/>
  <c r="H4" i="28"/>
  <c r="J4" i="28" s="1"/>
  <c r="H48" i="27"/>
  <c r="J48" i="26"/>
  <c r="H20" i="28"/>
  <c r="J20" i="28" s="1"/>
  <c r="J20" i="27"/>
  <c r="H13" i="27"/>
  <c r="J13" i="26"/>
  <c r="J22" i="25"/>
  <c r="H43" i="28"/>
  <c r="J43" i="28" s="1"/>
  <c r="J43" i="27"/>
  <c r="L7" i="26"/>
  <c r="K7" i="26"/>
  <c r="L14" i="25"/>
  <c r="K14" i="25"/>
  <c r="L29" i="25"/>
  <c r="H15" i="27"/>
  <c r="J15" i="26"/>
  <c r="L3" i="27"/>
  <c r="K3" i="27"/>
  <c r="J44" i="26"/>
  <c r="H44" i="27"/>
  <c r="H8" i="28"/>
  <c r="J8" i="28" s="1"/>
  <c r="J8" i="27"/>
  <c r="L10" i="25"/>
  <c r="K10" i="25"/>
  <c r="L50" i="26"/>
  <c r="K50" i="26"/>
  <c r="L40" i="27"/>
  <c r="K40" i="27"/>
  <c r="K22" i="25"/>
  <c r="H7" i="28"/>
  <c r="J7" i="28" s="1"/>
  <c r="J7" i="27"/>
  <c r="H14" i="27"/>
  <c r="J14" i="26"/>
  <c r="L6" i="25"/>
  <c r="K6" i="25"/>
  <c r="J37" i="27"/>
  <c r="H37" i="28"/>
  <c r="J37" i="28" s="1"/>
  <c r="J16" i="25"/>
  <c r="L25" i="26"/>
  <c r="K25" i="26"/>
  <c r="J49" i="27"/>
  <c r="H49" i="28"/>
  <c r="J49" i="28" s="1"/>
  <c r="L44" i="25"/>
  <c r="K44" i="25"/>
  <c r="H10" i="27"/>
  <c r="J10" i="26"/>
  <c r="K29" i="25"/>
  <c r="H50" i="28"/>
  <c r="J50" i="28" s="1"/>
  <c r="J50" i="27"/>
  <c r="L40" i="28"/>
  <c r="K40" i="28"/>
  <c r="I35" i="28"/>
  <c r="I55" i="28" s="1"/>
  <c r="I55" i="27"/>
  <c r="L22" i="25"/>
  <c r="H32" i="25"/>
  <c r="H16" i="28"/>
  <c r="H16" i="27"/>
  <c r="H16" i="26"/>
  <c r="H32" i="26" s="1"/>
  <c r="L46" i="26"/>
  <c r="K46" i="26"/>
  <c r="J35" i="27"/>
  <c r="L57" i="25"/>
  <c r="L59" i="25" s="1"/>
  <c r="K57" i="25"/>
  <c r="K59" i="25" s="1"/>
  <c r="J59" i="25"/>
  <c r="H28" i="28"/>
  <c r="J28" i="28" s="1"/>
  <c r="J28" i="27"/>
  <c r="I19" i="28"/>
  <c r="I22" i="28" s="1"/>
  <c r="I22" i="27"/>
  <c r="H6" i="27"/>
  <c r="J6" i="26"/>
  <c r="L37" i="26"/>
  <c r="K37" i="26"/>
  <c r="J19" i="28"/>
  <c r="J29" i="25"/>
  <c r="H21" i="27"/>
  <c r="J21" i="26"/>
  <c r="H22" i="26"/>
  <c r="I59" i="26"/>
  <c r="I58" i="27"/>
  <c r="L28" i="26"/>
  <c r="K28" i="26"/>
  <c r="L15" i="25"/>
  <c r="K15" i="25"/>
  <c r="H29" i="26"/>
  <c r="L47" i="26"/>
  <c r="K47" i="26"/>
  <c r="L62" i="26"/>
  <c r="L63" i="26" s="1"/>
  <c r="K62" i="26"/>
  <c r="K63" i="26" s="1"/>
  <c r="J63" i="26"/>
  <c r="L27" i="26"/>
  <c r="K27" i="26"/>
  <c r="H58" i="28"/>
  <c r="H60" i="27"/>
  <c r="J58" i="27"/>
  <c r="H46" i="28"/>
  <c r="J46" i="28" s="1"/>
  <c r="J46" i="27"/>
  <c r="J35" i="28"/>
  <c r="L38" i="27"/>
  <c r="K38" i="27"/>
  <c r="L38" i="28"/>
  <c r="K38" i="28"/>
  <c r="L39" i="25"/>
  <c r="K39" i="25"/>
  <c r="H39" i="27"/>
  <c r="J39" i="26"/>
  <c r="K36" i="25"/>
  <c r="K54" i="25" s="1"/>
  <c r="L36" i="25"/>
  <c r="J54" i="25"/>
  <c r="H36" i="27"/>
  <c r="H54" i="26"/>
  <c r="J36" i="26"/>
  <c r="L32" i="24"/>
  <c r="K32" i="24"/>
  <c r="L28" i="28" l="1"/>
  <c r="K28" i="28"/>
  <c r="L49" i="28"/>
  <c r="K49" i="28"/>
  <c r="K15" i="26"/>
  <c r="L15" i="26"/>
  <c r="L4" i="28"/>
  <c r="K4" i="28"/>
  <c r="H11" i="28"/>
  <c r="J11" i="28" s="1"/>
  <c r="J11" i="27"/>
  <c r="H21" i="28"/>
  <c r="J21" i="27"/>
  <c r="H22" i="27"/>
  <c r="L6" i="26"/>
  <c r="K6" i="26"/>
  <c r="L49" i="27"/>
  <c r="K49" i="27"/>
  <c r="K37" i="27"/>
  <c r="L37" i="27"/>
  <c r="L7" i="28"/>
  <c r="K7" i="28"/>
  <c r="J44" i="27"/>
  <c r="H44" i="28"/>
  <c r="J44" i="28" s="1"/>
  <c r="H15" i="28"/>
  <c r="J15" i="28" s="1"/>
  <c r="J15" i="27"/>
  <c r="L43" i="27"/>
  <c r="K43" i="27"/>
  <c r="L20" i="28"/>
  <c r="K20" i="28"/>
  <c r="L4" i="27"/>
  <c r="K4" i="27"/>
  <c r="H26" i="28"/>
  <c r="J26" i="28" s="1"/>
  <c r="J26" i="27"/>
  <c r="L21" i="26"/>
  <c r="L22" i="26" s="1"/>
  <c r="K21" i="26"/>
  <c r="K22" i="26" s="1"/>
  <c r="J22" i="26"/>
  <c r="L37" i="28"/>
  <c r="K37" i="28"/>
  <c r="H29" i="28"/>
  <c r="J25" i="28"/>
  <c r="L10" i="26"/>
  <c r="K10" i="26"/>
  <c r="K16" i="25"/>
  <c r="K32" i="25" s="1"/>
  <c r="L44" i="26"/>
  <c r="K44" i="26"/>
  <c r="L43" i="28"/>
  <c r="K43" i="28"/>
  <c r="I32" i="27"/>
  <c r="L47" i="27"/>
  <c r="K47" i="27"/>
  <c r="L3" i="28"/>
  <c r="K3" i="28"/>
  <c r="L58" i="27"/>
  <c r="L60" i="27" s="1"/>
  <c r="K58" i="27"/>
  <c r="K60" i="27" s="1"/>
  <c r="J60" i="27"/>
  <c r="L8" i="28"/>
  <c r="K8" i="28"/>
  <c r="J10" i="27"/>
  <c r="H10" i="28"/>
  <c r="J10" i="28" s="1"/>
  <c r="L16" i="25"/>
  <c r="L32" i="25" s="1"/>
  <c r="J16" i="26"/>
  <c r="J32" i="26" s="1"/>
  <c r="I32" i="28"/>
  <c r="L47" i="28"/>
  <c r="K47" i="28"/>
  <c r="J64" i="27"/>
  <c r="K63" i="27"/>
  <c r="K64" i="27" s="1"/>
  <c r="L63" i="27"/>
  <c r="L64" i="27" s="1"/>
  <c r="L50" i="28"/>
  <c r="K50" i="28"/>
  <c r="L7" i="27"/>
  <c r="K7" i="27"/>
  <c r="L20" i="27"/>
  <c r="K20" i="27"/>
  <c r="L26" i="26"/>
  <c r="K26" i="26"/>
  <c r="K29" i="26" s="1"/>
  <c r="H60" i="28"/>
  <c r="H6" i="28"/>
  <c r="J6" i="28" s="1"/>
  <c r="J6" i="27"/>
  <c r="L35" i="28"/>
  <c r="K35" i="28"/>
  <c r="I58" i="28"/>
  <c r="I60" i="28" s="1"/>
  <c r="I60" i="27"/>
  <c r="L19" i="28"/>
  <c r="K19" i="28"/>
  <c r="L35" i="27"/>
  <c r="K35" i="27"/>
  <c r="L29" i="26"/>
  <c r="L14" i="26"/>
  <c r="K14" i="26"/>
  <c r="L13" i="26"/>
  <c r="K13" i="26"/>
  <c r="L48" i="26"/>
  <c r="K48" i="26"/>
  <c r="J63" i="28"/>
  <c r="H64" i="28"/>
  <c r="H29" i="27"/>
  <c r="H32" i="27" s="1"/>
  <c r="L27" i="27"/>
  <c r="K27" i="27"/>
  <c r="L46" i="27"/>
  <c r="K46" i="27"/>
  <c r="L46" i="28"/>
  <c r="K46" i="28"/>
  <c r="L28" i="27"/>
  <c r="K28" i="27"/>
  <c r="L50" i="27"/>
  <c r="K50" i="27"/>
  <c r="J32" i="25"/>
  <c r="H14" i="28"/>
  <c r="J14" i="28" s="1"/>
  <c r="J14" i="27"/>
  <c r="L8" i="27"/>
  <c r="K8" i="27"/>
  <c r="J13" i="27"/>
  <c r="H13" i="28"/>
  <c r="J13" i="28" s="1"/>
  <c r="H48" i="28"/>
  <c r="J48" i="28" s="1"/>
  <c r="J48" i="27"/>
  <c r="L11" i="26"/>
  <c r="K11" i="26"/>
  <c r="L25" i="27"/>
  <c r="K25" i="27"/>
  <c r="J29" i="27"/>
  <c r="L27" i="28"/>
  <c r="K27" i="28"/>
  <c r="L54" i="25"/>
  <c r="H39" i="28"/>
  <c r="J39" i="28" s="1"/>
  <c r="J39" i="27"/>
  <c r="L39" i="26"/>
  <c r="K39" i="26"/>
  <c r="L36" i="26"/>
  <c r="K36" i="26"/>
  <c r="J54" i="26"/>
  <c r="H36" i="28"/>
  <c r="H55" i="27"/>
  <c r="J36" i="27"/>
  <c r="L48" i="27" l="1"/>
  <c r="K48" i="27"/>
  <c r="L44" i="28"/>
  <c r="K44" i="28"/>
  <c r="J21" i="28"/>
  <c r="H22" i="28"/>
  <c r="H32" i="28" s="1"/>
  <c r="L14" i="27"/>
  <c r="K14" i="27"/>
  <c r="J58" i="28"/>
  <c r="L25" i="28"/>
  <c r="K25" i="28"/>
  <c r="K29" i="28" s="1"/>
  <c r="J29" i="28"/>
  <c r="L44" i="27"/>
  <c r="K44" i="27"/>
  <c r="K11" i="27"/>
  <c r="L11" i="27"/>
  <c r="K29" i="27"/>
  <c r="L10" i="28"/>
  <c r="K10" i="28"/>
  <c r="L26" i="27"/>
  <c r="L29" i="27" s="1"/>
  <c r="K26" i="27"/>
  <c r="K16" i="26"/>
  <c r="K32" i="26" s="1"/>
  <c r="L11" i="28"/>
  <c r="K11" i="28"/>
  <c r="L48" i="28"/>
  <c r="K48" i="28"/>
  <c r="L13" i="28"/>
  <c r="K13" i="28"/>
  <c r="L10" i="27"/>
  <c r="K10" i="27"/>
  <c r="L26" i="28"/>
  <c r="K26" i="28"/>
  <c r="L16" i="26"/>
  <c r="L32" i="26" s="1"/>
  <c r="L63" i="28"/>
  <c r="L64" i="28" s="1"/>
  <c r="K63" i="28"/>
  <c r="K64" i="28" s="1"/>
  <c r="J64" i="28"/>
  <c r="L6" i="27"/>
  <c r="K6" i="27"/>
  <c r="L15" i="27"/>
  <c r="K15" i="27"/>
  <c r="L14" i="28"/>
  <c r="K14" i="28"/>
  <c r="L13" i="27"/>
  <c r="K13" i="27"/>
  <c r="J16" i="27"/>
  <c r="L6" i="28"/>
  <c r="L16" i="28" s="1"/>
  <c r="K6" i="28"/>
  <c r="K16" i="28" s="1"/>
  <c r="J16" i="28"/>
  <c r="L15" i="28"/>
  <c r="K15" i="28"/>
  <c r="K21" i="27"/>
  <c r="K22" i="27" s="1"/>
  <c r="L21" i="27"/>
  <c r="L22" i="27" s="1"/>
  <c r="J22" i="27"/>
  <c r="K54" i="26"/>
  <c r="L54" i="26"/>
  <c r="K39" i="27"/>
  <c r="L39" i="27"/>
  <c r="L39" i="28"/>
  <c r="K39" i="28"/>
  <c r="H55" i="28"/>
  <c r="J36" i="28"/>
  <c r="L36" i="27"/>
  <c r="K36" i="27"/>
  <c r="K55" i="27" s="1"/>
  <c r="J55" i="27"/>
  <c r="L58" i="28" l="1"/>
  <c r="L60" i="28" s="1"/>
  <c r="K58" i="28"/>
  <c r="K60" i="28" s="1"/>
  <c r="J60" i="28"/>
  <c r="L32" i="27"/>
  <c r="L16" i="27"/>
  <c r="L29" i="28"/>
  <c r="J32" i="27"/>
  <c r="K16" i="27"/>
  <c r="K32" i="27" s="1"/>
  <c r="L21" i="28"/>
  <c r="L22" i="28" s="1"/>
  <c r="L32" i="28" s="1"/>
  <c r="K21" i="28"/>
  <c r="K22" i="28" s="1"/>
  <c r="K32" i="28" s="1"/>
  <c r="J22" i="28"/>
  <c r="J32" i="28" s="1"/>
  <c r="L55" i="27"/>
  <c r="L36" i="28"/>
  <c r="L55" i="28" s="1"/>
  <c r="K36" i="28"/>
  <c r="K55" i="28" s="1"/>
  <c r="J55" i="28"/>
</calcChain>
</file>

<file path=xl/sharedStrings.xml><?xml version="1.0" encoding="utf-8"?>
<sst xmlns="http://schemas.openxmlformats.org/spreadsheetml/2006/main" count="2582" uniqueCount="161">
  <si>
    <t>TOTAL SUS</t>
  </si>
  <si>
    <t>SUS</t>
  </si>
  <si>
    <t>TOTAL  Health 
Science Center Libraries</t>
  </si>
  <si>
    <t>55170100 / 102</t>
  </si>
  <si>
    <t>HSCL</t>
  </si>
  <si>
    <t>TOTAL Other</t>
  </si>
  <si>
    <t>55010000 / F011742</t>
  </si>
  <si>
    <t>YEOMANS</t>
  </si>
  <si>
    <t>55010000 / F019154</t>
  </si>
  <si>
    <t>SPRING WOMEN IN DEVELOPMENT</t>
  </si>
  <si>
    <t>55190000 / 149</t>
  </si>
  <si>
    <t>3D PRINT OPS</t>
  </si>
  <si>
    <t xml:space="preserve">IT PROGRAMMING SUPPORT </t>
  </si>
  <si>
    <t>55080500 / 101 / CRRNT</t>
  </si>
  <si>
    <t>LW EXTENDED HOURS FALL 19</t>
  </si>
  <si>
    <t>55080500 / 101 / CYFWD</t>
  </si>
  <si>
    <t>FLMH DICKINSON</t>
  </si>
  <si>
    <t xml:space="preserve">55080500 / 103 </t>
  </si>
  <si>
    <t>IFAS ENDNOTE / 103</t>
  </si>
  <si>
    <t>55010000 / 149</t>
  </si>
  <si>
    <t>ST. AUGUSTINE INTERACTIVE MAP PROJECT</t>
  </si>
  <si>
    <t>TOTAL University Libraries</t>
  </si>
  <si>
    <t>SUBTOTAL Special Projects</t>
  </si>
  <si>
    <t>55080500 / 171</t>
  </si>
  <si>
    <t>STAUG FUNDING</t>
  </si>
  <si>
    <t>55060700 / 5500SASP01</t>
  </si>
  <si>
    <t>SASC DISSERTATION &amp; THESIS</t>
  </si>
  <si>
    <t>OPS INTERNS / U-GRAD FELLOWSHIP</t>
  </si>
  <si>
    <t>SUBTOTAL Discovery, Digital Services &amp; Shared Collections</t>
  </si>
  <si>
    <t>PRESERVATION</t>
  </si>
  <si>
    <t>CATALOGING</t>
  </si>
  <si>
    <t>DIGITAL LIBRARY</t>
  </si>
  <si>
    <t>SUBTOTAL Scholarly Resources &amp; 
Services</t>
  </si>
  <si>
    <t>MARSTON 3D PRINT</t>
  </si>
  <si>
    <t>ACQUISITIONS</t>
  </si>
  <si>
    <t>SPECIAL COLLECTIONS</t>
  </si>
  <si>
    <t>MARSTON-CIRC / STACKS</t>
  </si>
  <si>
    <t>LIBRARY WEST - STACKS</t>
  </si>
  <si>
    <t>EDUCATION</t>
  </si>
  <si>
    <t>AFA</t>
  </si>
  <si>
    <t>LIBRARY WEST - BRANCH / CIRC.</t>
  </si>
  <si>
    <t>SRRS DISCRETIONARY</t>
  </si>
  <si>
    <t>DEANS DISCRETIONARY</t>
  </si>
  <si>
    <t>Left at YTD Rate</t>
  </si>
  <si>
    <t>Remaining</t>
  </si>
  <si>
    <t>YTD TOTAL</t>
  </si>
  <si>
    <t>YTD Fringe</t>
  </si>
  <si>
    <t>YTD OPS</t>
  </si>
  <si>
    <t>Fringe</t>
  </si>
  <si>
    <t>Current Other OPS</t>
  </si>
  <si>
    <t>Current Student</t>
  </si>
  <si>
    <t xml:space="preserve">ALLOCATION </t>
  </si>
  <si>
    <t>Department ID</t>
  </si>
  <si>
    <t>DEPARTMENT</t>
  </si>
  <si>
    <t>PPED 07-09-20</t>
  </si>
  <si>
    <t>55080500 / 101</t>
  </si>
  <si>
    <t xml:space="preserve"> </t>
  </si>
  <si>
    <t>FREGLEY</t>
  </si>
  <si>
    <t>55010000 / F007870</t>
  </si>
  <si>
    <t>ATHLETIC ASSN. ENDOWMENT</t>
  </si>
  <si>
    <t>55010000 / F008400</t>
  </si>
  <si>
    <t>FRIENDS PANAMA CANAL MUSEUM</t>
  </si>
  <si>
    <t>55010000 / F017863</t>
  </si>
  <si>
    <t>PRICE LIBRARY OF JUDAICA NEH</t>
  </si>
  <si>
    <t>ISABELL BRIGGS MYERS</t>
  </si>
  <si>
    <t>55010000 / F022003</t>
  </si>
  <si>
    <t>55010000 / F019836</t>
  </si>
  <si>
    <t>PPED 07-23-20</t>
  </si>
  <si>
    <t>MAP AND IMAGERY FUND</t>
  </si>
  <si>
    <t>55010000 / F017267</t>
  </si>
  <si>
    <t>GAYLORD ENDOWMENT</t>
  </si>
  <si>
    <t>55010000 / F004188</t>
  </si>
  <si>
    <t xml:space="preserve">8/3/2020 Funding from IFAS 7/21/20 BT 0003476298 to IFAS ENDNOTE / 101  (55080500/600000) </t>
  </si>
  <si>
    <t>8/4/2020 Allocation of funds to GAYLORD ENDOWMENT per 8/3/20 email J. Cusick</t>
  </si>
  <si>
    <t>8/4/2020 Allocation of funds to FREGLEY per 8/3/20 email S. Coates</t>
  </si>
  <si>
    <t>8/4/2020 Allocation of funds to MAP AND IMAGERY FUND per 7/31/20 email C. McAuliffe</t>
  </si>
  <si>
    <t>8/4/2020 Allocation of funds to FRIENDS PANAMA CANAL MUSEUM per 7/31/20 email J. Nemmers</t>
  </si>
  <si>
    <t>8/4/2020 Allocation of funds to PRICE LIBRARY OF JUDAICA NEH per 8/3/20 email J. Nemmers</t>
  </si>
  <si>
    <t>8/4/2020 Allocation of funds to ATHLETIC ASSN. ENDOWMENT per 8/3/20 email J. Sessions</t>
  </si>
  <si>
    <t>PPED 08-06-20</t>
  </si>
  <si>
    <t>MARSTON REFERENCE</t>
  </si>
  <si>
    <t>PPED 08-20-20</t>
  </si>
  <si>
    <t>PPED 09-03-20</t>
  </si>
  <si>
    <t>PPED 09-17-20</t>
  </si>
  <si>
    <t>9/10/2020 Allocation of funds to ATHLETIC ASSN. ENDOWMENT per 9/10/20 email AM Hollingshead</t>
  </si>
  <si>
    <t>10/05/2020 Funding from 55110000 to IT PROGRAMMING SUPPORT (55110100)</t>
  </si>
  <si>
    <t>PPED 10-01-20</t>
  </si>
  <si>
    <t>PPED 10-15-20</t>
  </si>
  <si>
    <t>55010000 / F017606</t>
  </si>
  <si>
    <t>PANAMA CANAL MUSEUM</t>
  </si>
  <si>
    <t>10/09/2020 Allocation of funds to PANAMA CANAL MUSEUM per 10/09/20 email AM Hollingshead</t>
  </si>
  <si>
    <t>PPED 10-29-20</t>
  </si>
  <si>
    <t>ACCESS SERVICES</t>
  </si>
  <si>
    <t>10/22/2020 Funding from CATALOGING to ACCESS SERVICES</t>
  </si>
  <si>
    <t>55010000 / F013861</t>
  </si>
  <si>
    <t>STEWARDS OF FLORIDA HISTORY</t>
  </si>
  <si>
    <t>PPED 11-12-20</t>
  </si>
  <si>
    <t>LW EXTENDED HOURS</t>
  </si>
  <si>
    <t>PPED 11-26-20</t>
  </si>
  <si>
    <t>PPED 12-10-20</t>
  </si>
  <si>
    <t xml:space="preserve">12/8/2020 Funding from Salaries 55010000 to IT PROGRAMMING SUPPORT (55110100/600000) </t>
  </si>
  <si>
    <t>PPED 12-24-20</t>
  </si>
  <si>
    <t>12/21/2020 Allocation change FREGLEY from $843.44 to $5369.00 per John Nemmers email 12/21/20</t>
  </si>
  <si>
    <t>PPED 01-07-21</t>
  </si>
  <si>
    <t>PPED 01-21-21</t>
  </si>
  <si>
    <t xml:space="preserve">MAP AND IMAGERY FUND </t>
  </si>
  <si>
    <t>1/25/2021 Allocation of funds to ATHLETIC ASSN. ENDOWMENT per 1/25/21 email J. Staples</t>
  </si>
  <si>
    <t>1/27/2021 Allocation of funds to YEOMANS per 1/27/21 email J. Carlson</t>
  </si>
  <si>
    <t>PPED 02-04-21</t>
  </si>
  <si>
    <t>2/11/2021 Allocation change STEWARDS OF FLORIDA HISTORY from $2,000.00 to $3,000.00 per Anne-Marie email 2/11/2021</t>
  </si>
  <si>
    <t>PPED 02-18-21</t>
  </si>
  <si>
    <t>55170100 / 101</t>
  </si>
  <si>
    <t>HSCL OPS SECURITY</t>
  </si>
  <si>
    <t>2/16/2021 Allocation of funds to MULTIPLE DEPARTMENTS from 55080500 (700000) and 55010000 (600000) for OPS Security per 2/17/21 email JC (55020300, 55020400, 55170100, 55050200, 55070100, 55020200)</t>
  </si>
  <si>
    <t>PPED 03-04-21</t>
  </si>
  <si>
    <t>3/2/2021 Allocation change FRIENDS PANAMA CANAL MUSEUM from $9,800.00 to $11,000.00 per John Nemmers email email 3/2/2021</t>
  </si>
  <si>
    <t>PPED 03-18-21</t>
  </si>
  <si>
    <t>3/11/2021 Funding DEANS DISCRETIONARY (55010300)</t>
  </si>
  <si>
    <t>3/17/2021 Allocation of funds to STEWARDS OF FLORIDA HISTORY per 3/17/21 email AM Hollingshead</t>
  </si>
  <si>
    <t>PPED 04-01-21</t>
  </si>
  <si>
    <t xml:space="preserve">3/30/2021 Allocation of funds to MARSTON CIRC-STACS (55050200) from 55010800 (700000) </t>
  </si>
  <si>
    <t>Fernandez</t>
  </si>
  <si>
    <t>Agic (x), Boyd (x), Fodor (HSS)</t>
  </si>
  <si>
    <t>IFAS ENDNOTE / 101 (MSL)</t>
  </si>
  <si>
    <t>4/8/2021 Allocation of funds to LW EXTENDED HOURS (JS)</t>
  </si>
  <si>
    <t>2ND PILOT SUPPOR 24/5 LW ACCESS</t>
  </si>
  <si>
    <t>4/8/2021 Allocation of funds to 2ND PILOT SUPPOR 24/5 LW ACCESS</t>
  </si>
  <si>
    <t>4/8/2021 Allocation of funds to IFAS ENDNOTE / 101 (MSL) (JS)</t>
  </si>
  <si>
    <t>PPED 04-15-21</t>
  </si>
  <si>
    <t>4/12/2021 Allocation of funds to WOODELL LIB ENDOWMENT FUND F020922 PER EMAIL AM hollingshead</t>
  </si>
  <si>
    <t>55010000 / F020922</t>
  </si>
  <si>
    <t>WOODELL LIBRARY ENDOWMENT FUND-DPS</t>
  </si>
  <si>
    <t>4/14/2021 Allocation of funds to WOODELL LIB ENDOWMENT FUND F020922 PER EMAIL AM hollingshead</t>
  </si>
  <si>
    <t>3/30/2021 Allocation of funds to MARSTON CIRC-STACS (55050200) from 55010800 (700000) for Peer Instr. Cohorts</t>
  </si>
  <si>
    <t>10/05/2020 Funding from 55110000 to IT PROGRAMMING SUPPORT (55110100/600000)</t>
  </si>
  <si>
    <t>PPED 04-29-21</t>
  </si>
  <si>
    <t xml:space="preserve">4/22/2021 Funding from Salaries 55010000 to IT PROGRAMMING SUPPORT (55110100/600000) </t>
  </si>
  <si>
    <t>4/27/2021 Allocation of funds to SPECIAL COLLECTIONS PURCHASE FUND F005434 PER EMAIL AM Hollingshead</t>
  </si>
  <si>
    <t>4/14/2021 Allocation of funds to WOODELL LIB ENDOWMENT FUND F020922 PER EMAIL AM Hollingshead</t>
  </si>
  <si>
    <t>4/12/2021 Allocation of funds to WOODELL LIB ENDOWMENT FUND F020922 PER EMAIL AM Hollingshead</t>
  </si>
  <si>
    <t>2/11/2021 Allocation change STEWARDS OF FLORIDA HISTORY from $2,000.00 to $3,000.00 PER EMAIL AM Hollingshead</t>
  </si>
  <si>
    <t>SPECIAL COLLECTIONS PURCHASE FUND</t>
  </si>
  <si>
    <t>55010000 / F005434</t>
  </si>
  <si>
    <t>4/27/2021 Allocation of funds to FRIENDS PANAMA CANAL MUSEUM F017863 PER EMAIL AM Hollingshead</t>
  </si>
  <si>
    <t>PPED 05-13-21</t>
  </si>
  <si>
    <t>5/7/2021 Allocation of funds to FRIENDS PANAMA CANAL MUSEUM F017863 PER EMAIL AM Hollingshead</t>
  </si>
  <si>
    <t>PRM / COMMUNICATIONS</t>
  </si>
  <si>
    <t>5/11/2021 Allocation of funds to PRM / COMMUNICATIONS PER EMAIL AM Hollingshead</t>
  </si>
  <si>
    <t>PPED 05-27-21</t>
  </si>
  <si>
    <t>5/24/2021 Funding from SUS 55180000 (650000) to SUS 55180000 (600000) PER EMAIL JC</t>
  </si>
  <si>
    <t>2ND PILOT SUPPORT 24/5 LW ACCESS</t>
  </si>
  <si>
    <t>PPED 06-10-21</t>
  </si>
  <si>
    <t>6/10/2021 Funding from 55010500 SRRS DISCRETIONARY to 55080100 ACQUISITIONS</t>
  </si>
  <si>
    <t>PPED 06-24-21</t>
  </si>
  <si>
    <t>55010000 / F011224</t>
  </si>
  <si>
    <t>LOCKHEART BOOK FUND AFRICAN STUDIES</t>
  </si>
  <si>
    <t>6/17/2021 Allocation of funds to LOCKHEART BOOK FUND AFRICAN STUDIES F011224 PER EMAIL AM Hollingshead</t>
  </si>
  <si>
    <t>6/17/2021 Allocation of funds to FRIENDS PANAMA CANAL MUSEUM F017863 PER EMAIL AMH 6/17/21 8:04am</t>
  </si>
  <si>
    <t>6/23/2021 Allocation of funds to YEOMANS F011742 PER EMAIL AMH 6/23/21 1:27pm</t>
  </si>
  <si>
    <t>PPED 06-30-21 FINAL</t>
  </si>
  <si>
    <t>69/30/2021 Allocation of funds to WOODELL LIB ENDOWMENT FUND F020922 PER EMAIL AM Hollingshead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</si>
</sst>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1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name val="Calibri"/>
      <family val="2"/>
      <scheme val="minor"/>
    </font>
    <font>
      <b/>
      <u/>
      <sz val="8"/>
      <name val="Arial"/>
      <family val="2"/>
    </font>
    <font>
      <b/>
      <i/>
      <sz val="11"/>
      <color rgb="FFFF0000"/>
      <name val="Calibri"/>
      <family val="2"/>
      <scheme val="minor"/>
    </font>
    <font>
      <sz val="8"/>
      <color theme="1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b/>
      <sz val="8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5" fillId="0" borderId="0"/>
  </cellStyleXfs>
  <cellXfs count="161">
    <xf numFmtId="0" fontId="0" fillId="0" borderId="0" xfId="0"/>
    <xf numFmtId="0" fontId="3" fillId="0" borderId="0" xfId="0" applyFont="1" applyFill="1"/>
    <xf numFmtId="39" fontId="3" fillId="0" borderId="0" xfId="0" applyNumberFormat="1" applyFont="1" applyFill="1"/>
    <xf numFmtId="0" fontId="3" fillId="2" borderId="0" xfId="0" applyFont="1" applyFill="1"/>
    <xf numFmtId="39" fontId="4" fillId="0" borderId="0" xfId="0" applyNumberFormat="1" applyFont="1" applyFill="1" applyBorder="1" applyAlignment="1">
      <alignment horizontal="center" vertical="center"/>
    </xf>
    <xf numFmtId="44" fontId="6" fillId="0" borderId="0" xfId="2" applyNumberFormat="1" applyFont="1" applyFill="1" applyBorder="1" applyAlignment="1">
      <alignment horizontal="left" vertical="center"/>
    </xf>
    <xf numFmtId="14" fontId="6" fillId="0" borderId="0" xfId="2" applyNumberFormat="1" applyFont="1" applyFill="1" applyBorder="1" applyAlignment="1">
      <alignment horizontal="left" vertical="center" wrapText="1"/>
    </xf>
    <xf numFmtId="39" fontId="6" fillId="0" borderId="1" xfId="2" applyNumberFormat="1" applyFont="1" applyFill="1" applyBorder="1" applyAlignment="1">
      <alignment horizontal="center" vertical="center"/>
    </xf>
    <xf numFmtId="0" fontId="0" fillId="0" borderId="0" xfId="0" applyFont="1" applyFill="1"/>
    <xf numFmtId="39" fontId="7" fillId="0" borderId="1" xfId="2" applyNumberFormat="1" applyFont="1" applyFill="1" applyBorder="1" applyAlignment="1">
      <alignment horizontal="center" vertical="center"/>
    </xf>
    <xf numFmtId="39" fontId="7" fillId="2" borderId="1" xfId="2" applyNumberFormat="1" applyFont="1" applyFill="1" applyBorder="1" applyAlignment="1">
      <alignment horizontal="center" vertical="center"/>
    </xf>
    <xf numFmtId="39" fontId="7" fillId="0" borderId="1" xfId="2" applyNumberFormat="1" applyFont="1" applyFill="1" applyBorder="1" applyAlignment="1">
      <alignment horizontal="center"/>
    </xf>
    <xf numFmtId="0" fontId="7" fillId="2" borderId="1" xfId="2" applyFont="1" applyFill="1" applyBorder="1" applyAlignment="1">
      <alignment horizontal="center"/>
    </xf>
    <xf numFmtId="0" fontId="7" fillId="2" borderId="1" xfId="2" applyFont="1" applyFill="1" applyBorder="1" applyAlignment="1">
      <alignment vertical="center"/>
    </xf>
    <xf numFmtId="39" fontId="6" fillId="3" borderId="1" xfId="2" applyNumberFormat="1" applyFont="1" applyFill="1" applyBorder="1" applyAlignment="1">
      <alignment horizontal="center"/>
    </xf>
    <xf numFmtId="39" fontId="6" fillId="3" borderId="1" xfId="2" applyNumberFormat="1" applyFont="1" applyFill="1" applyBorder="1" applyAlignment="1">
      <alignment horizontal="center" vertical="center"/>
    </xf>
    <xf numFmtId="0" fontId="6" fillId="3" borderId="1" xfId="2" applyFont="1" applyFill="1" applyBorder="1" applyAlignment="1">
      <alignment horizontal="center"/>
    </xf>
    <xf numFmtId="0" fontId="6" fillId="3" borderId="1" xfId="2" applyFont="1" applyFill="1" applyBorder="1"/>
    <xf numFmtId="39" fontId="4" fillId="0" borderId="1" xfId="0" applyNumberFormat="1" applyFont="1" applyFill="1" applyBorder="1" applyAlignment="1">
      <alignment horizontal="center" vertical="center"/>
    </xf>
    <xf numFmtId="44" fontId="6" fillId="0" borderId="1" xfId="2" applyNumberFormat="1" applyFont="1" applyFill="1" applyBorder="1" applyAlignment="1">
      <alignment horizontal="left" vertical="center"/>
    </xf>
    <xf numFmtId="14" fontId="6" fillId="0" borderId="1" xfId="2" applyNumberFormat="1" applyFont="1" applyFill="1" applyBorder="1" applyAlignment="1">
      <alignment horizontal="left" vertical="center" wrapText="1"/>
    </xf>
    <xf numFmtId="0" fontId="7" fillId="0" borderId="1" xfId="2" applyFont="1" applyFill="1" applyBorder="1" applyAlignment="1">
      <alignment horizontal="center"/>
    </xf>
    <xf numFmtId="0" fontId="7" fillId="0" borderId="1" xfId="2" applyFont="1" applyFill="1" applyBorder="1" applyAlignment="1">
      <alignment vertical="center"/>
    </xf>
    <xf numFmtId="0" fontId="1" fillId="0" borderId="0" xfId="0" applyFont="1" applyFill="1"/>
    <xf numFmtId="0" fontId="7" fillId="4" borderId="1" xfId="2" applyFont="1" applyFill="1" applyBorder="1" applyAlignment="1">
      <alignment horizontal="center"/>
    </xf>
    <xf numFmtId="0" fontId="7" fillId="0" borderId="1" xfId="2" applyFont="1" applyFill="1" applyBorder="1" applyAlignment="1">
      <alignment horizontal="left" vertical="center"/>
    </xf>
    <xf numFmtId="0" fontId="8" fillId="0" borderId="0" xfId="0" applyFont="1" applyFill="1"/>
    <xf numFmtId="0" fontId="7" fillId="5" borderId="1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left" vertical="center" wrapText="1"/>
    </xf>
    <xf numFmtId="0" fontId="7" fillId="0" borderId="1" xfId="2" applyFont="1" applyFill="1" applyBorder="1" applyAlignment="1">
      <alignment horizontal="center" vertical="center"/>
    </xf>
    <xf numFmtId="0" fontId="8" fillId="2" borderId="0" xfId="0" applyFont="1" applyFill="1"/>
    <xf numFmtId="0" fontId="1" fillId="2" borderId="0" xfId="0" applyFont="1" applyFill="1"/>
    <xf numFmtId="0" fontId="7" fillId="2" borderId="1" xfId="2" applyFont="1" applyFill="1" applyBorder="1" applyAlignment="1">
      <alignment horizontal="left" vertical="center" wrapText="1"/>
    </xf>
    <xf numFmtId="0" fontId="7" fillId="2" borderId="1" xfId="2" applyFont="1" applyFill="1" applyBorder="1" applyAlignment="1">
      <alignment horizontal="center" vertical="center"/>
    </xf>
    <xf numFmtId="39" fontId="6" fillId="0" borderId="2" xfId="2" applyNumberFormat="1" applyFont="1" applyFill="1" applyBorder="1" applyAlignment="1">
      <alignment horizontal="center" vertical="center"/>
    </xf>
    <xf numFmtId="39" fontId="6" fillId="6" borderId="3" xfId="2" applyNumberFormat="1" applyFont="1" applyFill="1" applyBorder="1" applyAlignment="1">
      <alignment horizontal="center" vertical="center"/>
    </xf>
    <xf numFmtId="39" fontId="6" fillId="6" borderId="3" xfId="2" applyNumberFormat="1" applyFont="1" applyFill="1" applyBorder="1" applyAlignment="1">
      <alignment horizontal="center"/>
    </xf>
    <xf numFmtId="0" fontId="6" fillId="6" borderId="3" xfId="2" applyFont="1" applyFill="1" applyBorder="1" applyAlignment="1">
      <alignment horizontal="center"/>
    </xf>
    <xf numFmtId="0" fontId="6" fillId="6" borderId="4" xfId="2" applyFont="1" applyFill="1" applyBorder="1"/>
    <xf numFmtId="39" fontId="6" fillId="6" borderId="5" xfId="2" applyNumberFormat="1" applyFont="1" applyFill="1" applyBorder="1" applyAlignment="1">
      <alignment horizontal="center" vertical="center"/>
    </xf>
    <xf numFmtId="39" fontId="6" fillId="6" borderId="5" xfId="2" applyNumberFormat="1" applyFont="1" applyFill="1" applyBorder="1" applyAlignment="1">
      <alignment horizontal="center"/>
    </xf>
    <xf numFmtId="0" fontId="6" fillId="6" borderId="5" xfId="2" applyFont="1" applyFill="1" applyBorder="1" applyAlignment="1">
      <alignment horizontal="center"/>
    </xf>
    <xf numFmtId="0" fontId="6" fillId="6" borderId="6" xfId="2" applyFont="1" applyFill="1" applyBorder="1"/>
    <xf numFmtId="39" fontId="6" fillId="0" borderId="7" xfId="2" applyNumberFormat="1" applyFont="1" applyFill="1" applyBorder="1" applyAlignment="1">
      <alignment horizontal="center" vertical="center"/>
    </xf>
    <xf numFmtId="0" fontId="0" fillId="2" borderId="0" xfId="0" applyFont="1" applyFill="1"/>
    <xf numFmtId="39" fontId="7" fillId="2" borderId="7" xfId="2" applyNumberFormat="1" applyFont="1" applyFill="1" applyBorder="1" applyAlignment="1">
      <alignment horizontal="center" vertical="center"/>
    </xf>
    <xf numFmtId="39" fontId="7" fillId="0" borderId="7" xfId="2" applyNumberFormat="1" applyFont="1" applyFill="1" applyBorder="1" applyAlignment="1">
      <alignment horizontal="center" vertical="center"/>
    </xf>
    <xf numFmtId="0" fontId="7" fillId="4" borderId="7" xfId="2" applyFont="1" applyFill="1" applyBorder="1" applyAlignment="1">
      <alignment horizontal="center" vertical="center"/>
    </xf>
    <xf numFmtId="0" fontId="7" fillId="2" borderId="7" xfId="2" applyFont="1" applyFill="1" applyBorder="1" applyAlignment="1">
      <alignment horizontal="center"/>
    </xf>
    <xf numFmtId="39" fontId="6" fillId="2" borderId="1" xfId="2" applyNumberFormat="1" applyFont="1" applyFill="1" applyBorder="1" applyAlignment="1">
      <alignment horizontal="center" vertical="center"/>
    </xf>
    <xf numFmtId="39" fontId="6" fillId="6" borderId="8" xfId="2" applyNumberFormat="1" applyFont="1" applyFill="1" applyBorder="1" applyAlignment="1">
      <alignment horizontal="center" vertical="center"/>
    </xf>
    <xf numFmtId="39" fontId="6" fillId="6" borderId="9" xfId="2" applyNumberFormat="1" applyFont="1" applyFill="1" applyBorder="1" applyAlignment="1">
      <alignment horizontal="center" vertical="center"/>
    </xf>
    <xf numFmtId="0" fontId="7" fillId="6" borderId="6" xfId="2" applyFont="1" applyFill="1" applyBorder="1"/>
    <xf numFmtId="0" fontId="7" fillId="2" borderId="7" xfId="2" applyFont="1" applyFill="1" applyBorder="1" applyAlignment="1">
      <alignment horizontal="left" vertical="center" wrapText="1"/>
    </xf>
    <xf numFmtId="0" fontId="7" fillId="0" borderId="1" xfId="1" applyFont="1" applyFill="1" applyBorder="1" applyAlignment="1">
      <alignment vertical="center"/>
    </xf>
    <xf numFmtId="39" fontId="7" fillId="2" borderId="2" xfId="2" applyNumberFormat="1" applyFont="1" applyFill="1" applyBorder="1" applyAlignment="1">
      <alignment horizontal="center" vertical="center"/>
    </xf>
    <xf numFmtId="39" fontId="7" fillId="0" borderId="2" xfId="2" applyNumberFormat="1" applyFont="1" applyFill="1" applyBorder="1" applyAlignment="1">
      <alignment horizontal="center"/>
    </xf>
    <xf numFmtId="0" fontId="7" fillId="0" borderId="2" xfId="2" applyFont="1" applyFill="1" applyBorder="1" applyAlignment="1">
      <alignment horizontal="center"/>
    </xf>
    <xf numFmtId="0" fontId="7" fillId="0" borderId="2" xfId="2" applyFont="1" applyFill="1" applyBorder="1" applyAlignment="1">
      <alignment vertical="center"/>
    </xf>
    <xf numFmtId="0" fontId="0" fillId="0" borderId="0" xfId="0" applyFont="1" applyFill="1" applyBorder="1"/>
    <xf numFmtId="0" fontId="0" fillId="0" borderId="0" xfId="0" applyFont="1" applyFill="1" applyBorder="1" applyAlignment="1"/>
    <xf numFmtId="0" fontId="3" fillId="0" borderId="0" xfId="0" applyFont="1" applyFill="1" applyBorder="1" applyAlignment="1"/>
    <xf numFmtId="39" fontId="9" fillId="7" borderId="1" xfId="2" applyNumberFormat="1" applyFont="1" applyFill="1" applyBorder="1" applyAlignment="1">
      <alignment horizontal="center"/>
    </xf>
    <xf numFmtId="39" fontId="9" fillId="7" borderId="1" xfId="2" applyNumberFormat="1" applyFont="1" applyFill="1" applyBorder="1" applyAlignment="1">
      <alignment horizontal="center" wrapText="1"/>
    </xf>
    <xf numFmtId="0" fontId="9" fillId="7" borderId="1" xfId="2" applyFont="1" applyFill="1" applyBorder="1" applyAlignment="1">
      <alignment horizontal="center"/>
    </xf>
    <xf numFmtId="39" fontId="6" fillId="8" borderId="0" xfId="2" applyNumberFormat="1" applyFont="1" applyFill="1"/>
    <xf numFmtId="39" fontId="6" fillId="0" borderId="0" xfId="2" applyNumberFormat="1" applyFont="1" applyFill="1"/>
    <xf numFmtId="0" fontId="6" fillId="0" borderId="0" xfId="2" applyFont="1" applyFill="1"/>
    <xf numFmtId="40" fontId="10" fillId="0" borderId="0" xfId="0" applyNumberFormat="1" applyFont="1" applyFill="1" applyAlignment="1"/>
    <xf numFmtId="39" fontId="11" fillId="9" borderId="1" xfId="0" applyNumberFormat="1" applyFont="1" applyFill="1" applyBorder="1"/>
    <xf numFmtId="39" fontId="11" fillId="0" borderId="1" xfId="0" applyNumberFormat="1" applyFont="1" applyFill="1" applyBorder="1" applyAlignment="1">
      <alignment horizontal="center"/>
    </xf>
    <xf numFmtId="39" fontId="7" fillId="9" borderId="1" xfId="2" applyNumberFormat="1" applyFont="1" applyFill="1" applyBorder="1" applyAlignment="1">
      <alignment horizontal="center"/>
    </xf>
    <xf numFmtId="39" fontId="7" fillId="9" borderId="7" xfId="2" applyNumberFormat="1" applyFont="1" applyFill="1" applyBorder="1" applyAlignment="1">
      <alignment horizontal="center"/>
    </xf>
    <xf numFmtId="39" fontId="7" fillId="10" borderId="1" xfId="2" applyNumberFormat="1" applyFont="1" applyFill="1" applyBorder="1" applyAlignment="1">
      <alignment horizontal="center" vertical="center"/>
    </xf>
    <xf numFmtId="0" fontId="7" fillId="10" borderId="1" xfId="2" applyFont="1" applyFill="1" applyBorder="1" applyAlignment="1">
      <alignment horizontal="left" vertical="center"/>
    </xf>
    <xf numFmtId="39" fontId="12" fillId="0" borderId="1" xfId="2" applyNumberFormat="1" applyFont="1" applyFill="1" applyBorder="1" applyAlignment="1">
      <alignment horizontal="center" vertical="center"/>
    </xf>
    <xf numFmtId="39" fontId="6" fillId="0" borderId="0" xfId="2" applyNumberFormat="1" applyFont="1" applyFill="1" applyAlignment="1">
      <alignment horizontal="center"/>
    </xf>
    <xf numFmtId="39" fontId="3" fillId="0" borderId="0" xfId="0" applyNumberFormat="1" applyFont="1" applyFill="1" applyAlignment="1">
      <alignment horizontal="center"/>
    </xf>
    <xf numFmtId="0" fontId="12" fillId="2" borderId="1" xfId="2" applyFont="1" applyFill="1" applyBorder="1" applyAlignment="1">
      <alignment horizontal="left" vertical="center" wrapText="1"/>
    </xf>
    <xf numFmtId="0" fontId="12" fillId="5" borderId="1" xfId="2" applyFont="1" applyFill="1" applyBorder="1" applyAlignment="1">
      <alignment horizontal="center" vertical="center"/>
    </xf>
    <xf numFmtId="39" fontId="12" fillId="2" borderId="1" xfId="2" applyNumberFormat="1" applyFont="1" applyFill="1" applyBorder="1" applyAlignment="1">
      <alignment horizontal="center" vertical="center"/>
    </xf>
    <xf numFmtId="39" fontId="7" fillId="9" borderId="1" xfId="0" applyNumberFormat="1" applyFont="1" applyFill="1" applyBorder="1" applyAlignment="1">
      <alignment horizontal="center"/>
    </xf>
    <xf numFmtId="164" fontId="4" fillId="2" borderId="0" xfId="0" applyNumberFormat="1" applyFont="1" applyFill="1" applyBorder="1" applyAlignment="1">
      <alignment horizontal="right" vertical="center"/>
    </xf>
    <xf numFmtId="39" fontId="7" fillId="10" borderId="1" xfId="2" applyNumberFormat="1" applyFont="1" applyFill="1" applyBorder="1" applyAlignment="1">
      <alignment horizontal="center"/>
    </xf>
    <xf numFmtId="39" fontId="7" fillId="0" borderId="7" xfId="2" applyNumberFormat="1" applyFont="1" applyFill="1" applyBorder="1" applyAlignment="1">
      <alignment horizontal="center"/>
    </xf>
    <xf numFmtId="39" fontId="7" fillId="0" borderId="1" xfId="0" applyNumberFormat="1" applyFont="1" applyFill="1" applyBorder="1" applyAlignment="1">
      <alignment horizontal="center"/>
    </xf>
    <xf numFmtId="39" fontId="12" fillId="0" borderId="1" xfId="2" applyNumberFormat="1" applyFont="1" applyFill="1" applyBorder="1" applyAlignment="1">
      <alignment horizontal="center"/>
    </xf>
    <xf numFmtId="0" fontId="7" fillId="11" borderId="1" xfId="2" applyFont="1" applyFill="1" applyBorder="1" applyAlignment="1">
      <alignment vertical="center"/>
    </xf>
    <xf numFmtId="0" fontId="7" fillId="11" borderId="1" xfId="2" applyFont="1" applyFill="1" applyBorder="1" applyAlignment="1">
      <alignment horizontal="center"/>
    </xf>
    <xf numFmtId="39" fontId="7" fillId="11" borderId="1" xfId="2" applyNumberFormat="1" applyFont="1" applyFill="1" applyBorder="1" applyAlignment="1">
      <alignment horizontal="center" vertical="center"/>
    </xf>
    <xf numFmtId="0" fontId="7" fillId="5" borderId="1" xfId="2" applyFont="1" applyFill="1" applyBorder="1" applyAlignment="1">
      <alignment horizontal="center"/>
    </xf>
    <xf numFmtId="39" fontId="7" fillId="2" borderId="1" xfId="2" applyNumberFormat="1" applyFont="1" applyFill="1" applyBorder="1" applyAlignment="1">
      <alignment horizontal="center"/>
    </xf>
    <xf numFmtId="0" fontId="0" fillId="0" borderId="0" xfId="0" applyFont="1" applyFill="1" applyAlignment="1">
      <alignment vertical="center"/>
    </xf>
    <xf numFmtId="39" fontId="7" fillId="11" borderId="1" xfId="2" applyNumberFormat="1" applyFont="1" applyFill="1" applyBorder="1" applyAlignment="1">
      <alignment horizontal="center"/>
    </xf>
    <xf numFmtId="0" fontId="7" fillId="11" borderId="1" xfId="2" applyFont="1" applyFill="1" applyBorder="1" applyAlignment="1">
      <alignment horizontal="left" vertical="center"/>
    </xf>
    <xf numFmtId="0" fontId="7" fillId="10" borderId="1" xfId="2" applyFont="1" applyFill="1" applyBorder="1" applyAlignment="1">
      <alignment vertical="center"/>
    </xf>
    <xf numFmtId="0" fontId="7" fillId="10" borderId="1" xfId="2" applyFont="1" applyFill="1" applyBorder="1" applyAlignment="1">
      <alignment horizontal="center"/>
    </xf>
    <xf numFmtId="39" fontId="7" fillId="9" borderId="1" xfId="2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7" fillId="2" borderId="7" xfId="2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7" fillId="0" borderId="2" xfId="2" applyFont="1" applyFill="1" applyBorder="1" applyAlignment="1">
      <alignment horizontal="center" vertical="center"/>
    </xf>
    <xf numFmtId="39" fontId="7" fillId="0" borderId="2" xfId="2" applyNumberFormat="1" applyFont="1" applyFill="1" applyBorder="1" applyAlignment="1">
      <alignment horizontal="center" vertical="center"/>
    </xf>
    <xf numFmtId="0" fontId="8" fillId="2" borderId="0" xfId="0" applyFont="1" applyFill="1" applyAlignment="1">
      <alignment vertical="center"/>
    </xf>
    <xf numFmtId="39" fontId="7" fillId="0" borderId="1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39" fontId="13" fillId="0" borderId="1" xfId="2" applyNumberFormat="1" applyFont="1" applyFill="1" applyBorder="1" applyAlignment="1">
      <alignment horizontal="center" vertical="center"/>
    </xf>
    <xf numFmtId="0" fontId="7" fillId="4" borderId="1" xfId="2" applyFont="1" applyFill="1" applyBorder="1" applyAlignment="1">
      <alignment horizontal="center" vertical="center"/>
    </xf>
    <xf numFmtId="39" fontId="11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39" fontId="14" fillId="0" borderId="0" xfId="0" applyNumberFormat="1" applyFont="1" applyFill="1"/>
    <xf numFmtId="0" fontId="14" fillId="0" borderId="0" xfId="0" applyFont="1" applyFill="1"/>
    <xf numFmtId="0" fontId="14" fillId="0" borderId="0" xfId="0" applyFont="1" applyFill="1" applyBorder="1" applyAlignment="1"/>
    <xf numFmtId="0" fontId="11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0" fontId="12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14" fillId="2" borderId="0" xfId="0" applyFont="1" applyFill="1"/>
    <xf numFmtId="39" fontId="11" fillId="0" borderId="0" xfId="0" applyNumberFormat="1" applyFont="1" applyFill="1" applyAlignment="1">
      <alignment vertical="center"/>
    </xf>
    <xf numFmtId="39" fontId="12" fillId="0" borderId="0" xfId="0" applyNumberFormat="1" applyFont="1" applyFill="1" applyAlignment="1">
      <alignment vertical="center"/>
    </xf>
    <xf numFmtId="39" fontId="7" fillId="2" borderId="0" xfId="0" applyNumberFormat="1" applyFont="1" applyFill="1" applyAlignment="1">
      <alignment vertical="center"/>
    </xf>
    <xf numFmtId="39" fontId="7" fillId="0" borderId="0" xfId="0" applyNumberFormat="1" applyFont="1" applyFill="1" applyAlignment="1">
      <alignment vertical="center"/>
    </xf>
    <xf numFmtId="39" fontId="11" fillId="10" borderId="1" xfId="0" applyNumberFormat="1" applyFont="1" applyFill="1" applyBorder="1" applyAlignment="1">
      <alignment horizontal="center" vertical="center"/>
    </xf>
    <xf numFmtId="0" fontId="7" fillId="10" borderId="1" xfId="2" applyFont="1" applyFill="1" applyBorder="1" applyAlignment="1">
      <alignment horizontal="center" vertical="center"/>
    </xf>
    <xf numFmtId="39" fontId="12" fillId="2" borderId="0" xfId="0" applyNumberFormat="1" applyFont="1" applyFill="1" applyAlignment="1">
      <alignment vertical="center"/>
    </xf>
    <xf numFmtId="39" fontId="7" fillId="8" borderId="1" xfId="2" applyNumberFormat="1" applyFont="1" applyFill="1" applyBorder="1" applyAlignment="1">
      <alignment horizontal="center" vertical="center"/>
    </xf>
    <xf numFmtId="39" fontId="7" fillId="8" borderId="1" xfId="2" applyNumberFormat="1" applyFont="1" applyFill="1" applyBorder="1" applyAlignment="1">
      <alignment horizontal="center"/>
    </xf>
    <xf numFmtId="0" fontId="7" fillId="8" borderId="1" xfId="2" applyFont="1" applyFill="1" applyBorder="1" applyAlignment="1">
      <alignment horizontal="center" vertical="center"/>
    </xf>
    <xf numFmtId="0" fontId="11" fillId="0" borderId="0" xfId="0" applyFont="1" applyFill="1"/>
    <xf numFmtId="164" fontId="14" fillId="0" borderId="0" xfId="0" applyNumberFormat="1" applyFont="1" applyFill="1" applyAlignment="1">
      <alignment horizontal="right" vertical="center"/>
    </xf>
    <xf numFmtId="164" fontId="14" fillId="0" borderId="0" xfId="0" applyNumberFormat="1" applyFont="1" applyFill="1"/>
    <xf numFmtId="0" fontId="7" fillId="0" borderId="7" xfId="2" applyFont="1" applyFill="1" applyBorder="1" applyAlignment="1">
      <alignment horizontal="left" vertical="center" wrapText="1"/>
    </xf>
    <xf numFmtId="0" fontId="7" fillId="0" borderId="7" xfId="2" applyFont="1" applyFill="1" applyBorder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39" fontId="3" fillId="0" borderId="0" xfId="0" applyNumberFormat="1" applyFont="1" applyFill="1" applyAlignment="1">
      <alignment horizontal="left" vertical="center"/>
    </xf>
    <xf numFmtId="0" fontId="7" fillId="11" borderId="2" xfId="2" applyFont="1" applyFill="1" applyBorder="1" applyAlignment="1">
      <alignment vertical="center"/>
    </xf>
    <xf numFmtId="0" fontId="7" fillId="11" borderId="2" xfId="2" applyFont="1" applyFill="1" applyBorder="1" applyAlignment="1">
      <alignment horizontal="center" vertical="center"/>
    </xf>
    <xf numFmtId="39" fontId="7" fillId="11" borderId="2" xfId="2" applyNumberFormat="1" applyFont="1" applyFill="1" applyBorder="1" applyAlignment="1">
      <alignment horizontal="center" vertical="center"/>
    </xf>
    <xf numFmtId="0" fontId="14" fillId="11" borderId="0" xfId="0" applyFont="1" applyFill="1" applyAlignment="1">
      <alignment horizontal="left" vertical="center"/>
    </xf>
    <xf numFmtId="0" fontId="3" fillId="11" borderId="0" xfId="0" applyFont="1" applyFill="1" applyAlignment="1">
      <alignment horizontal="left" vertical="center"/>
    </xf>
    <xf numFmtId="39" fontId="3" fillId="11" borderId="0" xfId="0" applyNumberFormat="1" applyFont="1" applyFill="1" applyAlignment="1">
      <alignment horizontal="left" vertical="center"/>
    </xf>
    <xf numFmtId="164" fontId="14" fillId="11" borderId="0" xfId="0" applyNumberFormat="1" applyFont="1" applyFill="1"/>
    <xf numFmtId="0" fontId="7" fillId="11" borderId="1" xfId="2" applyFont="1" applyFill="1" applyBorder="1" applyAlignment="1">
      <alignment horizontal="center" vertical="center"/>
    </xf>
    <xf numFmtId="39" fontId="11" fillId="11" borderId="1" xfId="0" applyNumberFormat="1" applyFont="1" applyFill="1" applyBorder="1" applyAlignment="1">
      <alignment horizontal="center" vertical="center"/>
    </xf>
    <xf numFmtId="0" fontId="13" fillId="0" borderId="0" xfId="0" applyFont="1"/>
    <xf numFmtId="39" fontId="13" fillId="0" borderId="0" xfId="0" applyNumberFormat="1" applyFont="1" applyFill="1" applyAlignment="1">
      <alignment vertical="center"/>
    </xf>
    <xf numFmtId="39" fontId="13" fillId="0" borderId="1" xfId="2" applyNumberFormat="1" applyFont="1" applyFill="1" applyBorder="1" applyAlignment="1">
      <alignment horizontal="center"/>
    </xf>
    <xf numFmtId="0" fontId="6" fillId="2" borderId="1" xfId="2" applyFont="1" applyFill="1" applyBorder="1" applyAlignment="1">
      <alignment horizontal="left" vertical="center" wrapText="1"/>
    </xf>
    <xf numFmtId="0" fontId="6" fillId="2" borderId="1" xfId="2" applyFont="1" applyFill="1" applyBorder="1" applyAlignment="1">
      <alignment horizontal="left" vertical="center"/>
    </xf>
    <xf numFmtId="0" fontId="6" fillId="0" borderId="1" xfId="2" applyFont="1" applyFill="1" applyBorder="1" applyAlignment="1">
      <alignment horizontal="left" vertical="center" wrapText="1"/>
    </xf>
    <xf numFmtId="0" fontId="6" fillId="0" borderId="1" xfId="2" applyFont="1" applyFill="1" applyBorder="1" applyAlignment="1">
      <alignment horizontal="left" vertical="center"/>
    </xf>
    <xf numFmtId="0" fontId="6" fillId="0" borderId="7" xfId="2" applyFont="1" applyFill="1" applyBorder="1" applyAlignment="1">
      <alignment horizontal="left" vertical="center" wrapText="1"/>
    </xf>
    <xf numFmtId="0" fontId="6" fillId="0" borderId="7" xfId="2" applyFont="1" applyFill="1" applyBorder="1" applyAlignment="1">
      <alignment horizontal="left" vertical="center"/>
    </xf>
    <xf numFmtId="0" fontId="6" fillId="0" borderId="2" xfId="2" applyFont="1" applyFill="1" applyBorder="1" applyAlignment="1">
      <alignment horizontal="left" vertical="center"/>
    </xf>
    <xf numFmtId="14" fontId="6" fillId="2" borderId="0" xfId="2" applyNumberFormat="1" applyFont="1" applyFill="1" applyBorder="1" applyAlignment="1">
      <alignment horizontal="left" vertical="center" wrapText="1"/>
    </xf>
  </cellXfs>
  <cellStyles count="3">
    <cellStyle name="Explanatory Text" xfId="1" builtinId="53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59"/>
  <sheetViews>
    <sheetView zoomScale="130" zoomScaleNormal="130" workbookViewId="0">
      <pane ySplit="2" topLeftCell="A30" activePane="bottomLeft" state="frozen"/>
      <selection pane="bottomLeft" activeCell="A34" sqref="A34:XFD34"/>
    </sheetView>
  </sheetViews>
  <sheetFormatPr defaultColWidth="28" defaultRowHeight="15" x14ac:dyDescent="0.25"/>
  <cols>
    <col min="1" max="1" width="33.140625" style="1" bestFit="1" customWidth="1"/>
    <col min="2" max="2" width="18.7109375" style="1" bestFit="1" customWidth="1"/>
    <col min="3" max="3" width="10.42578125" style="2" customWidth="1"/>
    <col min="4" max="4" width="8.140625" style="2" bestFit="1" customWidth="1"/>
    <col min="5" max="5" width="6.28515625" style="2" bestFit="1" customWidth="1"/>
    <col min="6" max="6" width="8.28515625" style="2" bestFit="1" customWidth="1"/>
    <col min="7" max="7" width="8.7109375" style="2" bestFit="1" customWidth="1"/>
    <col min="8" max="8" width="9.28515625" style="2" bestFit="1" customWidth="1"/>
    <col min="9" max="9" width="10.7109375" style="2" bestFit="1" customWidth="1"/>
    <col min="10" max="10" width="9.7109375" style="2" bestFit="1" customWidth="1"/>
    <col min="11" max="11" width="11.140625" style="2" customWidth="1"/>
    <col min="12" max="12" width="13.42578125" style="2" bestFit="1" customWidth="1"/>
    <col min="13" max="16384" width="28" style="1"/>
  </cols>
  <sheetData>
    <row r="1" spans="1:12" ht="11.25" customHeight="1" x14ac:dyDescent="0.25">
      <c r="A1" s="68"/>
      <c r="B1" s="67"/>
      <c r="C1" s="66"/>
      <c r="D1" s="66"/>
      <c r="E1" s="66"/>
      <c r="F1" s="66"/>
      <c r="G1" s="66"/>
      <c r="H1" s="66"/>
      <c r="I1" s="66"/>
      <c r="J1" s="66"/>
      <c r="K1" s="66"/>
      <c r="L1" s="65" t="s">
        <v>54</v>
      </c>
    </row>
    <row r="2" spans="1:12" s="61" customFormat="1" ht="34.5" x14ac:dyDescent="0.25">
      <c r="A2" s="64" t="s">
        <v>53</v>
      </c>
      <c r="B2" s="64" t="s">
        <v>52</v>
      </c>
      <c r="C2" s="63" t="s">
        <v>51</v>
      </c>
      <c r="D2" s="63" t="s">
        <v>50</v>
      </c>
      <c r="E2" s="63" t="s">
        <v>48</v>
      </c>
      <c r="F2" s="63" t="s">
        <v>49</v>
      </c>
      <c r="G2" s="63" t="s">
        <v>48</v>
      </c>
      <c r="H2" s="62" t="s">
        <v>47</v>
      </c>
      <c r="I2" s="62" t="s">
        <v>46</v>
      </c>
      <c r="J2" s="62" t="s">
        <v>45</v>
      </c>
      <c r="K2" s="62" t="s">
        <v>44</v>
      </c>
      <c r="L2" s="62" t="s">
        <v>43</v>
      </c>
    </row>
    <row r="3" spans="1:12" s="60" customFormat="1" ht="11.25" customHeight="1" x14ac:dyDescent="0.25">
      <c r="A3" s="22" t="s">
        <v>42</v>
      </c>
      <c r="B3" s="21">
        <v>55010300</v>
      </c>
      <c r="C3" s="11">
        <v>0</v>
      </c>
      <c r="D3" s="9">
        <v>0</v>
      </c>
      <c r="E3" s="9">
        <v>0</v>
      </c>
      <c r="F3" s="9">
        <v>0</v>
      </c>
      <c r="G3" s="9">
        <v>0</v>
      </c>
      <c r="H3" s="9">
        <f>D3+F3</f>
        <v>0</v>
      </c>
      <c r="I3" s="9">
        <f>E3+G3</f>
        <v>0</v>
      </c>
      <c r="J3" s="9">
        <f t="shared" ref="J3" si="0">H3+I3</f>
        <v>0</v>
      </c>
      <c r="K3" s="9">
        <f>C3-J3</f>
        <v>0</v>
      </c>
      <c r="L3" s="9">
        <f>C3-((J3/1)*26.0714285714285)</f>
        <v>0</v>
      </c>
    </row>
    <row r="4" spans="1:12" s="59" customFormat="1" ht="11.25" customHeight="1" x14ac:dyDescent="0.25">
      <c r="A4" s="22" t="s">
        <v>41</v>
      </c>
      <c r="B4" s="21">
        <v>55010500</v>
      </c>
      <c r="C4" s="11">
        <v>3229</v>
      </c>
      <c r="D4" s="10">
        <v>0</v>
      </c>
      <c r="E4" s="10">
        <v>0</v>
      </c>
      <c r="F4" s="10">
        <v>0</v>
      </c>
      <c r="G4" s="10">
        <v>0</v>
      </c>
      <c r="H4" s="9">
        <f t="shared" ref="H4:H12" si="1">D4+F4</f>
        <v>0</v>
      </c>
      <c r="I4" s="9">
        <f t="shared" ref="I4:I12" si="2">E4+G4</f>
        <v>0</v>
      </c>
      <c r="J4" s="9">
        <f t="shared" ref="J4:J12" si="3">H4+I4</f>
        <v>0</v>
      </c>
      <c r="K4" s="9">
        <f t="shared" ref="K4:K12" si="4">C4-J4</f>
        <v>3229</v>
      </c>
      <c r="L4" s="9">
        <f t="shared" ref="L4:L12" si="5">C4-((J4/1)*26.0714285714285)</f>
        <v>3229</v>
      </c>
    </row>
    <row r="5" spans="1:12" s="8" customFormat="1" ht="11.25" customHeight="1" x14ac:dyDescent="0.25">
      <c r="A5" s="58" t="s">
        <v>40</v>
      </c>
      <c r="B5" s="57">
        <v>55020200</v>
      </c>
      <c r="C5" s="56">
        <v>24649</v>
      </c>
      <c r="D5" s="55">
        <v>2524.8200000000002</v>
      </c>
      <c r="E5" s="55">
        <v>47.96</v>
      </c>
      <c r="F5" s="55">
        <v>0</v>
      </c>
      <c r="G5" s="55">
        <v>0</v>
      </c>
      <c r="H5" s="9">
        <f t="shared" si="1"/>
        <v>2524.8200000000002</v>
      </c>
      <c r="I5" s="9">
        <f t="shared" si="2"/>
        <v>47.96</v>
      </c>
      <c r="J5" s="9">
        <f t="shared" si="3"/>
        <v>2572.7800000000002</v>
      </c>
      <c r="K5" s="9">
        <f t="shared" si="4"/>
        <v>22076.22</v>
      </c>
      <c r="L5" s="9">
        <f t="shared" si="5"/>
        <v>-42427.049999999814</v>
      </c>
    </row>
    <row r="6" spans="1:12" s="8" customFormat="1" ht="11.25" customHeight="1" x14ac:dyDescent="0.25">
      <c r="A6" s="22" t="s">
        <v>39</v>
      </c>
      <c r="B6" s="21">
        <v>55020300</v>
      </c>
      <c r="C6" s="11">
        <v>17974</v>
      </c>
      <c r="D6" s="10">
        <v>0</v>
      </c>
      <c r="E6" s="10">
        <v>0</v>
      </c>
      <c r="F6" s="10">
        <v>0</v>
      </c>
      <c r="G6" s="10">
        <v>0</v>
      </c>
      <c r="H6" s="9">
        <f t="shared" si="1"/>
        <v>0</v>
      </c>
      <c r="I6" s="9">
        <f t="shared" si="2"/>
        <v>0</v>
      </c>
      <c r="J6" s="9">
        <f t="shared" si="3"/>
        <v>0</v>
      </c>
      <c r="K6" s="9">
        <f t="shared" si="4"/>
        <v>17974</v>
      </c>
      <c r="L6" s="9">
        <f t="shared" si="5"/>
        <v>17974</v>
      </c>
    </row>
    <row r="7" spans="1:12" s="8" customFormat="1" ht="11.25" customHeight="1" x14ac:dyDescent="0.25">
      <c r="A7" s="22" t="s">
        <v>38</v>
      </c>
      <c r="B7" s="21">
        <v>55020400</v>
      </c>
      <c r="C7" s="11">
        <v>17974</v>
      </c>
      <c r="D7" s="10">
        <v>0</v>
      </c>
      <c r="E7" s="10">
        <v>0</v>
      </c>
      <c r="F7" s="10">
        <v>0</v>
      </c>
      <c r="G7" s="10">
        <v>0</v>
      </c>
      <c r="H7" s="9">
        <f t="shared" si="1"/>
        <v>0</v>
      </c>
      <c r="I7" s="9">
        <f t="shared" si="2"/>
        <v>0</v>
      </c>
      <c r="J7" s="9">
        <f t="shared" si="3"/>
        <v>0</v>
      </c>
      <c r="K7" s="9">
        <f t="shared" si="4"/>
        <v>17974</v>
      </c>
      <c r="L7" s="9">
        <f t="shared" si="5"/>
        <v>17974</v>
      </c>
    </row>
    <row r="8" spans="1:12" s="8" customFormat="1" ht="11.25" customHeight="1" x14ac:dyDescent="0.25">
      <c r="A8" s="54" t="s">
        <v>37</v>
      </c>
      <c r="B8" s="21">
        <v>55030200</v>
      </c>
      <c r="C8" s="11">
        <v>24330</v>
      </c>
      <c r="D8" s="10">
        <v>264.2</v>
      </c>
      <c r="E8" s="10">
        <v>5.01</v>
      </c>
      <c r="F8" s="10">
        <v>0</v>
      </c>
      <c r="G8" s="10">
        <v>0</v>
      </c>
      <c r="H8" s="9">
        <f t="shared" si="1"/>
        <v>264.2</v>
      </c>
      <c r="I8" s="9">
        <f t="shared" si="2"/>
        <v>5.01</v>
      </c>
      <c r="J8" s="9">
        <f t="shared" si="3"/>
        <v>269.20999999999998</v>
      </c>
      <c r="K8" s="9">
        <f t="shared" si="4"/>
        <v>24060.79</v>
      </c>
      <c r="L8" s="9">
        <f t="shared" si="5"/>
        <v>17311.310714285733</v>
      </c>
    </row>
    <row r="9" spans="1:12" s="8" customFormat="1" ht="11.25" customHeight="1" x14ac:dyDescent="0.25">
      <c r="A9" s="22" t="s">
        <v>36</v>
      </c>
      <c r="B9" s="21">
        <v>55050200</v>
      </c>
      <c r="C9" s="11">
        <v>34000</v>
      </c>
      <c r="D9" s="10">
        <v>593.94000000000005</v>
      </c>
      <c r="E9" s="10">
        <v>11.28</v>
      </c>
      <c r="F9" s="10">
        <v>0</v>
      </c>
      <c r="G9" s="10">
        <v>0</v>
      </c>
      <c r="H9" s="9">
        <f t="shared" si="1"/>
        <v>593.94000000000005</v>
      </c>
      <c r="I9" s="9">
        <f t="shared" si="2"/>
        <v>11.28</v>
      </c>
      <c r="J9" s="9">
        <f t="shared" si="3"/>
        <v>605.22</v>
      </c>
      <c r="K9" s="9">
        <f t="shared" si="4"/>
        <v>33394.78</v>
      </c>
      <c r="L9" s="9">
        <f t="shared" si="5"/>
        <v>18221.050000000043</v>
      </c>
    </row>
    <row r="10" spans="1:12" s="23" customFormat="1" ht="11.25" customHeight="1" x14ac:dyDescent="0.25">
      <c r="A10" s="22" t="s">
        <v>35</v>
      </c>
      <c r="B10" s="21">
        <v>55070100</v>
      </c>
      <c r="C10" s="11">
        <v>42741</v>
      </c>
      <c r="D10" s="10">
        <v>648.15</v>
      </c>
      <c r="E10" s="10">
        <v>12.31</v>
      </c>
      <c r="F10" s="10">
        <v>0</v>
      </c>
      <c r="G10" s="10">
        <v>0</v>
      </c>
      <c r="H10" s="9">
        <f t="shared" si="1"/>
        <v>648.15</v>
      </c>
      <c r="I10" s="9">
        <f t="shared" si="2"/>
        <v>12.31</v>
      </c>
      <c r="J10" s="9">
        <f t="shared" si="3"/>
        <v>660.45999999999992</v>
      </c>
      <c r="K10" s="9">
        <f t="shared" si="4"/>
        <v>42080.54</v>
      </c>
      <c r="L10" s="9">
        <f t="shared" si="5"/>
        <v>25521.864285714335</v>
      </c>
    </row>
    <row r="11" spans="1:12" s="8" customFormat="1" ht="11.25" customHeight="1" x14ac:dyDescent="0.25">
      <c r="A11" s="22" t="s">
        <v>34</v>
      </c>
      <c r="B11" s="21">
        <v>55080100</v>
      </c>
      <c r="C11" s="11">
        <v>23173</v>
      </c>
      <c r="D11" s="10">
        <v>126.87</v>
      </c>
      <c r="E11" s="10">
        <v>2.41</v>
      </c>
      <c r="F11" s="10">
        <v>0</v>
      </c>
      <c r="G11" s="10">
        <v>0</v>
      </c>
      <c r="H11" s="9">
        <f t="shared" si="1"/>
        <v>126.87</v>
      </c>
      <c r="I11" s="9">
        <f t="shared" si="2"/>
        <v>2.41</v>
      </c>
      <c r="J11" s="9">
        <f t="shared" si="3"/>
        <v>129.28</v>
      </c>
      <c r="K11" s="9">
        <f t="shared" si="4"/>
        <v>23043.72</v>
      </c>
      <c r="L11" s="9">
        <f t="shared" si="5"/>
        <v>19802.485714285722</v>
      </c>
    </row>
    <row r="12" spans="1:12" s="44" customFormat="1" ht="11.25" customHeight="1" x14ac:dyDescent="0.25">
      <c r="A12" s="53" t="s">
        <v>33</v>
      </c>
      <c r="B12" s="12">
        <v>55190000</v>
      </c>
      <c r="C12" s="11">
        <v>6000</v>
      </c>
      <c r="D12" s="10"/>
      <c r="E12" s="10"/>
      <c r="F12" s="10"/>
      <c r="G12" s="10"/>
      <c r="H12" s="9">
        <f t="shared" si="1"/>
        <v>0</v>
      </c>
      <c r="I12" s="9">
        <f t="shared" si="2"/>
        <v>0</v>
      </c>
      <c r="J12" s="9">
        <f t="shared" si="3"/>
        <v>0</v>
      </c>
      <c r="K12" s="9">
        <f t="shared" si="4"/>
        <v>6000</v>
      </c>
      <c r="L12" s="9">
        <f t="shared" si="5"/>
        <v>6000</v>
      </c>
    </row>
    <row r="13" spans="1:12" ht="21.6" customHeight="1" thickBot="1" x14ac:dyDescent="0.3">
      <c r="A13" s="155" t="s">
        <v>32</v>
      </c>
      <c r="B13" s="156"/>
      <c r="C13" s="49">
        <f t="shared" ref="C13:L13" si="6">SUM(C3:C12)</f>
        <v>194070</v>
      </c>
      <c r="D13" s="7">
        <f t="shared" si="6"/>
        <v>4157.9800000000005</v>
      </c>
      <c r="E13" s="7">
        <f t="shared" si="6"/>
        <v>78.97</v>
      </c>
      <c r="F13" s="7">
        <f t="shared" si="6"/>
        <v>0</v>
      </c>
      <c r="G13" s="7">
        <f t="shared" si="6"/>
        <v>0</v>
      </c>
      <c r="H13" s="7">
        <f t="shared" si="6"/>
        <v>4157.9800000000005</v>
      </c>
      <c r="I13" s="7">
        <f t="shared" si="6"/>
        <v>78.97</v>
      </c>
      <c r="J13" s="49">
        <f t="shared" si="6"/>
        <v>4236.95</v>
      </c>
      <c r="K13" s="49">
        <f t="shared" si="6"/>
        <v>189833.05000000002</v>
      </c>
      <c r="L13" s="7">
        <f t="shared" si="6"/>
        <v>83606.660714286016</v>
      </c>
    </row>
    <row r="14" spans="1:12" ht="11.25" customHeight="1" x14ac:dyDescent="0.25">
      <c r="A14" s="52"/>
      <c r="B14" s="41"/>
      <c r="C14" s="40"/>
      <c r="D14" s="40"/>
      <c r="E14" s="40"/>
      <c r="F14" s="40"/>
      <c r="G14" s="40"/>
      <c r="H14" s="39"/>
      <c r="I14" s="39"/>
      <c r="J14" s="39"/>
      <c r="K14" s="39"/>
      <c r="L14" s="51"/>
    </row>
    <row r="15" spans="1:12" ht="11.25" customHeight="1" thickBot="1" x14ac:dyDescent="0.3">
      <c r="A15" s="38"/>
      <c r="B15" s="37"/>
      <c r="C15" s="36"/>
      <c r="D15" s="36"/>
      <c r="E15" s="36"/>
      <c r="F15" s="36"/>
      <c r="G15" s="36"/>
      <c r="H15" s="35"/>
      <c r="I15" s="35"/>
      <c r="J15" s="35"/>
      <c r="K15" s="35"/>
      <c r="L15" s="50"/>
    </row>
    <row r="16" spans="1:12" s="8" customFormat="1" ht="11.45" customHeight="1" x14ac:dyDescent="0.25">
      <c r="A16" s="13" t="s">
        <v>31</v>
      </c>
      <c r="B16" s="12">
        <v>55090100</v>
      </c>
      <c r="C16" s="11">
        <v>26923</v>
      </c>
      <c r="D16" s="10">
        <v>0</v>
      </c>
      <c r="E16" s="10">
        <v>0</v>
      </c>
      <c r="F16" s="10">
        <v>0</v>
      </c>
      <c r="G16" s="10">
        <v>0</v>
      </c>
      <c r="H16" s="9">
        <f>D16+F16</f>
        <v>0</v>
      </c>
      <c r="I16" s="9">
        <f>E16+G16</f>
        <v>0</v>
      </c>
      <c r="J16" s="9">
        <f t="shared" ref="J16" si="7">H16+I16</f>
        <v>0</v>
      </c>
      <c r="K16" s="9">
        <f>C16-J16</f>
        <v>26923</v>
      </c>
      <c r="L16" s="9">
        <f>C16-((J16/1)*26.0714285714285)</f>
        <v>26923</v>
      </c>
    </row>
    <row r="17" spans="1:13" s="8" customFormat="1" ht="11.45" customHeight="1" x14ac:dyDescent="0.25">
      <c r="A17" s="22" t="s">
        <v>30</v>
      </c>
      <c r="B17" s="21">
        <v>55160100</v>
      </c>
      <c r="C17" s="11">
        <v>16062</v>
      </c>
      <c r="D17" s="9">
        <v>0</v>
      </c>
      <c r="E17" s="9">
        <v>0</v>
      </c>
      <c r="F17" s="10">
        <v>0</v>
      </c>
      <c r="G17" s="10">
        <v>0</v>
      </c>
      <c r="H17" s="9">
        <f t="shared" ref="H17:H18" si="8">D17+F17</f>
        <v>0</v>
      </c>
      <c r="I17" s="9">
        <f t="shared" ref="I17:I18" si="9">E17+G17</f>
        <v>0</v>
      </c>
      <c r="J17" s="9">
        <f t="shared" ref="J17:J18" si="10">H17+I17</f>
        <v>0</v>
      </c>
      <c r="K17" s="9">
        <f t="shared" ref="K17:K18" si="11">C17-J17</f>
        <v>16062</v>
      </c>
      <c r="L17" s="9">
        <f t="shared" ref="L17:L18" si="12">C17-((J17/1)*26.0714285714285)</f>
        <v>16062</v>
      </c>
    </row>
    <row r="18" spans="1:13" s="8" customFormat="1" ht="11.45" customHeight="1" x14ac:dyDescent="0.25">
      <c r="A18" s="13" t="s">
        <v>29</v>
      </c>
      <c r="B18" s="12">
        <v>55100100</v>
      </c>
      <c r="C18" s="11">
        <v>2026</v>
      </c>
      <c r="D18" s="10">
        <v>50.5</v>
      </c>
      <c r="E18" s="10">
        <v>9.5000000000000001E-2</v>
      </c>
      <c r="F18" s="10">
        <v>0</v>
      </c>
      <c r="G18" s="10">
        <v>0</v>
      </c>
      <c r="H18" s="9">
        <f t="shared" si="8"/>
        <v>50.5</v>
      </c>
      <c r="I18" s="9">
        <f t="shared" si="9"/>
        <v>9.5000000000000001E-2</v>
      </c>
      <c r="J18" s="9">
        <f t="shared" si="10"/>
        <v>50.594999999999999</v>
      </c>
      <c r="K18" s="9">
        <f t="shared" si="11"/>
        <v>1975.405</v>
      </c>
      <c r="L18" s="9">
        <f t="shared" si="12"/>
        <v>706.91607142857515</v>
      </c>
    </row>
    <row r="19" spans="1:13" ht="21.6" customHeight="1" thickBot="1" x14ac:dyDescent="0.3">
      <c r="A19" s="155" t="s">
        <v>28</v>
      </c>
      <c r="B19" s="156"/>
      <c r="C19" s="7">
        <f t="shared" ref="C19:L19" si="13">SUM(C16:C18)</f>
        <v>45011</v>
      </c>
      <c r="D19" s="7">
        <f t="shared" si="13"/>
        <v>50.5</v>
      </c>
      <c r="E19" s="7">
        <f t="shared" si="13"/>
        <v>9.5000000000000001E-2</v>
      </c>
      <c r="F19" s="7">
        <f t="shared" si="13"/>
        <v>0</v>
      </c>
      <c r="G19" s="7">
        <f t="shared" si="13"/>
        <v>0</v>
      </c>
      <c r="H19" s="7">
        <f t="shared" si="13"/>
        <v>50.5</v>
      </c>
      <c r="I19" s="7">
        <f t="shared" si="13"/>
        <v>9.5000000000000001E-2</v>
      </c>
      <c r="J19" s="49">
        <f t="shared" si="13"/>
        <v>50.594999999999999</v>
      </c>
      <c r="K19" s="7">
        <f t="shared" si="13"/>
        <v>44960.404999999999</v>
      </c>
      <c r="L19" s="7">
        <f t="shared" si="13"/>
        <v>43691.916071428575</v>
      </c>
    </row>
    <row r="20" spans="1:13" ht="11.25" customHeight="1" x14ac:dyDescent="0.25">
      <c r="A20" s="42"/>
      <c r="B20" s="41"/>
      <c r="C20" s="40"/>
      <c r="D20" s="39"/>
      <c r="E20" s="39"/>
      <c r="F20" s="39"/>
      <c r="G20" s="39"/>
      <c r="H20" s="39"/>
      <c r="I20" s="39"/>
      <c r="J20" s="39"/>
      <c r="K20" s="39"/>
      <c r="L20" s="51"/>
    </row>
    <row r="21" spans="1:13" ht="11.25" customHeight="1" thickBot="1" x14ac:dyDescent="0.3">
      <c r="A21" s="38"/>
      <c r="B21" s="37"/>
      <c r="C21" s="36"/>
      <c r="D21" s="35"/>
      <c r="E21" s="35"/>
      <c r="F21" s="35"/>
      <c r="G21" s="35"/>
      <c r="H21" s="35"/>
      <c r="I21" s="35"/>
      <c r="J21" s="35"/>
      <c r="K21" s="35"/>
      <c r="L21" s="50"/>
    </row>
    <row r="22" spans="1:13" s="44" customFormat="1" ht="11.45" customHeight="1" x14ac:dyDescent="0.25">
      <c r="A22" s="13" t="s">
        <v>27</v>
      </c>
      <c r="B22" s="12">
        <v>55200000</v>
      </c>
      <c r="C22" s="11">
        <v>25000</v>
      </c>
      <c r="D22" s="10">
        <v>678.75</v>
      </c>
      <c r="E22" s="10">
        <v>12.88</v>
      </c>
      <c r="F22" s="10">
        <v>0</v>
      </c>
      <c r="G22" s="10">
        <v>0</v>
      </c>
      <c r="H22" s="9">
        <f>D22+F22</f>
        <v>678.75</v>
      </c>
      <c r="I22" s="9">
        <f>E22+G22</f>
        <v>12.88</v>
      </c>
      <c r="J22" s="9">
        <f t="shared" ref="J22" si="14">H22+I22</f>
        <v>691.63</v>
      </c>
      <c r="K22" s="9">
        <f>C22-J22</f>
        <v>24308.37</v>
      </c>
      <c r="L22" s="9">
        <f>C22-((J22/1)*26.0714285714285)</f>
        <v>6968.2178571429067</v>
      </c>
      <c r="M22" s="31"/>
    </row>
    <row r="23" spans="1:13" s="44" customFormat="1" ht="11.45" customHeight="1" x14ac:dyDescent="0.25">
      <c r="A23" s="13" t="s">
        <v>26</v>
      </c>
      <c r="B23" s="48" t="s">
        <v>25</v>
      </c>
      <c r="C23" s="72"/>
      <c r="D23" s="45">
        <v>167.58</v>
      </c>
      <c r="E23" s="45">
        <v>3.18</v>
      </c>
      <c r="F23" s="45">
        <v>0</v>
      </c>
      <c r="G23" s="45">
        <v>0</v>
      </c>
      <c r="H23" s="9">
        <f t="shared" ref="H23:H24" si="15">D23+F23</f>
        <v>167.58</v>
      </c>
      <c r="I23" s="9">
        <f t="shared" ref="I23:I24" si="16">E23+G23</f>
        <v>3.18</v>
      </c>
      <c r="J23" s="9">
        <f t="shared" ref="J23:J24" si="17">H23+I23</f>
        <v>170.76000000000002</v>
      </c>
      <c r="K23" s="9">
        <f t="shared" ref="K23:K24" si="18">C23-J23</f>
        <v>-170.76000000000002</v>
      </c>
      <c r="L23" s="9">
        <f t="shared" ref="L23:L24" si="19">C23-((J23/1)*26.0714285714285)</f>
        <v>-4451.9571428571307</v>
      </c>
    </row>
    <row r="24" spans="1:13" s="44" customFormat="1" ht="10.9" customHeight="1" x14ac:dyDescent="0.25">
      <c r="A24" s="28" t="s">
        <v>24</v>
      </c>
      <c r="B24" s="47" t="s">
        <v>23</v>
      </c>
      <c r="C24" s="46"/>
      <c r="D24" s="45">
        <v>0</v>
      </c>
      <c r="E24" s="45">
        <v>0</v>
      </c>
      <c r="F24" s="45">
        <v>0</v>
      </c>
      <c r="G24" s="45">
        <v>0</v>
      </c>
      <c r="H24" s="9">
        <f t="shared" si="15"/>
        <v>0</v>
      </c>
      <c r="I24" s="9">
        <f t="shared" si="16"/>
        <v>0</v>
      </c>
      <c r="J24" s="9">
        <f t="shared" si="17"/>
        <v>0</v>
      </c>
      <c r="K24" s="9">
        <f t="shared" si="18"/>
        <v>0</v>
      </c>
      <c r="L24" s="9">
        <f t="shared" si="19"/>
        <v>0</v>
      </c>
    </row>
    <row r="25" spans="1:13" ht="24.75" customHeight="1" thickBot="1" x14ac:dyDescent="0.3">
      <c r="A25" s="157" t="s">
        <v>22</v>
      </c>
      <c r="B25" s="158"/>
      <c r="C25" s="43">
        <f>SUM(C22:C23)</f>
        <v>25000</v>
      </c>
      <c r="D25" s="43">
        <f t="shared" ref="D25:L25" si="20">SUM(D22:D24)</f>
        <v>846.33</v>
      </c>
      <c r="E25" s="43">
        <f t="shared" si="20"/>
        <v>16.060000000000002</v>
      </c>
      <c r="F25" s="43">
        <f t="shared" si="20"/>
        <v>0</v>
      </c>
      <c r="G25" s="43">
        <f t="shared" si="20"/>
        <v>0</v>
      </c>
      <c r="H25" s="43">
        <f t="shared" si="20"/>
        <v>846.33</v>
      </c>
      <c r="I25" s="43">
        <f t="shared" si="20"/>
        <v>16.060000000000002</v>
      </c>
      <c r="J25" s="43">
        <f t="shared" si="20"/>
        <v>862.39</v>
      </c>
      <c r="K25" s="43">
        <f t="shared" si="20"/>
        <v>24137.61</v>
      </c>
      <c r="L25" s="34">
        <f t="shared" si="20"/>
        <v>2516.260714285776</v>
      </c>
    </row>
    <row r="26" spans="1:13" ht="11.25" customHeight="1" x14ac:dyDescent="0.25">
      <c r="A26" s="42"/>
      <c r="B26" s="41"/>
      <c r="C26" s="40"/>
      <c r="D26" s="40"/>
      <c r="E26" s="40"/>
      <c r="F26" s="40"/>
      <c r="G26" s="40"/>
      <c r="H26" s="39"/>
      <c r="I26" s="39"/>
      <c r="J26" s="39"/>
      <c r="K26" s="39"/>
      <c r="L26" s="39"/>
    </row>
    <row r="27" spans="1:13" ht="11.25" customHeight="1" thickBot="1" x14ac:dyDescent="0.3">
      <c r="A27" s="38"/>
      <c r="B27" s="37"/>
      <c r="C27" s="36"/>
      <c r="D27" s="36"/>
      <c r="E27" s="36"/>
      <c r="F27" s="36"/>
      <c r="G27" s="36"/>
      <c r="H27" s="35"/>
      <c r="I27" s="35"/>
      <c r="J27" s="35"/>
      <c r="K27" s="35"/>
      <c r="L27" s="35"/>
    </row>
    <row r="28" spans="1:13" ht="21.6" customHeight="1" x14ac:dyDescent="0.25">
      <c r="A28" s="159" t="s">
        <v>21</v>
      </c>
      <c r="B28" s="159"/>
      <c r="C28" s="34">
        <f t="shared" ref="C28:L28" si="21">C13+C19+C25</f>
        <v>264081</v>
      </c>
      <c r="D28" s="34">
        <f t="shared" si="21"/>
        <v>5054.8100000000004</v>
      </c>
      <c r="E28" s="34">
        <f t="shared" si="21"/>
        <v>95.125</v>
      </c>
      <c r="F28" s="34">
        <f t="shared" si="21"/>
        <v>0</v>
      </c>
      <c r="G28" s="34">
        <f t="shared" si="21"/>
        <v>0</v>
      </c>
      <c r="H28" s="34">
        <f t="shared" si="21"/>
        <v>5054.8100000000004</v>
      </c>
      <c r="I28" s="34">
        <f t="shared" si="21"/>
        <v>95.125</v>
      </c>
      <c r="J28" s="34">
        <f t="shared" si="21"/>
        <v>5149.9350000000004</v>
      </c>
      <c r="K28" s="34">
        <f t="shared" si="21"/>
        <v>258931.065</v>
      </c>
      <c r="L28" s="34">
        <f t="shared" si="21"/>
        <v>129814.83750000037</v>
      </c>
    </row>
    <row r="29" spans="1:13" ht="10.9" customHeight="1" x14ac:dyDescent="0.25">
      <c r="A29" s="17"/>
      <c r="B29" s="16"/>
      <c r="C29" s="14"/>
      <c r="D29" s="15"/>
      <c r="E29" s="15"/>
      <c r="F29" s="15"/>
      <c r="G29" s="15"/>
      <c r="H29" s="14"/>
      <c r="I29" s="14"/>
      <c r="J29" s="14"/>
      <c r="K29" s="14"/>
      <c r="L29" s="14"/>
    </row>
    <row r="30" spans="1:13" ht="11.25" customHeight="1" x14ac:dyDescent="0.25">
      <c r="A30" s="17"/>
      <c r="B30" s="16"/>
      <c r="C30" s="14"/>
      <c r="D30" s="15"/>
      <c r="E30" s="15"/>
      <c r="F30" s="15"/>
      <c r="G30" s="15"/>
      <c r="H30" s="14"/>
      <c r="I30" s="14"/>
      <c r="J30" s="14"/>
      <c r="K30" s="14"/>
      <c r="L30" s="14"/>
    </row>
    <row r="31" spans="1:13" s="30" customFormat="1" ht="11.25" customHeight="1" x14ac:dyDescent="0.25">
      <c r="A31" s="28" t="s">
        <v>20</v>
      </c>
      <c r="B31" s="27" t="s">
        <v>19</v>
      </c>
      <c r="C31" s="9"/>
      <c r="D31" s="10">
        <v>0</v>
      </c>
      <c r="E31" s="10">
        <v>0</v>
      </c>
      <c r="F31" s="10">
        <v>0</v>
      </c>
      <c r="G31" s="10">
        <v>0</v>
      </c>
      <c r="H31" s="9">
        <f>D31+F31</f>
        <v>0</v>
      </c>
      <c r="I31" s="9">
        <f>E31+G31</f>
        <v>0</v>
      </c>
      <c r="J31" s="9">
        <f t="shared" ref="J31" si="22">H31+I31</f>
        <v>0</v>
      </c>
      <c r="K31" s="9">
        <f>C31-J31</f>
        <v>0</v>
      </c>
      <c r="L31" s="9">
        <f>C31-((J31/1)*26.0714285714285)</f>
        <v>0</v>
      </c>
    </row>
    <row r="32" spans="1:13" s="30" customFormat="1" ht="12" customHeight="1" x14ac:dyDescent="0.25">
      <c r="A32" s="32" t="s">
        <v>123</v>
      </c>
      <c r="B32" s="33" t="s">
        <v>55</v>
      </c>
      <c r="C32" s="9">
        <v>2795.22</v>
      </c>
      <c r="D32" s="10">
        <v>0</v>
      </c>
      <c r="E32" s="10">
        <v>0</v>
      </c>
      <c r="F32" s="10">
        <v>0</v>
      </c>
      <c r="G32" s="10">
        <v>0</v>
      </c>
      <c r="H32" s="9">
        <f>D32+F32</f>
        <v>0</v>
      </c>
      <c r="I32" s="9">
        <f>E32+G32</f>
        <v>0</v>
      </c>
      <c r="J32" s="9">
        <f t="shared" ref="J32" si="23">H32+I32</f>
        <v>0</v>
      </c>
      <c r="K32" s="9">
        <f>C32-J32</f>
        <v>2795.22</v>
      </c>
      <c r="L32" s="9">
        <f>C32-((J32/1)*26.0714285714285)</f>
        <v>2795.22</v>
      </c>
    </row>
    <row r="33" spans="1:13" s="30" customFormat="1" ht="11.25" hidden="1" customHeight="1" x14ac:dyDescent="0.25">
      <c r="A33" s="32" t="s">
        <v>18</v>
      </c>
      <c r="B33" s="27" t="s">
        <v>17</v>
      </c>
      <c r="C33" s="69"/>
      <c r="D33" s="10">
        <v>368</v>
      </c>
      <c r="E33" s="10">
        <v>6.99</v>
      </c>
      <c r="F33" s="10">
        <v>204</v>
      </c>
      <c r="G33" s="10">
        <v>10.6</v>
      </c>
      <c r="H33" s="9">
        <f t="shared" ref="H33:H41" si="24">D33+F33</f>
        <v>572</v>
      </c>
      <c r="I33" s="9">
        <f t="shared" ref="I33:I41" si="25">E33+G33</f>
        <v>17.59</v>
      </c>
      <c r="J33" s="9">
        <f t="shared" ref="J33:J41" si="26">H33+I33</f>
        <v>589.59</v>
      </c>
      <c r="K33" s="9">
        <f t="shared" ref="K33:K41" si="27">C33-J33</f>
        <v>-589.59</v>
      </c>
      <c r="L33" s="9">
        <f t="shared" ref="L33:L41" si="28">C33-((J33/1)*26.0714285714285)</f>
        <v>-15371.453571428528</v>
      </c>
      <c r="M33" s="31"/>
    </row>
    <row r="34" spans="1:13" s="26" customFormat="1" ht="11.25" hidden="1" customHeight="1" x14ac:dyDescent="0.25">
      <c r="A34" s="28" t="s">
        <v>16</v>
      </c>
      <c r="B34" s="29" t="s">
        <v>15</v>
      </c>
      <c r="C34" s="9"/>
      <c r="D34" s="9">
        <v>0</v>
      </c>
      <c r="E34" s="9">
        <v>0</v>
      </c>
      <c r="F34" s="9">
        <v>0</v>
      </c>
      <c r="G34" s="9">
        <v>0</v>
      </c>
      <c r="H34" s="9">
        <f t="shared" si="24"/>
        <v>0</v>
      </c>
      <c r="I34" s="9">
        <f t="shared" si="25"/>
        <v>0</v>
      </c>
      <c r="J34" s="9">
        <f t="shared" si="26"/>
        <v>0</v>
      </c>
      <c r="K34" s="9">
        <f t="shared" si="27"/>
        <v>0</v>
      </c>
      <c r="L34" s="9">
        <f t="shared" si="28"/>
        <v>0</v>
      </c>
    </row>
    <row r="35" spans="1:13" s="26" customFormat="1" ht="11.25" customHeight="1" x14ac:dyDescent="0.25">
      <c r="A35" s="28" t="s">
        <v>14</v>
      </c>
      <c r="B35" s="29" t="s">
        <v>13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f t="shared" si="24"/>
        <v>0</v>
      </c>
      <c r="I35" s="9">
        <f t="shared" si="25"/>
        <v>0</v>
      </c>
      <c r="J35" s="9">
        <f t="shared" si="26"/>
        <v>0</v>
      </c>
      <c r="K35" s="9">
        <f t="shared" si="27"/>
        <v>0</v>
      </c>
      <c r="L35" s="9">
        <f t="shared" si="28"/>
        <v>0</v>
      </c>
      <c r="M35" s="23"/>
    </row>
    <row r="36" spans="1:13" s="26" customFormat="1" ht="11.25" customHeight="1" x14ac:dyDescent="0.25">
      <c r="A36" s="28" t="s">
        <v>12</v>
      </c>
      <c r="B36" s="29">
        <v>55110000</v>
      </c>
      <c r="C36" s="9">
        <v>2659</v>
      </c>
      <c r="D36" s="9">
        <v>0</v>
      </c>
      <c r="E36" s="9">
        <v>0</v>
      </c>
      <c r="F36" s="9">
        <v>0</v>
      </c>
      <c r="G36" s="9">
        <v>0</v>
      </c>
      <c r="H36" s="9">
        <f t="shared" si="24"/>
        <v>0</v>
      </c>
      <c r="I36" s="9">
        <f t="shared" si="25"/>
        <v>0</v>
      </c>
      <c r="J36" s="9">
        <f t="shared" si="26"/>
        <v>0</v>
      </c>
      <c r="K36" s="9">
        <f t="shared" si="27"/>
        <v>2659</v>
      </c>
      <c r="L36" s="9">
        <f t="shared" si="28"/>
        <v>2659</v>
      </c>
      <c r="M36" s="23"/>
    </row>
    <row r="37" spans="1:13" s="26" customFormat="1" ht="11.45" customHeight="1" x14ac:dyDescent="0.25">
      <c r="A37" s="28" t="s">
        <v>11</v>
      </c>
      <c r="B37" s="27" t="s">
        <v>10</v>
      </c>
      <c r="C37" s="11"/>
      <c r="D37" s="10">
        <v>0</v>
      </c>
      <c r="E37" s="10">
        <v>0</v>
      </c>
      <c r="F37" s="10">
        <v>0</v>
      </c>
      <c r="G37" s="10">
        <v>0</v>
      </c>
      <c r="H37" s="9">
        <f t="shared" si="24"/>
        <v>0</v>
      </c>
      <c r="I37" s="9">
        <f t="shared" si="25"/>
        <v>0</v>
      </c>
      <c r="J37" s="9">
        <f t="shared" si="26"/>
        <v>0</v>
      </c>
      <c r="K37" s="9">
        <f t="shared" si="27"/>
        <v>0</v>
      </c>
      <c r="L37" s="9">
        <f t="shared" si="28"/>
        <v>0</v>
      </c>
    </row>
    <row r="38" spans="1:13" s="23" customFormat="1" ht="11.45" customHeight="1" x14ac:dyDescent="0.25">
      <c r="A38" s="25" t="s">
        <v>61</v>
      </c>
      <c r="B38" s="24" t="s">
        <v>62</v>
      </c>
      <c r="C38" s="71"/>
      <c r="D38" s="9">
        <v>0</v>
      </c>
      <c r="E38" s="9">
        <v>0</v>
      </c>
      <c r="F38" s="9">
        <v>139.5</v>
      </c>
      <c r="G38" s="9">
        <v>7.25</v>
      </c>
      <c r="H38" s="9">
        <f t="shared" ref="H38:I40" si="29">D38+F38</f>
        <v>139.5</v>
      </c>
      <c r="I38" s="9">
        <f t="shared" si="29"/>
        <v>7.25</v>
      </c>
      <c r="J38" s="9">
        <f>H38+I38</f>
        <v>146.75</v>
      </c>
      <c r="K38" s="9">
        <f>C38-J38</f>
        <v>-146.75</v>
      </c>
      <c r="L38" s="9">
        <f>C38-((J38/1)*26.0714285714285)</f>
        <v>-3825.9821428571322</v>
      </c>
    </row>
    <row r="39" spans="1:13" s="23" customFormat="1" ht="11.45" customHeight="1" x14ac:dyDescent="0.25">
      <c r="A39" s="25" t="s">
        <v>59</v>
      </c>
      <c r="B39" s="24" t="s">
        <v>60</v>
      </c>
      <c r="C39" s="71"/>
      <c r="D39" s="9">
        <v>30</v>
      </c>
      <c r="E39" s="9">
        <v>0.56999999999999995</v>
      </c>
      <c r="F39" s="9">
        <v>0</v>
      </c>
      <c r="G39" s="9">
        <v>0</v>
      </c>
      <c r="H39" s="9">
        <f t="shared" si="29"/>
        <v>30</v>
      </c>
      <c r="I39" s="9">
        <f t="shared" si="29"/>
        <v>0.56999999999999995</v>
      </c>
      <c r="J39" s="9">
        <f>H39+I39</f>
        <v>30.57</v>
      </c>
      <c r="K39" s="9">
        <f>C39-J39</f>
        <v>-30.57</v>
      </c>
      <c r="L39" s="9">
        <f>C39-((J39/1)*26.0714285714285)</f>
        <v>-797.00357142856922</v>
      </c>
    </row>
    <row r="40" spans="1:13" s="23" customFormat="1" ht="11.45" customHeight="1" x14ac:dyDescent="0.25">
      <c r="A40" s="25" t="s">
        <v>7</v>
      </c>
      <c r="B40" s="24" t="s">
        <v>6</v>
      </c>
      <c r="C40" s="11"/>
      <c r="D40" s="9">
        <v>0</v>
      </c>
      <c r="E40" s="9">
        <v>0</v>
      </c>
      <c r="F40" s="9">
        <v>0</v>
      </c>
      <c r="G40" s="9">
        <v>0</v>
      </c>
      <c r="H40" s="9">
        <f t="shared" si="29"/>
        <v>0</v>
      </c>
      <c r="I40" s="9">
        <f t="shared" si="29"/>
        <v>0</v>
      </c>
      <c r="J40" s="9">
        <f>H40+I40</f>
        <v>0</v>
      </c>
      <c r="K40" s="9">
        <f>C40-J40</f>
        <v>0</v>
      </c>
      <c r="L40" s="9">
        <f>C40-((J40/1)*26.0714285714285)</f>
        <v>0</v>
      </c>
    </row>
    <row r="41" spans="1:13" s="23" customFormat="1" ht="11.45" customHeight="1" x14ac:dyDescent="0.25">
      <c r="A41" s="25" t="s">
        <v>9</v>
      </c>
      <c r="B41" s="24" t="s">
        <v>8</v>
      </c>
      <c r="C41" s="11"/>
      <c r="D41" s="10">
        <v>0</v>
      </c>
      <c r="E41" s="10">
        <v>0</v>
      </c>
      <c r="F41" s="10">
        <v>0</v>
      </c>
      <c r="G41" s="10">
        <v>0</v>
      </c>
      <c r="H41" s="9">
        <f t="shared" si="24"/>
        <v>0</v>
      </c>
      <c r="I41" s="9">
        <f t="shared" si="25"/>
        <v>0</v>
      </c>
      <c r="J41" s="9">
        <f t="shared" si="26"/>
        <v>0</v>
      </c>
      <c r="K41" s="9">
        <f t="shared" si="27"/>
        <v>0</v>
      </c>
      <c r="L41" s="9">
        <f t="shared" si="28"/>
        <v>0</v>
      </c>
    </row>
    <row r="42" spans="1:13" s="23" customFormat="1" ht="11.45" customHeight="1" x14ac:dyDescent="0.25">
      <c r="A42" s="25" t="s">
        <v>63</v>
      </c>
      <c r="B42" s="24" t="s">
        <v>66</v>
      </c>
      <c r="C42" s="71"/>
      <c r="D42" s="10">
        <v>0</v>
      </c>
      <c r="E42" s="10">
        <v>0</v>
      </c>
      <c r="F42" s="10">
        <v>224</v>
      </c>
      <c r="G42" s="10">
        <v>11.64</v>
      </c>
      <c r="H42" s="9">
        <f t="shared" ref="H42" si="30">D42+F42</f>
        <v>224</v>
      </c>
      <c r="I42" s="9">
        <f t="shared" ref="I42" si="31">E42+G42</f>
        <v>11.64</v>
      </c>
      <c r="J42" s="9">
        <f t="shared" ref="J42" si="32">H42+I42</f>
        <v>235.64</v>
      </c>
      <c r="K42" s="9">
        <f t="shared" ref="K42" si="33">C42-J42</f>
        <v>-235.64</v>
      </c>
      <c r="L42" s="9">
        <f t="shared" ref="L42" si="34">C42-((J42/1)*26.0714285714285)</f>
        <v>-6143.4714285714108</v>
      </c>
    </row>
    <row r="43" spans="1:13" s="23" customFormat="1" ht="11.45" hidden="1" customHeight="1" x14ac:dyDescent="0.25">
      <c r="A43" s="25" t="s">
        <v>64</v>
      </c>
      <c r="B43" s="24" t="s">
        <v>65</v>
      </c>
      <c r="C43" s="71"/>
      <c r="D43" s="10">
        <v>0</v>
      </c>
      <c r="E43" s="10">
        <v>0</v>
      </c>
      <c r="F43" s="10">
        <v>720</v>
      </c>
      <c r="G43" s="10">
        <v>37.44</v>
      </c>
      <c r="H43" s="9">
        <f t="shared" ref="H43" si="35">D43+F43</f>
        <v>720</v>
      </c>
      <c r="I43" s="9">
        <f t="shared" ref="I43" si="36">E43+G43</f>
        <v>37.44</v>
      </c>
      <c r="J43" s="9">
        <f t="shared" ref="J43" si="37">H43+I43</f>
        <v>757.44</v>
      </c>
      <c r="K43" s="9">
        <f t="shared" ref="K43" si="38">C43-J43</f>
        <v>-757.44</v>
      </c>
      <c r="L43" s="9">
        <f t="shared" ref="L43" si="39">C43-((J43/1)*26.0714285714285)</f>
        <v>-19747.542857142802</v>
      </c>
    </row>
    <row r="44" spans="1:13" ht="11.25" customHeight="1" x14ac:dyDescent="0.25">
      <c r="A44" s="25" t="s">
        <v>57</v>
      </c>
      <c r="B44" s="24" t="s">
        <v>58</v>
      </c>
      <c r="C44" s="69"/>
      <c r="D44" s="70">
        <v>157.34</v>
      </c>
      <c r="E44" s="70">
        <v>2.98</v>
      </c>
      <c r="F44" s="70">
        <v>0</v>
      </c>
      <c r="G44" s="70">
        <v>0</v>
      </c>
      <c r="H44" s="9">
        <f>D44+F44</f>
        <v>157.34</v>
      </c>
      <c r="I44" s="9">
        <f>E44+G44</f>
        <v>2.98</v>
      </c>
      <c r="J44" s="9">
        <f>H44+I44</f>
        <v>160.32</v>
      </c>
      <c r="K44" s="9">
        <f>C44-J44</f>
        <v>-160.32</v>
      </c>
      <c r="L44" s="9">
        <f>C44-((J44/1)*26.0714285714285)</f>
        <v>-4179.7714285714164</v>
      </c>
    </row>
    <row r="45" spans="1:13" ht="21.6" customHeight="1" x14ac:dyDescent="0.25">
      <c r="A45" s="153" t="s">
        <v>5</v>
      </c>
      <c r="B45" s="154"/>
      <c r="C45" s="7">
        <f t="shared" ref="C45:L45" si="40">SUM(C31:C44)</f>
        <v>5454.2199999999993</v>
      </c>
      <c r="D45" s="7">
        <f t="shared" si="40"/>
        <v>555.34</v>
      </c>
      <c r="E45" s="7">
        <f t="shared" si="40"/>
        <v>10.540000000000001</v>
      </c>
      <c r="F45" s="7">
        <f t="shared" si="40"/>
        <v>1287.5</v>
      </c>
      <c r="G45" s="7">
        <f t="shared" si="40"/>
        <v>66.930000000000007</v>
      </c>
      <c r="H45" s="7">
        <f t="shared" si="40"/>
        <v>1842.84</v>
      </c>
      <c r="I45" s="7">
        <f t="shared" si="40"/>
        <v>77.47</v>
      </c>
      <c r="J45" s="7">
        <f t="shared" si="40"/>
        <v>1920.3100000000002</v>
      </c>
      <c r="K45" s="7">
        <f t="shared" si="40"/>
        <v>3533.9099999999989</v>
      </c>
      <c r="L45" s="7">
        <f t="shared" si="40"/>
        <v>-44611.004999999859</v>
      </c>
    </row>
    <row r="46" spans="1:13" ht="10.9" customHeight="1" x14ac:dyDescent="0.25">
      <c r="A46" s="17"/>
      <c r="B46" s="16"/>
      <c r="C46" s="14"/>
      <c r="D46" s="15"/>
      <c r="E46" s="15"/>
      <c r="F46" s="15"/>
      <c r="G46" s="15"/>
      <c r="H46" s="14"/>
      <c r="I46" s="14"/>
      <c r="J46" s="14"/>
      <c r="K46" s="14"/>
      <c r="L46" s="14"/>
    </row>
    <row r="47" spans="1:13" ht="10.9" customHeight="1" x14ac:dyDescent="0.25">
      <c r="A47" s="17"/>
      <c r="B47" s="16"/>
      <c r="C47" s="14"/>
      <c r="D47" s="15"/>
      <c r="E47" s="15"/>
      <c r="F47" s="15"/>
      <c r="G47" s="15"/>
      <c r="H47" s="14"/>
      <c r="I47" s="14"/>
      <c r="J47" s="14"/>
      <c r="K47" s="14"/>
      <c r="L47" s="14"/>
    </row>
    <row r="48" spans="1:13" s="8" customFormat="1" ht="10.9" customHeight="1" x14ac:dyDescent="0.25">
      <c r="A48" s="22" t="s">
        <v>4</v>
      </c>
      <c r="B48" s="21" t="s">
        <v>3</v>
      </c>
      <c r="C48" s="11">
        <v>62583</v>
      </c>
      <c r="D48" s="10">
        <v>586.67999999999995</v>
      </c>
      <c r="E48" s="10">
        <v>11.14</v>
      </c>
      <c r="F48" s="10">
        <v>154</v>
      </c>
      <c r="G48" s="10">
        <v>8</v>
      </c>
      <c r="H48" s="9">
        <f>D48+F48</f>
        <v>740.68</v>
      </c>
      <c r="I48" s="9">
        <f>E48+G48</f>
        <v>19.14</v>
      </c>
      <c r="J48" s="9">
        <f t="shared" ref="J48" si="41">H48+I48</f>
        <v>759.81999999999994</v>
      </c>
      <c r="K48" s="9">
        <f>C48-J48</f>
        <v>61823.18</v>
      </c>
      <c r="L48" s="9">
        <f>C48-((J48/1)*26.0714285714285)</f>
        <v>42773.407142857199</v>
      </c>
    </row>
    <row r="49" spans="1:12" ht="21.6" customHeight="1" x14ac:dyDescent="0.25">
      <c r="A49" s="20" t="s">
        <v>2</v>
      </c>
      <c r="B49" s="19"/>
      <c r="C49" s="18">
        <f t="shared" ref="C49:L49" si="42">C48</f>
        <v>62583</v>
      </c>
      <c r="D49" s="18">
        <f t="shared" si="42"/>
        <v>586.67999999999995</v>
      </c>
      <c r="E49" s="18">
        <f t="shared" si="42"/>
        <v>11.14</v>
      </c>
      <c r="F49" s="18">
        <f t="shared" si="42"/>
        <v>154</v>
      </c>
      <c r="G49" s="18">
        <f t="shared" si="42"/>
        <v>8</v>
      </c>
      <c r="H49" s="18">
        <f t="shared" si="42"/>
        <v>740.68</v>
      </c>
      <c r="I49" s="18">
        <f t="shared" si="42"/>
        <v>19.14</v>
      </c>
      <c r="J49" s="18">
        <f t="shared" si="42"/>
        <v>759.81999999999994</v>
      </c>
      <c r="K49" s="18">
        <f t="shared" si="42"/>
        <v>61823.18</v>
      </c>
      <c r="L49" s="18">
        <f t="shared" si="42"/>
        <v>42773.407142857199</v>
      </c>
    </row>
    <row r="50" spans="1:12" ht="10.9" customHeight="1" x14ac:dyDescent="0.25">
      <c r="A50" s="17"/>
      <c r="B50" s="16"/>
      <c r="C50" s="14"/>
      <c r="D50" s="15"/>
      <c r="E50" s="15"/>
      <c r="F50" s="15"/>
      <c r="G50" s="15"/>
      <c r="H50" s="14"/>
      <c r="I50" s="14"/>
      <c r="J50" s="14"/>
      <c r="K50" s="14"/>
      <c r="L50" s="14"/>
    </row>
    <row r="51" spans="1:12" ht="10.9" customHeight="1" x14ac:dyDescent="0.25">
      <c r="A51" s="17"/>
      <c r="B51" s="16"/>
      <c r="C51" s="14"/>
      <c r="D51" s="15"/>
      <c r="E51" s="15"/>
      <c r="F51" s="15"/>
      <c r="G51" s="15"/>
      <c r="H51" s="14"/>
      <c r="I51" s="14"/>
      <c r="J51" s="14"/>
      <c r="K51" s="14"/>
      <c r="L51" s="14"/>
    </row>
    <row r="52" spans="1:12" s="8" customFormat="1" ht="10.9" customHeight="1" x14ac:dyDescent="0.25">
      <c r="A52" s="13" t="s">
        <v>1</v>
      </c>
      <c r="B52" s="12">
        <v>55180000</v>
      </c>
      <c r="C52" s="11">
        <v>37736</v>
      </c>
      <c r="D52" s="10">
        <v>0</v>
      </c>
      <c r="E52" s="10">
        <v>0</v>
      </c>
      <c r="F52" s="10">
        <v>307.02</v>
      </c>
      <c r="G52" s="10">
        <v>15.96</v>
      </c>
      <c r="H52" s="9">
        <f>D52+F52</f>
        <v>307.02</v>
      </c>
      <c r="I52" s="9">
        <v>15.96</v>
      </c>
      <c r="J52" s="9">
        <f t="shared" ref="J52" si="43">H52+I52</f>
        <v>322.97999999999996</v>
      </c>
      <c r="K52" s="9">
        <f>C52-J52</f>
        <v>37413.019999999997</v>
      </c>
      <c r="L52" s="9">
        <f>C52-((J52/1)*26.0714285714285)</f>
        <v>29315.450000000026</v>
      </c>
    </row>
    <row r="53" spans="1:12" s="3" customFormat="1" ht="21.6" customHeight="1" x14ac:dyDescent="0.25">
      <c r="A53" s="153" t="s">
        <v>0</v>
      </c>
      <c r="B53" s="154"/>
      <c r="C53" s="7">
        <f t="shared" ref="C53:L53" si="44">SUM(C52)</f>
        <v>37736</v>
      </c>
      <c r="D53" s="7">
        <f t="shared" si="44"/>
        <v>0</v>
      </c>
      <c r="E53" s="7">
        <f t="shared" si="44"/>
        <v>0</v>
      </c>
      <c r="F53" s="7">
        <f t="shared" si="44"/>
        <v>307.02</v>
      </c>
      <c r="G53" s="7">
        <f t="shared" si="44"/>
        <v>15.96</v>
      </c>
      <c r="H53" s="7">
        <f t="shared" si="44"/>
        <v>307.02</v>
      </c>
      <c r="I53" s="7">
        <f t="shared" si="44"/>
        <v>15.96</v>
      </c>
      <c r="J53" s="7">
        <f t="shared" si="44"/>
        <v>322.97999999999996</v>
      </c>
      <c r="K53" s="7">
        <f t="shared" si="44"/>
        <v>37413.019999999997</v>
      </c>
      <c r="L53" s="7">
        <f t="shared" si="44"/>
        <v>29315.450000000026</v>
      </c>
    </row>
    <row r="54" spans="1:12" s="3" customFormat="1" ht="11.25" customHeight="1" x14ac:dyDescent="0.25">
      <c r="A54" s="6"/>
      <c r="B54" s="5"/>
      <c r="C54" s="4"/>
      <c r="D54" s="4"/>
      <c r="E54" s="4"/>
      <c r="F54" s="4"/>
      <c r="G54" s="4"/>
      <c r="H54" s="4"/>
      <c r="I54" s="4"/>
      <c r="J54" s="4"/>
      <c r="K54" s="4"/>
      <c r="L54" s="4"/>
    </row>
    <row r="59" spans="1:12" x14ac:dyDescent="0.25">
      <c r="A59" s="1" t="s">
        <v>56</v>
      </c>
    </row>
  </sheetData>
  <mergeCells count="6">
    <mergeCell ref="A53:B53"/>
    <mergeCell ref="A13:B13"/>
    <mergeCell ref="A19:B19"/>
    <mergeCell ref="A25:B25"/>
    <mergeCell ref="A28:B28"/>
    <mergeCell ref="A45:B45"/>
  </mergeCells>
  <pageMargins left="0.25" right="0" top="0.4" bottom="0" header="0.3" footer="0"/>
  <pageSetup scale="91" fitToWidth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M83"/>
  <sheetViews>
    <sheetView zoomScale="160" zoomScaleNormal="160" workbookViewId="0">
      <pane ySplit="2" topLeftCell="A24" activePane="bottomLeft" state="frozen"/>
      <selection pane="bottomLeft" activeCell="K37" sqref="K37"/>
    </sheetView>
  </sheetViews>
  <sheetFormatPr defaultColWidth="28" defaultRowHeight="15" x14ac:dyDescent="0.25"/>
  <cols>
    <col min="1" max="1" width="34" style="1" bestFit="1" customWidth="1"/>
    <col min="2" max="2" width="19" style="1" bestFit="1" customWidth="1"/>
    <col min="3" max="3" width="11" style="77" customWidth="1"/>
    <col min="4" max="4" width="7.5703125" style="2" bestFit="1" customWidth="1"/>
    <col min="5" max="5" width="6.28515625" style="2" bestFit="1" customWidth="1"/>
    <col min="6" max="6" width="9" style="2" bestFit="1" customWidth="1"/>
    <col min="7" max="7" width="8.7109375" style="2" bestFit="1" customWidth="1"/>
    <col min="8" max="8" width="8.42578125" style="2" bestFit="1" customWidth="1"/>
    <col min="9" max="9" width="9.42578125" style="2" bestFit="1" customWidth="1"/>
    <col min="10" max="10" width="9.7109375" style="2" bestFit="1" customWidth="1"/>
    <col min="11" max="11" width="9.28515625" style="2" bestFit="1" customWidth="1"/>
    <col min="12" max="12" width="13.42578125" style="2" bestFit="1" customWidth="1"/>
    <col min="13" max="13" width="84.5703125" style="112" bestFit="1" customWidth="1"/>
    <col min="14" max="16384" width="28" style="1"/>
  </cols>
  <sheetData>
    <row r="1" spans="1:13" ht="11.25" customHeight="1" x14ac:dyDescent="0.25">
      <c r="A1" s="68"/>
      <c r="B1" s="67"/>
      <c r="C1" s="76"/>
      <c r="D1" s="66"/>
      <c r="E1" s="66"/>
      <c r="F1" s="66"/>
      <c r="G1" s="66"/>
      <c r="H1" s="66"/>
      <c r="I1" s="66"/>
      <c r="J1" s="66"/>
      <c r="K1" s="66"/>
      <c r="L1" s="65" t="s">
        <v>96</v>
      </c>
    </row>
    <row r="2" spans="1:13" s="61" customFormat="1" ht="23.25" x14ac:dyDescent="0.25">
      <c r="A2" s="64" t="s">
        <v>53</v>
      </c>
      <c r="B2" s="64" t="s">
        <v>52</v>
      </c>
      <c r="C2" s="63" t="s">
        <v>51</v>
      </c>
      <c r="D2" s="63" t="s">
        <v>50</v>
      </c>
      <c r="E2" s="63" t="s">
        <v>48</v>
      </c>
      <c r="F2" s="63" t="s">
        <v>49</v>
      </c>
      <c r="G2" s="63" t="s">
        <v>48</v>
      </c>
      <c r="H2" s="62" t="s">
        <v>47</v>
      </c>
      <c r="I2" s="62" t="s">
        <v>46</v>
      </c>
      <c r="J2" s="62" t="s">
        <v>45</v>
      </c>
      <c r="K2" s="62" t="s">
        <v>44</v>
      </c>
      <c r="L2" s="62" t="s">
        <v>43</v>
      </c>
      <c r="M2" s="113"/>
    </row>
    <row r="3" spans="1:13" s="101" customFormat="1" ht="11.25" customHeight="1" x14ac:dyDescent="0.25">
      <c r="A3" s="22" t="s">
        <v>42</v>
      </c>
      <c r="B3" s="29">
        <v>55010300</v>
      </c>
      <c r="C3" s="9">
        <v>0</v>
      </c>
      <c r="D3" s="9">
        <v>0</v>
      </c>
      <c r="E3" s="9">
        <v>0</v>
      </c>
      <c r="F3" s="9">
        <v>0</v>
      </c>
      <c r="G3" s="9">
        <v>0</v>
      </c>
      <c r="H3" s="9">
        <f>D3+F3+'10-29-20'!H3</f>
        <v>0</v>
      </c>
      <c r="I3" s="9">
        <f>E3+G3+'10-29-20'!I3</f>
        <v>0</v>
      </c>
      <c r="J3" s="9">
        <f t="shared" ref="J3:J14" si="0">H3+I3</f>
        <v>0</v>
      </c>
      <c r="K3" s="9">
        <f>C3-J3</f>
        <v>0</v>
      </c>
      <c r="L3" s="9">
        <f>C3-((J3/10)*26.0714285714285)</f>
        <v>0</v>
      </c>
      <c r="M3" s="114"/>
    </row>
    <row r="4" spans="1:13" s="101" customFormat="1" ht="11.25" customHeight="1" x14ac:dyDescent="0.25">
      <c r="A4" s="22" t="s">
        <v>41</v>
      </c>
      <c r="B4" s="29">
        <v>55010500</v>
      </c>
      <c r="C4" s="9">
        <v>3229</v>
      </c>
      <c r="D4" s="10">
        <v>0</v>
      </c>
      <c r="E4" s="10">
        <v>0</v>
      </c>
      <c r="F4" s="10">
        <v>0</v>
      </c>
      <c r="G4" s="10">
        <v>0</v>
      </c>
      <c r="H4" s="9">
        <f>D4+F4+'10-29-20'!H4</f>
        <v>0</v>
      </c>
      <c r="I4" s="9">
        <f>E4+G4+'10-29-20'!I4</f>
        <v>0</v>
      </c>
      <c r="J4" s="9">
        <f t="shared" si="0"/>
        <v>0</v>
      </c>
      <c r="K4" s="9">
        <f t="shared" ref="K4:K14" si="1">C4-J4</f>
        <v>3229</v>
      </c>
      <c r="L4" s="9">
        <f t="shared" ref="L4:L14" si="2">C4-((J4/10)*26.0714285714285)</f>
        <v>3229</v>
      </c>
      <c r="M4" s="114"/>
    </row>
    <row r="5" spans="1:13" s="92" customFormat="1" ht="11.25" customHeight="1" x14ac:dyDescent="0.25">
      <c r="A5" s="58" t="s">
        <v>40</v>
      </c>
      <c r="B5" s="102">
        <v>55020200</v>
      </c>
      <c r="C5" s="103">
        <v>24649</v>
      </c>
      <c r="D5" s="55">
        <v>333.69</v>
      </c>
      <c r="E5" s="55">
        <v>6.33</v>
      </c>
      <c r="F5" s="55">
        <v>0</v>
      </c>
      <c r="G5" s="55">
        <v>0</v>
      </c>
      <c r="H5" s="9">
        <f>D5+F5+'10-29-20'!H5</f>
        <v>6157.1600000000008</v>
      </c>
      <c r="I5" s="9">
        <f>E5+G5+'10-29-20'!I5</f>
        <v>116.90999999999998</v>
      </c>
      <c r="J5" s="9">
        <f t="shared" si="0"/>
        <v>6274.0700000000006</v>
      </c>
      <c r="K5" s="9">
        <f t="shared" si="1"/>
        <v>18374.93</v>
      </c>
      <c r="L5" s="9">
        <f t="shared" si="2"/>
        <v>8291.6032142857584</v>
      </c>
      <c r="M5" s="115"/>
    </row>
    <row r="6" spans="1:13" s="92" customFormat="1" ht="11.25" customHeight="1" x14ac:dyDescent="0.25">
      <c r="A6" s="22" t="s">
        <v>39</v>
      </c>
      <c r="B6" s="29">
        <v>55020300</v>
      </c>
      <c r="C6" s="9">
        <v>17974</v>
      </c>
      <c r="D6" s="10">
        <v>421.57</v>
      </c>
      <c r="E6" s="10">
        <v>8</v>
      </c>
      <c r="F6" s="10">
        <v>0</v>
      </c>
      <c r="G6" s="10">
        <v>0</v>
      </c>
      <c r="H6" s="9">
        <f>D6+F6+'10-29-20'!H6</f>
        <v>2495.6600000000003</v>
      </c>
      <c r="I6" s="9">
        <f>E6+G6+'10-29-20'!I6</f>
        <v>47.370000000000005</v>
      </c>
      <c r="J6" s="9">
        <f t="shared" si="0"/>
        <v>2543.0300000000002</v>
      </c>
      <c r="K6" s="9">
        <f t="shared" si="1"/>
        <v>15430.97</v>
      </c>
      <c r="L6" s="9">
        <f t="shared" si="2"/>
        <v>11343.957500000019</v>
      </c>
      <c r="M6" s="115"/>
    </row>
    <row r="7" spans="1:13" s="92" customFormat="1" ht="11.25" customHeight="1" x14ac:dyDescent="0.25">
      <c r="A7" s="22" t="s">
        <v>38</v>
      </c>
      <c r="B7" s="29">
        <v>55020400</v>
      </c>
      <c r="C7" s="9">
        <v>17974</v>
      </c>
      <c r="D7" s="10">
        <v>328.82</v>
      </c>
      <c r="E7" s="10">
        <v>6.24</v>
      </c>
      <c r="F7" s="10">
        <v>0</v>
      </c>
      <c r="G7" s="10">
        <v>0</v>
      </c>
      <c r="H7" s="9">
        <f>D7+F7+'10-29-20'!H7</f>
        <v>2002.8700000000001</v>
      </c>
      <c r="I7" s="9">
        <f>E7+G7+'10-29-20'!I7</f>
        <v>38.01</v>
      </c>
      <c r="J7" s="9">
        <f t="shared" si="0"/>
        <v>2040.88</v>
      </c>
      <c r="K7" s="9">
        <f t="shared" si="1"/>
        <v>15933.119999999999</v>
      </c>
      <c r="L7" s="9">
        <f t="shared" si="2"/>
        <v>12653.134285714299</v>
      </c>
      <c r="M7" s="115"/>
    </row>
    <row r="8" spans="1:13" s="92" customFormat="1" ht="11.25" customHeight="1" x14ac:dyDescent="0.25">
      <c r="A8" s="22" t="s">
        <v>92</v>
      </c>
      <c r="B8" s="29">
        <v>55030100</v>
      </c>
      <c r="C8" s="9">
        <v>2109</v>
      </c>
      <c r="D8" s="9">
        <v>238.98</v>
      </c>
      <c r="E8" s="9">
        <v>4.53</v>
      </c>
      <c r="F8" s="9">
        <v>0</v>
      </c>
      <c r="G8" s="9">
        <v>0</v>
      </c>
      <c r="H8" s="9">
        <f>D8+F8+'10-29-20'!H8</f>
        <v>458.23</v>
      </c>
      <c r="I8" s="9">
        <f>E8+G8+'10-29-20'!I8</f>
        <v>8.68</v>
      </c>
      <c r="J8" s="9">
        <f t="shared" si="0"/>
        <v>466.91</v>
      </c>
      <c r="K8" s="9">
        <f t="shared" si="1"/>
        <v>1642.09</v>
      </c>
      <c r="L8" s="9">
        <f t="shared" si="2"/>
        <v>891.69892857143191</v>
      </c>
      <c r="M8" s="115"/>
    </row>
    <row r="9" spans="1:13" s="92" customFormat="1" ht="11.25" customHeight="1" x14ac:dyDescent="0.25">
      <c r="A9" s="54" t="s">
        <v>37</v>
      </c>
      <c r="B9" s="29">
        <v>55030200</v>
      </c>
      <c r="C9" s="9">
        <v>24330</v>
      </c>
      <c r="D9" s="10">
        <v>352.05</v>
      </c>
      <c r="E9" s="10">
        <v>6.68</v>
      </c>
      <c r="F9" s="10">
        <v>0</v>
      </c>
      <c r="G9" s="10">
        <v>0</v>
      </c>
      <c r="H9" s="9">
        <f>D9+F9+'10-29-20'!H9</f>
        <v>4270.2700000000004</v>
      </c>
      <c r="I9" s="9">
        <f>E9+G9+'10-29-20'!I9</f>
        <v>81.080000000000013</v>
      </c>
      <c r="J9" s="9">
        <f t="shared" si="0"/>
        <v>4351.3500000000004</v>
      </c>
      <c r="K9" s="9">
        <f t="shared" si="1"/>
        <v>19978.650000000001</v>
      </c>
      <c r="L9" s="9">
        <f t="shared" si="2"/>
        <v>12985.40892857146</v>
      </c>
      <c r="M9" s="123"/>
    </row>
    <row r="10" spans="1:13" s="92" customFormat="1" ht="11.25" customHeight="1" x14ac:dyDescent="0.25">
      <c r="A10" s="22" t="s">
        <v>36</v>
      </c>
      <c r="B10" s="29">
        <v>55050200</v>
      </c>
      <c r="C10" s="9">
        <v>34000</v>
      </c>
      <c r="D10" s="10">
        <v>1167.6199999999999</v>
      </c>
      <c r="E10" s="10">
        <v>22.17</v>
      </c>
      <c r="F10" s="10">
        <v>0</v>
      </c>
      <c r="G10" s="10">
        <v>0</v>
      </c>
      <c r="H10" s="9">
        <f>D10+F10+'10-29-20'!H10</f>
        <v>8238.27</v>
      </c>
      <c r="I10" s="9">
        <f>E10+G10+'10-29-20'!I10</f>
        <v>156.45999999999998</v>
      </c>
      <c r="J10" s="9">
        <f t="shared" si="0"/>
        <v>8394.73</v>
      </c>
      <c r="K10" s="9">
        <f t="shared" si="1"/>
        <v>25605.27</v>
      </c>
      <c r="L10" s="9">
        <f t="shared" si="2"/>
        <v>12113.739642857206</v>
      </c>
      <c r="M10" s="123"/>
    </row>
    <row r="11" spans="1:13" s="92" customFormat="1" ht="11.25" hidden="1" customHeight="1" x14ac:dyDescent="0.25">
      <c r="A11" s="22" t="s">
        <v>80</v>
      </c>
      <c r="B11" s="29">
        <v>55050300</v>
      </c>
      <c r="C11" s="97"/>
      <c r="D11" s="9"/>
      <c r="E11" s="9"/>
      <c r="F11" s="9"/>
      <c r="G11" s="9"/>
      <c r="H11" s="9">
        <f>D11+F11+'10-29-20'!H11</f>
        <v>-310</v>
      </c>
      <c r="I11" s="9">
        <f>E11+G11+'10-29-20'!I11</f>
        <v>-5.8900000000000006</v>
      </c>
      <c r="J11" s="9">
        <f t="shared" si="0"/>
        <v>-315.89</v>
      </c>
      <c r="K11" s="9">
        <f t="shared" si="1"/>
        <v>315.89</v>
      </c>
      <c r="L11" s="9">
        <f t="shared" si="2"/>
        <v>823.57035714285485</v>
      </c>
      <c r="M11" s="116"/>
    </row>
    <row r="12" spans="1:13" s="98" customFormat="1" ht="11.25" customHeight="1" x14ac:dyDescent="0.25">
      <c r="A12" s="22" t="s">
        <v>35</v>
      </c>
      <c r="B12" s="29">
        <v>55070100</v>
      </c>
      <c r="C12" s="9">
        <v>42741</v>
      </c>
      <c r="D12" s="10">
        <v>896.37</v>
      </c>
      <c r="E12" s="10">
        <v>17.02</v>
      </c>
      <c r="F12" s="10">
        <v>0</v>
      </c>
      <c r="G12" s="10">
        <v>0</v>
      </c>
      <c r="H12" s="9">
        <f>D12+F12+'10-29-20'!H12</f>
        <v>7898.28</v>
      </c>
      <c r="I12" s="9">
        <f>E12+G12+'10-29-20'!I12</f>
        <v>151.04999999999998</v>
      </c>
      <c r="J12" s="9">
        <f t="shared" si="0"/>
        <v>8049.33</v>
      </c>
      <c r="K12" s="9">
        <f t="shared" si="1"/>
        <v>34691.67</v>
      </c>
      <c r="L12" s="9">
        <f t="shared" si="2"/>
        <v>21755.246785714346</v>
      </c>
      <c r="M12" s="124"/>
    </row>
    <row r="13" spans="1:13" s="92" customFormat="1" ht="11.25" customHeight="1" x14ac:dyDescent="0.25">
      <c r="A13" s="22" t="s">
        <v>34</v>
      </c>
      <c r="B13" s="29">
        <v>55080100</v>
      </c>
      <c r="C13" s="9">
        <v>23173</v>
      </c>
      <c r="D13" s="10">
        <v>1086.02</v>
      </c>
      <c r="E13" s="10">
        <v>20.62</v>
      </c>
      <c r="F13" s="10">
        <v>0</v>
      </c>
      <c r="G13" s="10">
        <v>0</v>
      </c>
      <c r="H13" s="9">
        <f>D13+F13+'10-29-20'!H13</f>
        <v>6279.75</v>
      </c>
      <c r="I13" s="9">
        <f>E13+G13+'10-29-20'!I13</f>
        <v>119.26</v>
      </c>
      <c r="J13" s="9">
        <f t="shared" si="0"/>
        <v>6399.01</v>
      </c>
      <c r="K13" s="9">
        <f t="shared" si="1"/>
        <v>16773.989999999998</v>
      </c>
      <c r="L13" s="9">
        <f t="shared" si="2"/>
        <v>6489.86678571433</v>
      </c>
      <c r="M13" s="123"/>
    </row>
    <row r="14" spans="1:13" s="99" customFormat="1" ht="11.25" customHeight="1" x14ac:dyDescent="0.25">
      <c r="A14" s="53" t="s">
        <v>33</v>
      </c>
      <c r="B14" s="33">
        <v>55190000</v>
      </c>
      <c r="C14" s="9">
        <v>6000</v>
      </c>
      <c r="D14" s="10">
        <v>29.27</v>
      </c>
      <c r="E14" s="10">
        <v>0.55000000000000004</v>
      </c>
      <c r="F14" s="10">
        <v>0</v>
      </c>
      <c r="G14" s="10">
        <v>0</v>
      </c>
      <c r="H14" s="9">
        <f>D14+F14+'10-29-20'!H14</f>
        <v>34.42</v>
      </c>
      <c r="I14" s="9">
        <f>E14+G14+'10-29-20'!I14</f>
        <v>0.64</v>
      </c>
      <c r="J14" s="9">
        <f t="shared" si="0"/>
        <v>35.06</v>
      </c>
      <c r="K14" s="9">
        <f t="shared" si="1"/>
        <v>5964.94</v>
      </c>
      <c r="L14" s="9">
        <f t="shared" si="2"/>
        <v>5908.5935714285715</v>
      </c>
      <c r="M14" s="117"/>
    </row>
    <row r="15" spans="1:13" ht="21.6" customHeight="1" thickBot="1" x14ac:dyDescent="0.3">
      <c r="A15" s="155" t="s">
        <v>32</v>
      </c>
      <c r="B15" s="156"/>
      <c r="C15" s="49">
        <f t="shared" ref="C15:L15" si="3">SUM(C3:C14)</f>
        <v>196179</v>
      </c>
      <c r="D15" s="7">
        <f t="shared" si="3"/>
        <v>4854.3899999999994</v>
      </c>
      <c r="E15" s="7">
        <f t="shared" si="3"/>
        <v>92.14</v>
      </c>
      <c r="F15" s="7">
        <f t="shared" si="3"/>
        <v>0</v>
      </c>
      <c r="G15" s="7">
        <f t="shared" si="3"/>
        <v>0</v>
      </c>
      <c r="H15" s="7">
        <f t="shared" si="3"/>
        <v>37524.910000000003</v>
      </c>
      <c r="I15" s="7">
        <f t="shared" si="3"/>
        <v>713.56999999999994</v>
      </c>
      <c r="J15" s="49">
        <f t="shared" si="3"/>
        <v>38238.480000000003</v>
      </c>
      <c r="K15" s="49">
        <f t="shared" si="3"/>
        <v>157940.52000000002</v>
      </c>
      <c r="L15" s="7">
        <f t="shared" si="3"/>
        <v>96485.820000000269</v>
      </c>
    </row>
    <row r="16" spans="1:13" ht="11.25" customHeight="1" x14ac:dyDescent="0.25">
      <c r="A16" s="52"/>
      <c r="B16" s="41"/>
      <c r="C16" s="39"/>
      <c r="D16" s="39"/>
      <c r="E16" s="39"/>
      <c r="F16" s="39"/>
      <c r="G16" s="39"/>
      <c r="H16" s="39"/>
      <c r="I16" s="39"/>
      <c r="J16" s="39"/>
      <c r="K16" s="39"/>
      <c r="L16" s="51"/>
    </row>
    <row r="17" spans="1:13" ht="11.25" customHeight="1" thickBot="1" x14ac:dyDescent="0.3">
      <c r="A17" s="38"/>
      <c r="B17" s="37"/>
      <c r="C17" s="35"/>
      <c r="D17" s="35"/>
      <c r="E17" s="35"/>
      <c r="F17" s="35"/>
      <c r="G17" s="35"/>
      <c r="H17" s="35"/>
      <c r="I17" s="35"/>
      <c r="J17" s="35"/>
      <c r="K17" s="35"/>
      <c r="L17" s="50"/>
    </row>
    <row r="18" spans="1:13" s="92" customFormat="1" ht="11.45" customHeight="1" x14ac:dyDescent="0.25">
      <c r="A18" s="13" t="s">
        <v>31</v>
      </c>
      <c r="B18" s="33">
        <v>55090100</v>
      </c>
      <c r="C18" s="9">
        <v>26923</v>
      </c>
      <c r="D18" s="10">
        <v>0</v>
      </c>
      <c r="E18" s="10">
        <v>0</v>
      </c>
      <c r="F18" s="10">
        <v>1080</v>
      </c>
      <c r="G18" s="10">
        <v>56.16</v>
      </c>
      <c r="H18" s="9">
        <f>D18+F18+'10-29-20'!H18</f>
        <v>11175</v>
      </c>
      <c r="I18" s="9">
        <f>E18+G18+'10-29-20'!I18</f>
        <v>581.08999999999992</v>
      </c>
      <c r="J18" s="9">
        <f t="shared" ref="J18:J20" si="4">H18+I18</f>
        <v>11756.09</v>
      </c>
      <c r="K18" s="9">
        <f>C18-J18</f>
        <v>15166.91</v>
      </c>
      <c r="L18" s="9">
        <f t="shared" ref="L18:L20" si="5">C18-((J18/10)*26.0714285714285)</f>
        <v>-3726.8060714284838</v>
      </c>
      <c r="M18" s="115"/>
    </row>
    <row r="19" spans="1:13" s="92" customFormat="1" ht="11.45" customHeight="1" x14ac:dyDescent="0.25">
      <c r="A19" s="22" t="s">
        <v>30</v>
      </c>
      <c r="B19" s="29">
        <v>55160100</v>
      </c>
      <c r="C19" s="9">
        <f>16062-2109</f>
        <v>13953</v>
      </c>
      <c r="D19" s="9">
        <v>0</v>
      </c>
      <c r="E19" s="9">
        <v>0</v>
      </c>
      <c r="F19" s="10">
        <v>0</v>
      </c>
      <c r="G19" s="10">
        <v>0</v>
      </c>
      <c r="H19" s="9">
        <f>D19+F19+'10-29-20'!H19</f>
        <v>0</v>
      </c>
      <c r="I19" s="9">
        <f>E19+G19+'10-29-20'!I19</f>
        <v>0</v>
      </c>
      <c r="J19" s="9">
        <f t="shared" si="4"/>
        <v>0</v>
      </c>
      <c r="K19" s="9">
        <f t="shared" ref="K19:K20" si="6">C19-J19</f>
        <v>13953</v>
      </c>
      <c r="L19" s="9">
        <f t="shared" si="5"/>
        <v>13953</v>
      </c>
      <c r="M19" s="115"/>
    </row>
    <row r="20" spans="1:13" s="92" customFormat="1" ht="11.45" customHeight="1" x14ac:dyDescent="0.25">
      <c r="A20" s="13" t="s">
        <v>29</v>
      </c>
      <c r="B20" s="33">
        <v>55100100</v>
      </c>
      <c r="C20" s="9">
        <v>2026</v>
      </c>
      <c r="D20" s="10">
        <v>196.88</v>
      </c>
      <c r="E20" s="10">
        <v>3.73</v>
      </c>
      <c r="F20" s="10">
        <v>0</v>
      </c>
      <c r="G20" s="10">
        <v>0</v>
      </c>
      <c r="H20" s="9">
        <f>D20+F20+'10-29-20'!H20</f>
        <v>645.41999999999996</v>
      </c>
      <c r="I20" s="9">
        <f>E20+G20+'10-29-20'!I20</f>
        <v>11.344999999999999</v>
      </c>
      <c r="J20" s="9">
        <f t="shared" si="4"/>
        <v>656.76499999999999</v>
      </c>
      <c r="K20" s="9">
        <f t="shared" si="6"/>
        <v>1369.2350000000001</v>
      </c>
      <c r="L20" s="9">
        <f t="shared" si="5"/>
        <v>313.7198214285761</v>
      </c>
      <c r="M20" s="115"/>
    </row>
    <row r="21" spans="1:13" ht="21.6" customHeight="1" thickBot="1" x14ac:dyDescent="0.3">
      <c r="A21" s="155" t="s">
        <v>28</v>
      </c>
      <c r="B21" s="156"/>
      <c r="C21" s="7">
        <f t="shared" ref="C21:L21" si="7">SUM(C18:C20)</f>
        <v>42902</v>
      </c>
      <c r="D21" s="7">
        <f t="shared" si="7"/>
        <v>196.88</v>
      </c>
      <c r="E21" s="7">
        <f t="shared" si="7"/>
        <v>3.73</v>
      </c>
      <c r="F21" s="7">
        <f t="shared" si="7"/>
        <v>1080</v>
      </c>
      <c r="G21" s="7">
        <f t="shared" si="7"/>
        <v>56.16</v>
      </c>
      <c r="H21" s="7">
        <f t="shared" si="7"/>
        <v>11820.42</v>
      </c>
      <c r="I21" s="7">
        <f t="shared" si="7"/>
        <v>592.43499999999995</v>
      </c>
      <c r="J21" s="49">
        <f t="shared" si="7"/>
        <v>12412.855</v>
      </c>
      <c r="K21" s="7">
        <f t="shared" si="7"/>
        <v>30489.145</v>
      </c>
      <c r="L21" s="7">
        <f t="shared" si="7"/>
        <v>10539.913750000092</v>
      </c>
    </row>
    <row r="22" spans="1:13" ht="11.25" customHeight="1" x14ac:dyDescent="0.25">
      <c r="A22" s="42"/>
      <c r="B22" s="41"/>
      <c r="C22" s="39"/>
      <c r="D22" s="39"/>
      <c r="E22" s="39"/>
      <c r="F22" s="39"/>
      <c r="G22" s="39"/>
      <c r="H22" s="39"/>
      <c r="I22" s="39"/>
      <c r="J22" s="39"/>
      <c r="K22" s="39"/>
      <c r="L22" s="51"/>
    </row>
    <row r="23" spans="1:13" ht="11.25" customHeight="1" thickBot="1" x14ac:dyDescent="0.3">
      <c r="A23" s="38"/>
      <c r="B23" s="37"/>
      <c r="C23" s="35"/>
      <c r="D23" s="35"/>
      <c r="E23" s="35"/>
      <c r="F23" s="35"/>
      <c r="G23" s="35"/>
      <c r="H23" s="35"/>
      <c r="I23" s="35"/>
      <c r="J23" s="35"/>
      <c r="K23" s="35"/>
      <c r="L23" s="50"/>
    </row>
    <row r="24" spans="1:13" s="99" customFormat="1" ht="11.45" customHeight="1" x14ac:dyDescent="0.25">
      <c r="A24" s="13" t="s">
        <v>27</v>
      </c>
      <c r="B24" s="33">
        <v>55200000</v>
      </c>
      <c r="C24" s="9">
        <v>25000</v>
      </c>
      <c r="D24" s="10">
        <v>510</v>
      </c>
      <c r="E24" s="10">
        <v>9.67</v>
      </c>
      <c r="F24" s="10">
        <v>0</v>
      </c>
      <c r="G24" s="10">
        <v>0</v>
      </c>
      <c r="H24" s="9">
        <f>D24+F24+'10-29-20'!H24</f>
        <v>4736.25</v>
      </c>
      <c r="I24" s="9">
        <f>E24+G24+'10-29-20'!I24</f>
        <v>89.92</v>
      </c>
      <c r="J24" s="9">
        <f t="shared" ref="J24:J26" si="8">H24+I24</f>
        <v>4826.17</v>
      </c>
      <c r="K24" s="9">
        <f>C24-J24</f>
        <v>20173.830000000002</v>
      </c>
      <c r="L24" s="9">
        <f t="shared" ref="L24:L26" si="9">C24-((J24/10)*26.0714285714285)</f>
        <v>12417.485357142892</v>
      </c>
      <c r="M24" s="118"/>
    </row>
    <row r="25" spans="1:13" s="99" customFormat="1" ht="11.45" hidden="1" customHeight="1" x14ac:dyDescent="0.25">
      <c r="A25" s="13" t="s">
        <v>26</v>
      </c>
      <c r="B25" s="100" t="s">
        <v>25</v>
      </c>
      <c r="C25" s="46">
        <v>0</v>
      </c>
      <c r="D25" s="45"/>
      <c r="E25" s="45"/>
      <c r="F25" s="45"/>
      <c r="G25" s="45"/>
      <c r="H25" s="9">
        <f>D25+F25+'10-29-20'!H25</f>
        <v>0</v>
      </c>
      <c r="I25" s="9">
        <f>E25+G25+'10-29-20'!I25</f>
        <v>-9.9999999999997868E-3</v>
      </c>
      <c r="J25" s="9">
        <f t="shared" si="8"/>
        <v>-9.9999999999997868E-3</v>
      </c>
      <c r="K25" s="75">
        <f t="shared" ref="K25:K26" si="10">C25-J25</f>
        <v>9.9999999999997868E-3</v>
      </c>
      <c r="L25" s="9">
        <f t="shared" si="9"/>
        <v>2.6071428571427944E-2</v>
      </c>
      <c r="M25" s="118"/>
    </row>
    <row r="26" spans="1:13" s="99" customFormat="1" ht="10.9" customHeight="1" x14ac:dyDescent="0.25">
      <c r="A26" s="28" t="s">
        <v>24</v>
      </c>
      <c r="B26" s="47" t="s">
        <v>23</v>
      </c>
      <c r="C26" s="46">
        <v>0</v>
      </c>
      <c r="D26" s="45">
        <v>0</v>
      </c>
      <c r="E26" s="45">
        <v>0</v>
      </c>
      <c r="F26" s="45">
        <v>0</v>
      </c>
      <c r="G26" s="45">
        <v>0</v>
      </c>
      <c r="H26" s="9">
        <f>D26+F26+'10-29-20'!H26</f>
        <v>0</v>
      </c>
      <c r="I26" s="9">
        <f>E26+G26+'10-29-20'!I26</f>
        <v>0</v>
      </c>
      <c r="J26" s="9">
        <f t="shared" si="8"/>
        <v>0</v>
      </c>
      <c r="K26" s="9">
        <f t="shared" si="10"/>
        <v>0</v>
      </c>
      <c r="L26" s="9">
        <f t="shared" si="9"/>
        <v>0</v>
      </c>
      <c r="M26" s="117"/>
    </row>
    <row r="27" spans="1:13" ht="24.75" customHeight="1" thickBot="1" x14ac:dyDescent="0.3">
      <c r="A27" s="157" t="s">
        <v>22</v>
      </c>
      <c r="B27" s="158"/>
      <c r="C27" s="43">
        <f>SUM(C24:C25)</f>
        <v>25000</v>
      </c>
      <c r="D27" s="43">
        <f t="shared" ref="D27:L27" si="11">SUM(D24:D26)</f>
        <v>510</v>
      </c>
      <c r="E27" s="43">
        <f t="shared" si="11"/>
        <v>9.67</v>
      </c>
      <c r="F27" s="43">
        <f t="shared" si="11"/>
        <v>0</v>
      </c>
      <c r="G27" s="43">
        <f t="shared" si="11"/>
        <v>0</v>
      </c>
      <c r="H27" s="43">
        <f t="shared" si="11"/>
        <v>4736.25</v>
      </c>
      <c r="I27" s="43">
        <f t="shared" si="11"/>
        <v>89.91</v>
      </c>
      <c r="J27" s="43">
        <f t="shared" si="11"/>
        <v>4826.16</v>
      </c>
      <c r="K27" s="43">
        <f t="shared" si="11"/>
        <v>20173.84</v>
      </c>
      <c r="L27" s="34">
        <f t="shared" si="11"/>
        <v>12417.511428571464</v>
      </c>
    </row>
    <row r="28" spans="1:13" ht="11.25" customHeight="1" x14ac:dyDescent="0.25">
      <c r="A28" s="42"/>
      <c r="B28" s="41"/>
      <c r="C28" s="39"/>
      <c r="D28" s="39"/>
      <c r="E28" s="39"/>
      <c r="F28" s="39"/>
      <c r="G28" s="39"/>
      <c r="H28" s="39"/>
      <c r="I28" s="39"/>
      <c r="J28" s="39"/>
      <c r="K28" s="39"/>
      <c r="L28" s="39"/>
    </row>
    <row r="29" spans="1:13" ht="11.25" customHeight="1" thickBot="1" x14ac:dyDescent="0.3">
      <c r="A29" s="38"/>
      <c r="B29" s="37"/>
      <c r="C29" s="35"/>
      <c r="D29" s="35"/>
      <c r="E29" s="35"/>
      <c r="F29" s="35"/>
      <c r="G29" s="35"/>
      <c r="H29" s="35"/>
      <c r="I29" s="35"/>
      <c r="J29" s="35"/>
      <c r="K29" s="35"/>
      <c r="L29" s="35"/>
    </row>
    <row r="30" spans="1:13" ht="21.6" customHeight="1" x14ac:dyDescent="0.25">
      <c r="A30" s="159" t="s">
        <v>21</v>
      </c>
      <c r="B30" s="159"/>
      <c r="C30" s="34">
        <f t="shared" ref="C30:L30" si="12">C15+C21+C27</f>
        <v>264081</v>
      </c>
      <c r="D30" s="34">
        <f t="shared" si="12"/>
        <v>5561.2699999999995</v>
      </c>
      <c r="E30" s="34">
        <f t="shared" si="12"/>
        <v>105.54</v>
      </c>
      <c r="F30" s="34">
        <f t="shared" si="12"/>
        <v>1080</v>
      </c>
      <c r="G30" s="34">
        <f t="shared" si="12"/>
        <v>56.16</v>
      </c>
      <c r="H30" s="34">
        <f t="shared" si="12"/>
        <v>54081.58</v>
      </c>
      <c r="I30" s="34">
        <f t="shared" si="12"/>
        <v>1395.915</v>
      </c>
      <c r="J30" s="34">
        <f t="shared" si="12"/>
        <v>55477.49500000001</v>
      </c>
      <c r="K30" s="34">
        <f t="shared" si="12"/>
        <v>208603.505</v>
      </c>
      <c r="L30" s="34">
        <f t="shared" si="12"/>
        <v>119443.24517857183</v>
      </c>
    </row>
    <row r="31" spans="1:13" ht="10.9" customHeight="1" x14ac:dyDescent="0.25">
      <c r="A31" s="17"/>
      <c r="B31" s="16"/>
      <c r="C31" s="15"/>
      <c r="D31" s="15"/>
      <c r="E31" s="15"/>
      <c r="F31" s="15"/>
      <c r="G31" s="15"/>
      <c r="H31" s="15"/>
      <c r="I31" s="15"/>
      <c r="J31" s="15"/>
      <c r="K31" s="15"/>
      <c r="L31" s="15"/>
    </row>
    <row r="32" spans="1:13" ht="11.25" customHeight="1" x14ac:dyDescent="0.25">
      <c r="A32" s="17"/>
      <c r="B32" s="16"/>
      <c r="C32" s="15"/>
      <c r="D32" s="15"/>
      <c r="E32" s="15"/>
      <c r="F32" s="15"/>
      <c r="G32" s="15"/>
      <c r="H32" s="15"/>
      <c r="I32" s="15"/>
      <c r="J32" s="15"/>
      <c r="K32" s="15"/>
      <c r="L32" s="15"/>
    </row>
    <row r="33" spans="1:13" s="104" customFormat="1" ht="11.25" customHeight="1" x14ac:dyDescent="0.25">
      <c r="A33" s="28" t="s">
        <v>20</v>
      </c>
      <c r="B33" s="27" t="s">
        <v>19</v>
      </c>
      <c r="C33" s="9">
        <v>0</v>
      </c>
      <c r="D33" s="10">
        <v>0</v>
      </c>
      <c r="E33" s="10">
        <v>0</v>
      </c>
      <c r="F33" s="10">
        <v>0</v>
      </c>
      <c r="G33" s="10">
        <v>0</v>
      </c>
      <c r="H33" s="9">
        <f>D33+F33+'10-29-20'!H33</f>
        <v>0</v>
      </c>
      <c r="I33" s="9">
        <f>E33+G33+'10-29-20'!I33</f>
        <v>0</v>
      </c>
      <c r="J33" s="9">
        <f t="shared" ref="J33:J48" si="13">H33+I33</f>
        <v>0</v>
      </c>
      <c r="K33" s="9">
        <f>C33-J33</f>
        <v>0</v>
      </c>
      <c r="L33" s="9">
        <f t="shared" ref="L33:L50" si="14">C33-((J33/10)*26.0714285714285)</f>
        <v>0</v>
      </c>
      <c r="M33" s="119"/>
    </row>
    <row r="34" spans="1:13" s="104" customFormat="1" ht="12" customHeight="1" x14ac:dyDescent="0.25">
      <c r="A34" s="32" t="s">
        <v>123</v>
      </c>
      <c r="B34" s="33" t="s">
        <v>55</v>
      </c>
      <c r="C34" s="9">
        <f>2795.22+12000</f>
        <v>14795.22</v>
      </c>
      <c r="D34" s="10">
        <v>0</v>
      </c>
      <c r="E34" s="10">
        <v>0</v>
      </c>
      <c r="F34" s="10">
        <v>0</v>
      </c>
      <c r="G34" s="10">
        <v>0</v>
      </c>
      <c r="H34" s="9">
        <f>D34+F34+'10-29-20'!H34</f>
        <v>2612</v>
      </c>
      <c r="I34" s="9">
        <f>E34+G34+'10-29-20'!I34</f>
        <v>84.06</v>
      </c>
      <c r="J34" s="9">
        <f t="shared" ref="J34" si="15">H34+I34</f>
        <v>2696.06</v>
      </c>
      <c r="K34" s="9">
        <f>C34-J34</f>
        <v>12099.16</v>
      </c>
      <c r="L34" s="9">
        <f t="shared" ref="L34" si="16">C34-((J34/10)*26.0714285714285)</f>
        <v>7766.2064285714478</v>
      </c>
      <c r="M34" s="125"/>
    </row>
    <row r="35" spans="1:13" s="104" customFormat="1" ht="11.25" hidden="1" customHeight="1" x14ac:dyDescent="0.25">
      <c r="A35" s="32" t="s">
        <v>18</v>
      </c>
      <c r="B35" s="27" t="s">
        <v>17</v>
      </c>
      <c r="C35" s="105">
        <v>0</v>
      </c>
      <c r="D35" s="10"/>
      <c r="E35" s="10"/>
      <c r="F35" s="10"/>
      <c r="G35" s="10"/>
      <c r="H35" s="9">
        <f>D35+F35+'10-29-20'!H35</f>
        <v>0</v>
      </c>
      <c r="I35" s="9">
        <f>E35+G35+'10-29-20'!I35</f>
        <v>-1.0000000000005116E-2</v>
      </c>
      <c r="J35" s="9">
        <f t="shared" si="13"/>
        <v>-1.0000000000005116E-2</v>
      </c>
      <c r="K35" s="9">
        <f t="shared" ref="K35:K48" si="17">C35-J35</f>
        <v>1.0000000000005116E-2</v>
      </c>
      <c r="L35" s="9">
        <f t="shared" si="14"/>
        <v>2.6071428571441835E-2</v>
      </c>
      <c r="M35" s="119"/>
    </row>
    <row r="36" spans="1:13" s="106" customFormat="1" ht="11.25" customHeight="1" x14ac:dyDescent="0.25">
      <c r="A36" s="28" t="s">
        <v>16</v>
      </c>
      <c r="B36" s="29" t="s">
        <v>15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f>D36+F36+'10-29-20'!H36</f>
        <v>0</v>
      </c>
      <c r="I36" s="9">
        <f>E36+G36+'10-29-20'!I36</f>
        <v>0</v>
      </c>
      <c r="J36" s="9">
        <f t="shared" si="13"/>
        <v>0</v>
      </c>
      <c r="K36" s="9">
        <f t="shared" si="17"/>
        <v>0</v>
      </c>
      <c r="L36" s="9">
        <f t="shared" si="14"/>
        <v>0</v>
      </c>
      <c r="M36" s="120"/>
    </row>
    <row r="37" spans="1:13" s="106" customFormat="1" ht="11.25" customHeight="1" x14ac:dyDescent="0.25">
      <c r="A37" s="28" t="s">
        <v>97</v>
      </c>
      <c r="B37" s="29" t="s">
        <v>13</v>
      </c>
      <c r="C37" s="9">
        <v>0</v>
      </c>
      <c r="D37" s="130">
        <v>128.91</v>
      </c>
      <c r="E37" s="130">
        <v>2.44</v>
      </c>
      <c r="F37" s="9">
        <v>0</v>
      </c>
      <c r="G37" s="9">
        <v>0</v>
      </c>
      <c r="H37" s="9">
        <f>D37+F37+'10-29-20'!H37</f>
        <v>583.43999999999994</v>
      </c>
      <c r="I37" s="9">
        <f>E37+G37+'10-29-20'!I37</f>
        <v>11.04</v>
      </c>
      <c r="J37" s="9">
        <f t="shared" si="13"/>
        <v>594.4799999999999</v>
      </c>
      <c r="K37" s="107">
        <f t="shared" si="17"/>
        <v>-594.4799999999999</v>
      </c>
      <c r="L37" s="9">
        <f t="shared" si="14"/>
        <v>-1549.8942857142813</v>
      </c>
      <c r="M37" s="116"/>
    </row>
    <row r="38" spans="1:13" s="106" customFormat="1" ht="11.25" customHeight="1" x14ac:dyDescent="0.25">
      <c r="A38" s="28" t="s">
        <v>12</v>
      </c>
      <c r="B38" s="29">
        <v>55110100</v>
      </c>
      <c r="C38" s="9">
        <v>2659</v>
      </c>
      <c r="D38" s="9">
        <v>300</v>
      </c>
      <c r="E38" s="9">
        <v>5.7</v>
      </c>
      <c r="F38" s="9">
        <v>0</v>
      </c>
      <c r="G38" s="9">
        <v>0</v>
      </c>
      <c r="H38" s="9">
        <f>D38+F38+'10-29-20'!H38</f>
        <v>1395</v>
      </c>
      <c r="I38" s="9">
        <f>E38+G38+'10-29-20'!I38</f>
        <v>26.5</v>
      </c>
      <c r="J38" s="9">
        <f t="shared" si="13"/>
        <v>1421.5</v>
      </c>
      <c r="K38" s="9">
        <f t="shared" si="17"/>
        <v>1237.5</v>
      </c>
      <c r="L38" s="9">
        <f t="shared" si="14"/>
        <v>-1047.0535714285611</v>
      </c>
      <c r="M38" s="124"/>
    </row>
    <row r="39" spans="1:13" s="106" customFormat="1" ht="11.45" customHeight="1" x14ac:dyDescent="0.25">
      <c r="A39" s="28" t="s">
        <v>11</v>
      </c>
      <c r="B39" s="27" t="s">
        <v>10</v>
      </c>
      <c r="C39" s="9">
        <v>0</v>
      </c>
      <c r="D39" s="10">
        <v>0</v>
      </c>
      <c r="E39" s="10">
        <v>0</v>
      </c>
      <c r="F39" s="10">
        <v>0</v>
      </c>
      <c r="G39" s="10">
        <v>0</v>
      </c>
      <c r="H39" s="9">
        <f>D39+F39+'10-29-20'!H39</f>
        <v>5.15</v>
      </c>
      <c r="I39" s="9">
        <f>E39+G39+'10-29-20'!I39</f>
        <v>0.09</v>
      </c>
      <c r="J39" s="9">
        <f t="shared" si="13"/>
        <v>5.24</v>
      </c>
      <c r="K39" s="107">
        <f t="shared" si="17"/>
        <v>-5.24</v>
      </c>
      <c r="L39" s="9">
        <f t="shared" si="14"/>
        <v>-13.661428571428534</v>
      </c>
      <c r="M39" s="126"/>
    </row>
    <row r="40" spans="1:13" s="106" customFormat="1" ht="11.45" customHeight="1" x14ac:dyDescent="0.25">
      <c r="A40" s="25" t="s">
        <v>68</v>
      </c>
      <c r="B40" s="108" t="s">
        <v>69</v>
      </c>
      <c r="C40" s="9">
        <v>1500</v>
      </c>
      <c r="D40" s="9">
        <v>0</v>
      </c>
      <c r="E40" s="9">
        <v>0</v>
      </c>
      <c r="F40" s="9">
        <v>0</v>
      </c>
      <c r="G40" s="9">
        <v>0</v>
      </c>
      <c r="H40" s="9">
        <f>D40+F40+'10-29-20'!H40</f>
        <v>378.53</v>
      </c>
      <c r="I40" s="9">
        <f>E40+G40+'10-29-20'!I40</f>
        <v>6.9969999999999999</v>
      </c>
      <c r="J40" s="9">
        <f t="shared" si="13"/>
        <v>385.52699999999999</v>
      </c>
      <c r="K40" s="9">
        <f t="shared" si="17"/>
        <v>1114.473</v>
      </c>
      <c r="L40" s="9">
        <f t="shared" si="14"/>
        <v>494.87603571428849</v>
      </c>
      <c r="M40" s="126"/>
    </row>
    <row r="41" spans="1:13" s="106" customFormat="1" ht="11.45" customHeight="1" x14ac:dyDescent="0.25">
      <c r="A41" s="25" t="s">
        <v>89</v>
      </c>
      <c r="B41" s="108" t="s">
        <v>88</v>
      </c>
      <c r="C41" s="9">
        <v>1200</v>
      </c>
      <c r="D41" s="9">
        <v>38.47</v>
      </c>
      <c r="E41" s="9">
        <v>0.73</v>
      </c>
      <c r="F41" s="9">
        <v>0</v>
      </c>
      <c r="G41" s="9">
        <v>0</v>
      </c>
      <c r="H41" s="9">
        <f>D41+F41+'10-29-20'!H41</f>
        <v>174.23</v>
      </c>
      <c r="I41" s="9">
        <f>E41+G41+'10-29-20'!I41</f>
        <v>3.29</v>
      </c>
      <c r="J41" s="9">
        <f t="shared" si="13"/>
        <v>177.51999999999998</v>
      </c>
      <c r="K41" s="9">
        <f>C41-J41</f>
        <v>1022.48</v>
      </c>
      <c r="L41" s="9">
        <f t="shared" si="14"/>
        <v>737.18000000000131</v>
      </c>
      <c r="M41" s="120"/>
    </row>
    <row r="42" spans="1:13" s="98" customFormat="1" ht="11.45" customHeight="1" x14ac:dyDescent="0.25">
      <c r="A42" s="25" t="s">
        <v>61</v>
      </c>
      <c r="B42" s="108" t="s">
        <v>62</v>
      </c>
      <c r="C42" s="9">
        <v>9800</v>
      </c>
      <c r="D42" s="9">
        <v>243</v>
      </c>
      <c r="E42" s="9">
        <v>4.6100000000000003</v>
      </c>
      <c r="F42" s="9">
        <v>738.75</v>
      </c>
      <c r="G42" s="9">
        <v>38.4</v>
      </c>
      <c r="H42" s="9">
        <f>D42+F42+'10-29-20'!H42</f>
        <v>8208</v>
      </c>
      <c r="I42" s="9">
        <f>E42+G42+'10-29-20'!I42</f>
        <v>394.35999999999996</v>
      </c>
      <c r="J42" s="9">
        <f>H42+I42</f>
        <v>8602.36</v>
      </c>
      <c r="K42" s="9">
        <f>C42-J42</f>
        <v>1197.6399999999994</v>
      </c>
      <c r="L42" s="9">
        <f t="shared" si="14"/>
        <v>-12627.581428571368</v>
      </c>
      <c r="M42" s="116"/>
    </row>
    <row r="43" spans="1:13" s="98" customFormat="1" ht="11.45" customHeight="1" x14ac:dyDescent="0.25">
      <c r="A43" s="25" t="s">
        <v>59</v>
      </c>
      <c r="B43" s="108" t="s">
        <v>60</v>
      </c>
      <c r="C43" s="9">
        <f>2453.12+2598.45</f>
        <v>5051.57</v>
      </c>
      <c r="D43" s="9">
        <v>669</v>
      </c>
      <c r="E43" s="9">
        <v>12.7</v>
      </c>
      <c r="F43" s="9">
        <v>0</v>
      </c>
      <c r="G43" s="9">
        <v>0</v>
      </c>
      <c r="H43" s="9">
        <f>D43+F43+'10-29-20'!H43</f>
        <v>2919.58</v>
      </c>
      <c r="I43" s="9">
        <f>E43+G43+'10-29-20'!I43</f>
        <v>55.45</v>
      </c>
      <c r="J43" s="9">
        <f>H43+I43</f>
        <v>2975.0299999999997</v>
      </c>
      <c r="K43" s="9">
        <f>C43-J43</f>
        <v>2076.54</v>
      </c>
      <c r="L43" s="9">
        <f t="shared" si="14"/>
        <v>-2704.7582142856927</v>
      </c>
      <c r="M43" s="116"/>
    </row>
    <row r="44" spans="1:13" s="98" customFormat="1" ht="11.45" customHeight="1" x14ac:dyDescent="0.25">
      <c r="A44" s="25" t="s">
        <v>70</v>
      </c>
      <c r="B44" s="108" t="s">
        <v>71</v>
      </c>
      <c r="C44" s="9">
        <v>5600</v>
      </c>
      <c r="D44" s="9">
        <v>325.25</v>
      </c>
      <c r="E44" s="9">
        <v>6.17</v>
      </c>
      <c r="F44" s="9">
        <v>0</v>
      </c>
      <c r="G44" s="9">
        <v>0</v>
      </c>
      <c r="H44" s="9">
        <f>D44+F44+'10-29-20'!H44</f>
        <v>3156.06</v>
      </c>
      <c r="I44" s="9">
        <f>E44+G44+'10-29-20'!I44</f>
        <v>59.910000000000004</v>
      </c>
      <c r="J44" s="9">
        <f t="shared" ref="J44" si="18">H44+I44</f>
        <v>3215.97</v>
      </c>
      <c r="K44" s="9">
        <f t="shared" ref="K44" si="19">C44-J44</f>
        <v>2384.0300000000002</v>
      </c>
      <c r="L44" s="9">
        <f t="shared" si="14"/>
        <v>-2784.4932142856906</v>
      </c>
      <c r="M44" s="116"/>
    </row>
    <row r="45" spans="1:13" s="98" customFormat="1" ht="11.45" customHeight="1" x14ac:dyDescent="0.25">
      <c r="A45" s="25" t="s">
        <v>7</v>
      </c>
      <c r="B45" s="108" t="s">
        <v>6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f>D45+F45+'10-29-20'!H45</f>
        <v>0</v>
      </c>
      <c r="I45" s="9">
        <f>E45+G45+'10-29-20'!I45</f>
        <v>0</v>
      </c>
      <c r="J45" s="9">
        <f>H45+I45</f>
        <v>0</v>
      </c>
      <c r="K45" s="9">
        <f>C45-J45</f>
        <v>0</v>
      </c>
      <c r="L45" s="9">
        <f t="shared" si="14"/>
        <v>0</v>
      </c>
      <c r="M45" s="116"/>
    </row>
    <row r="46" spans="1:13" s="98" customFormat="1" ht="11.45" customHeight="1" x14ac:dyDescent="0.25">
      <c r="A46" s="25" t="s">
        <v>9</v>
      </c>
      <c r="B46" s="108" t="s">
        <v>8</v>
      </c>
      <c r="C46" s="9">
        <v>0</v>
      </c>
      <c r="D46" s="10">
        <v>0</v>
      </c>
      <c r="E46" s="10">
        <v>0</v>
      </c>
      <c r="F46" s="10">
        <v>0</v>
      </c>
      <c r="G46" s="10">
        <v>0</v>
      </c>
      <c r="H46" s="9">
        <f>D46+F46+'10-29-20'!H46</f>
        <v>0</v>
      </c>
      <c r="I46" s="9">
        <f>E46+G46+'10-29-20'!I46</f>
        <v>0</v>
      </c>
      <c r="J46" s="9">
        <f t="shared" si="13"/>
        <v>0</v>
      </c>
      <c r="K46" s="9">
        <f t="shared" si="17"/>
        <v>0</v>
      </c>
      <c r="L46" s="9">
        <f t="shared" si="14"/>
        <v>0</v>
      </c>
      <c r="M46" s="116"/>
    </row>
    <row r="47" spans="1:13" s="98" customFormat="1" ht="11.45" customHeight="1" x14ac:dyDescent="0.25">
      <c r="A47" s="25" t="s">
        <v>63</v>
      </c>
      <c r="B47" s="108" t="s">
        <v>66</v>
      </c>
      <c r="C47" s="9">
        <v>1784.19</v>
      </c>
      <c r="D47" s="10">
        <v>0</v>
      </c>
      <c r="E47" s="10">
        <v>0</v>
      </c>
      <c r="F47" s="10">
        <v>0</v>
      </c>
      <c r="G47" s="10">
        <v>0</v>
      </c>
      <c r="H47" s="9">
        <f>D47+F47+'10-29-20'!H47</f>
        <v>1504</v>
      </c>
      <c r="I47" s="9">
        <f>E47+G47+'10-29-20'!I47</f>
        <v>78.179999999999993</v>
      </c>
      <c r="J47" s="9">
        <f t="shared" si="13"/>
        <v>1582.18</v>
      </c>
      <c r="K47" s="9">
        <f t="shared" si="17"/>
        <v>202.01</v>
      </c>
      <c r="L47" s="9">
        <f t="shared" si="14"/>
        <v>-2340.7792857142745</v>
      </c>
      <c r="M47" s="116"/>
    </row>
    <row r="48" spans="1:13" s="98" customFormat="1" ht="11.45" hidden="1" customHeight="1" x14ac:dyDescent="0.25">
      <c r="A48" s="25" t="s">
        <v>64</v>
      </c>
      <c r="B48" s="108" t="s">
        <v>65</v>
      </c>
      <c r="C48" s="97"/>
      <c r="D48" s="10"/>
      <c r="E48" s="10"/>
      <c r="F48" s="10"/>
      <c r="G48" s="10"/>
      <c r="H48" s="9">
        <f>D48+F48+'10-29-20'!H48</f>
        <v>0</v>
      </c>
      <c r="I48" s="9">
        <f>E48+G48+'10-29-20'!I48</f>
        <v>0</v>
      </c>
      <c r="J48" s="9">
        <f t="shared" si="13"/>
        <v>0</v>
      </c>
      <c r="K48" s="9">
        <f t="shared" si="17"/>
        <v>0</v>
      </c>
      <c r="L48" s="9">
        <f t="shared" si="14"/>
        <v>0</v>
      </c>
      <c r="M48" s="116"/>
    </row>
    <row r="49" spans="1:13" s="110" customFormat="1" ht="11.25" customHeight="1" x14ac:dyDescent="0.25">
      <c r="A49" s="25" t="s">
        <v>57</v>
      </c>
      <c r="B49" s="108" t="s">
        <v>58</v>
      </c>
      <c r="C49" s="109">
        <v>843.44</v>
      </c>
      <c r="D49" s="109">
        <v>80.33</v>
      </c>
      <c r="E49" s="109">
        <v>1.52</v>
      </c>
      <c r="F49" s="109">
        <v>0</v>
      </c>
      <c r="G49" s="109">
        <v>0</v>
      </c>
      <c r="H49" s="9">
        <f>D49+F49+'10-29-20'!H49</f>
        <v>756.96000000000015</v>
      </c>
      <c r="I49" s="9">
        <f>E49+G49+'10-29-20'!I49</f>
        <v>14.34</v>
      </c>
      <c r="J49" s="9">
        <f>H49+I49</f>
        <v>771.30000000000018</v>
      </c>
      <c r="K49" s="9">
        <f>C49-J49</f>
        <v>72.139999999999873</v>
      </c>
      <c r="L49" s="9">
        <f t="shared" si="14"/>
        <v>-1167.4492857142807</v>
      </c>
      <c r="M49" s="121"/>
    </row>
    <row r="50" spans="1:13" s="110" customFormat="1" ht="11.25" customHeight="1" x14ac:dyDescent="0.25">
      <c r="A50" s="25" t="s">
        <v>95</v>
      </c>
      <c r="B50" s="108" t="s">
        <v>94</v>
      </c>
      <c r="C50" s="109">
        <v>2000</v>
      </c>
      <c r="D50" s="109">
        <v>40</v>
      </c>
      <c r="E50" s="109">
        <v>0.75</v>
      </c>
      <c r="F50" s="109">
        <v>0</v>
      </c>
      <c r="G50" s="109">
        <v>0</v>
      </c>
      <c r="H50" s="9">
        <f>D50+F50+'10-29-20'!H50</f>
        <v>796.5</v>
      </c>
      <c r="I50" s="9">
        <f>E50+G50+'10-29-20'!I50</f>
        <v>15.939999999999998</v>
      </c>
      <c r="J50" s="9">
        <f>H50+I50</f>
        <v>812.44</v>
      </c>
      <c r="K50" s="9">
        <f>C50-J50</f>
        <v>1187.56</v>
      </c>
      <c r="L50" s="9">
        <f t="shared" si="14"/>
        <v>-118.14714285713671</v>
      </c>
      <c r="M50" s="116"/>
    </row>
    <row r="51" spans="1:13" ht="21.6" customHeight="1" x14ac:dyDescent="0.25">
      <c r="A51" s="153" t="s">
        <v>5</v>
      </c>
      <c r="B51" s="154"/>
      <c r="C51" s="7">
        <f t="shared" ref="C51" si="20">SUM(C33:C49)</f>
        <v>43233.420000000006</v>
      </c>
      <c r="D51" s="7">
        <f t="shared" ref="D51:E51" si="21">SUM(D33:D50)</f>
        <v>1824.96</v>
      </c>
      <c r="E51" s="7">
        <f t="shared" si="21"/>
        <v>34.620000000000005</v>
      </c>
      <c r="F51" s="7">
        <f t="shared" ref="F51:L51" si="22">SUM(F33:F50)</f>
        <v>738.75</v>
      </c>
      <c r="G51" s="7">
        <f t="shared" si="22"/>
        <v>38.4</v>
      </c>
      <c r="H51" s="7">
        <f t="shared" si="22"/>
        <v>22489.449999999997</v>
      </c>
      <c r="I51" s="7">
        <f t="shared" si="22"/>
        <v>750.14699999999993</v>
      </c>
      <c r="J51" s="7">
        <f t="shared" si="22"/>
        <v>23239.596999999998</v>
      </c>
      <c r="K51" s="7">
        <f t="shared" si="22"/>
        <v>21993.822999999997</v>
      </c>
      <c r="L51" s="7">
        <f t="shared" si="22"/>
        <v>-15355.529321428405</v>
      </c>
    </row>
    <row r="52" spans="1:13" ht="10.9" customHeight="1" x14ac:dyDescent="0.25">
      <c r="A52" s="17"/>
      <c r="B52" s="16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3" ht="10.9" customHeight="1" x14ac:dyDescent="0.25">
      <c r="A53" s="17"/>
      <c r="B53" s="16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3" s="92" customFormat="1" ht="10.9" customHeight="1" x14ac:dyDescent="0.25">
      <c r="A54" s="22" t="s">
        <v>4</v>
      </c>
      <c r="B54" s="29" t="s">
        <v>3</v>
      </c>
      <c r="C54" s="9">
        <v>62583</v>
      </c>
      <c r="D54" s="10">
        <v>638.91999999999996</v>
      </c>
      <c r="E54" s="10">
        <v>12.13</v>
      </c>
      <c r="F54" s="10">
        <v>0</v>
      </c>
      <c r="G54" s="10">
        <v>0</v>
      </c>
      <c r="H54" s="9">
        <f>D54+F54+'10-29-20'!H54</f>
        <v>8466.0199999999986</v>
      </c>
      <c r="I54" s="9">
        <f>E54+G54+'10-29-20'!I54</f>
        <v>187.44200000000004</v>
      </c>
      <c r="J54" s="9">
        <f t="shared" ref="J54" si="23">H54+I54</f>
        <v>8653.4619999999995</v>
      </c>
      <c r="K54" s="9">
        <f>C54-J54</f>
        <v>53929.538</v>
      </c>
      <c r="L54" s="9">
        <f>C54-((J54/10)*26.0714285714285)</f>
        <v>40022.188357142921</v>
      </c>
      <c r="M54" s="115"/>
    </row>
    <row r="55" spans="1:13" ht="21.6" customHeight="1" x14ac:dyDescent="0.25">
      <c r="A55" s="20" t="s">
        <v>2</v>
      </c>
      <c r="B55" s="19"/>
      <c r="C55" s="18">
        <f t="shared" ref="C55:L55" si="24">C54</f>
        <v>62583</v>
      </c>
      <c r="D55" s="18">
        <f t="shared" si="24"/>
        <v>638.91999999999996</v>
      </c>
      <c r="E55" s="18">
        <f t="shared" si="24"/>
        <v>12.13</v>
      </c>
      <c r="F55" s="18">
        <f t="shared" si="24"/>
        <v>0</v>
      </c>
      <c r="G55" s="18">
        <f t="shared" si="24"/>
        <v>0</v>
      </c>
      <c r="H55" s="18">
        <f t="shared" si="24"/>
        <v>8466.0199999999986</v>
      </c>
      <c r="I55" s="18">
        <f t="shared" si="24"/>
        <v>187.44200000000004</v>
      </c>
      <c r="J55" s="18">
        <f t="shared" si="24"/>
        <v>8653.4619999999995</v>
      </c>
      <c r="K55" s="18">
        <f t="shared" si="24"/>
        <v>53929.538</v>
      </c>
      <c r="L55" s="18">
        <f t="shared" si="24"/>
        <v>40022.188357142921</v>
      </c>
    </row>
    <row r="56" spans="1:13" ht="10.9" customHeight="1" x14ac:dyDescent="0.25">
      <c r="A56" s="17"/>
      <c r="B56" s="16"/>
      <c r="C56" s="15"/>
      <c r="D56" s="15"/>
      <c r="E56" s="15"/>
      <c r="F56" s="15"/>
      <c r="G56" s="15"/>
      <c r="H56" s="15"/>
      <c r="I56" s="15"/>
      <c r="J56" s="15"/>
      <c r="K56" s="15"/>
      <c r="L56" s="15"/>
    </row>
    <row r="57" spans="1:13" ht="10.9" customHeight="1" x14ac:dyDescent="0.25">
      <c r="A57" s="17"/>
      <c r="B57" s="16"/>
      <c r="C57" s="15"/>
      <c r="D57" s="15"/>
      <c r="E57" s="15"/>
      <c r="F57" s="15"/>
      <c r="G57" s="15"/>
      <c r="H57" s="15"/>
      <c r="I57" s="15"/>
      <c r="J57" s="15"/>
      <c r="K57" s="15"/>
      <c r="L57" s="15"/>
    </row>
    <row r="58" spans="1:13" s="92" customFormat="1" ht="10.9" customHeight="1" x14ac:dyDescent="0.25">
      <c r="A58" s="13" t="s">
        <v>1</v>
      </c>
      <c r="B58" s="33">
        <v>55180000</v>
      </c>
      <c r="C58" s="9">
        <v>37736</v>
      </c>
      <c r="D58" s="10">
        <v>0</v>
      </c>
      <c r="E58" s="10">
        <v>0</v>
      </c>
      <c r="F58" s="10">
        <v>453.22</v>
      </c>
      <c r="G58" s="10">
        <v>23.56</v>
      </c>
      <c r="H58" s="9">
        <f>D58+F58+'10-29-20'!H58</f>
        <v>4210.5599999999995</v>
      </c>
      <c r="I58" s="9">
        <f>E58+G58+'10-29-20'!I58</f>
        <v>218.88000000000002</v>
      </c>
      <c r="J58" s="9">
        <f t="shared" ref="J58" si="25">H58+I58</f>
        <v>4429.4399999999996</v>
      </c>
      <c r="K58" s="9">
        <f>C58-J58</f>
        <v>33306.559999999998</v>
      </c>
      <c r="L58" s="9">
        <f>C58-((J58/10)*26.0714285714285)</f>
        <v>26187.817142857177</v>
      </c>
      <c r="M58" s="115"/>
    </row>
    <row r="59" spans="1:13" s="3" customFormat="1" ht="21.6" customHeight="1" x14ac:dyDescent="0.25">
      <c r="A59" s="153" t="s">
        <v>0</v>
      </c>
      <c r="B59" s="154"/>
      <c r="C59" s="7">
        <f t="shared" ref="C59:L59" si="26">SUM(C58)</f>
        <v>37736</v>
      </c>
      <c r="D59" s="7">
        <f t="shared" si="26"/>
        <v>0</v>
      </c>
      <c r="E59" s="7">
        <f t="shared" si="26"/>
        <v>0</v>
      </c>
      <c r="F59" s="7">
        <f t="shared" si="26"/>
        <v>453.22</v>
      </c>
      <c r="G59" s="7">
        <f t="shared" si="26"/>
        <v>23.56</v>
      </c>
      <c r="H59" s="7">
        <f t="shared" si="26"/>
        <v>4210.5599999999995</v>
      </c>
      <c r="I59" s="7">
        <f t="shared" si="26"/>
        <v>218.88000000000002</v>
      </c>
      <c r="J59" s="7">
        <f t="shared" si="26"/>
        <v>4429.4399999999996</v>
      </c>
      <c r="K59" s="7">
        <f t="shared" si="26"/>
        <v>33306.559999999998</v>
      </c>
      <c r="L59" s="7">
        <f t="shared" si="26"/>
        <v>26187.817142857177</v>
      </c>
      <c r="M59" s="122"/>
    </row>
    <row r="60" spans="1:13" s="3" customFormat="1" ht="11.25" customHeight="1" x14ac:dyDescent="0.25">
      <c r="A60" s="6"/>
      <c r="B60" s="5"/>
      <c r="C60" s="4"/>
      <c r="D60" s="4"/>
      <c r="E60" s="4"/>
      <c r="F60" s="4"/>
      <c r="G60" s="4"/>
      <c r="H60" s="4"/>
      <c r="I60" s="4"/>
      <c r="J60" s="4"/>
      <c r="K60" s="4"/>
      <c r="L60" s="4"/>
      <c r="M60" s="122"/>
    </row>
    <row r="61" spans="1:13" s="2" customFormat="1" ht="10.5" customHeight="1" x14ac:dyDescent="0.25">
      <c r="A61" s="160" t="s">
        <v>72</v>
      </c>
      <c r="B61" s="160"/>
      <c r="C61" s="160"/>
      <c r="D61" s="160"/>
      <c r="E61" s="160"/>
      <c r="F61" s="160"/>
      <c r="G61" s="82">
        <v>12000</v>
      </c>
      <c r="M61" s="111"/>
    </row>
    <row r="62" spans="1:13" s="2" customFormat="1" ht="10.5" customHeight="1" x14ac:dyDescent="0.25">
      <c r="A62" s="160" t="s">
        <v>73</v>
      </c>
      <c r="B62" s="160"/>
      <c r="C62" s="160"/>
      <c r="D62" s="160"/>
      <c r="E62" s="160"/>
      <c r="F62" s="160"/>
      <c r="G62" s="82">
        <v>5600</v>
      </c>
      <c r="M62" s="111"/>
    </row>
    <row r="63" spans="1:13" ht="10.5" customHeight="1" x14ac:dyDescent="0.25">
      <c r="A63" s="160" t="s">
        <v>76</v>
      </c>
      <c r="B63" s="160"/>
      <c r="C63" s="160"/>
      <c r="D63" s="160"/>
      <c r="E63" s="160"/>
      <c r="F63" s="160"/>
      <c r="G63" s="82">
        <v>9800</v>
      </c>
    </row>
    <row r="64" spans="1:13" ht="10.5" customHeight="1" x14ac:dyDescent="0.25">
      <c r="A64" s="160" t="s">
        <v>75</v>
      </c>
      <c r="B64" s="160"/>
      <c r="C64" s="160"/>
      <c r="D64" s="160"/>
      <c r="E64" s="160"/>
      <c r="F64" s="160"/>
      <c r="G64" s="82">
        <v>1500</v>
      </c>
    </row>
    <row r="65" spans="1:13" ht="10.5" customHeight="1" x14ac:dyDescent="0.25">
      <c r="A65" s="160" t="s">
        <v>74</v>
      </c>
      <c r="B65" s="160"/>
      <c r="C65" s="160"/>
      <c r="D65" s="160"/>
      <c r="E65" s="160"/>
      <c r="F65" s="160"/>
      <c r="G65" s="82">
        <v>843.44</v>
      </c>
    </row>
    <row r="66" spans="1:13" ht="10.5" customHeight="1" x14ac:dyDescent="0.25">
      <c r="A66" s="160" t="s">
        <v>77</v>
      </c>
      <c r="B66" s="160"/>
      <c r="C66" s="160"/>
      <c r="D66" s="160"/>
      <c r="E66" s="160"/>
      <c r="F66" s="160"/>
      <c r="G66" s="82">
        <v>1784.19</v>
      </c>
    </row>
    <row r="67" spans="1:13" ht="10.5" customHeight="1" x14ac:dyDescent="0.25">
      <c r="A67" s="160" t="s">
        <v>78</v>
      </c>
      <c r="B67" s="160"/>
      <c r="C67" s="160"/>
      <c r="D67" s="160"/>
      <c r="E67" s="160"/>
      <c r="F67" s="160"/>
      <c r="G67" s="82">
        <v>2453.12</v>
      </c>
    </row>
    <row r="68" spans="1:13" s="2" customFormat="1" ht="10.5" customHeight="1" x14ac:dyDescent="0.25">
      <c r="A68" s="160" t="s">
        <v>84</v>
      </c>
      <c r="B68" s="160"/>
      <c r="C68" s="160"/>
      <c r="D68" s="160"/>
      <c r="E68" s="160"/>
      <c r="F68" s="160"/>
      <c r="G68" s="82">
        <v>2598.4499999999998</v>
      </c>
      <c r="M68" s="112"/>
    </row>
    <row r="69" spans="1:13" s="2" customFormat="1" ht="10.5" customHeight="1" x14ac:dyDescent="0.25">
      <c r="A69" s="160" t="s">
        <v>85</v>
      </c>
      <c r="B69" s="160"/>
      <c r="C69" s="160"/>
      <c r="D69" s="160"/>
      <c r="E69" s="160"/>
      <c r="F69" s="160"/>
      <c r="G69" s="82">
        <v>2659</v>
      </c>
      <c r="M69" s="112"/>
    </row>
    <row r="70" spans="1:13" s="2" customFormat="1" ht="10.5" customHeight="1" x14ac:dyDescent="0.25">
      <c r="A70" s="160" t="s">
        <v>90</v>
      </c>
      <c r="B70" s="160"/>
      <c r="C70" s="160"/>
      <c r="D70" s="160"/>
      <c r="E70" s="160"/>
      <c r="F70" s="160"/>
      <c r="G70" s="82">
        <v>1200</v>
      </c>
      <c r="M70" s="112"/>
    </row>
    <row r="71" spans="1:13" s="2" customFormat="1" ht="10.5" customHeight="1" x14ac:dyDescent="0.25">
      <c r="A71" s="160" t="s">
        <v>93</v>
      </c>
      <c r="B71" s="160"/>
      <c r="C71" s="160"/>
      <c r="D71" s="160"/>
      <c r="E71" s="160"/>
      <c r="F71" s="160"/>
      <c r="G71" s="82">
        <v>2109</v>
      </c>
      <c r="M71" s="111"/>
    </row>
    <row r="73" spans="1:13" x14ac:dyDescent="0.25">
      <c r="D73" s="111"/>
      <c r="E73" s="111"/>
      <c r="F73" s="111"/>
      <c r="G73" s="111"/>
    </row>
    <row r="75" spans="1:13" x14ac:dyDescent="0.25">
      <c r="D75" s="111"/>
    </row>
    <row r="76" spans="1:13" x14ac:dyDescent="0.25">
      <c r="D76" s="111"/>
    </row>
    <row r="77" spans="1:13" x14ac:dyDescent="0.25">
      <c r="D77" s="111"/>
      <c r="E77" s="111"/>
      <c r="F77" s="111"/>
      <c r="G77" s="111"/>
    </row>
    <row r="78" spans="1:13" x14ac:dyDescent="0.25">
      <c r="D78" s="111"/>
      <c r="E78" s="111"/>
      <c r="F78" s="111"/>
      <c r="G78" s="111"/>
    </row>
    <row r="79" spans="1:13" x14ac:dyDescent="0.25">
      <c r="D79" s="111"/>
      <c r="E79" s="111"/>
      <c r="F79" s="111"/>
      <c r="G79" s="111"/>
    </row>
    <row r="80" spans="1:13" x14ac:dyDescent="0.25">
      <c r="D80" s="111"/>
      <c r="E80" s="111"/>
      <c r="F80" s="111"/>
      <c r="G80" s="111"/>
    </row>
    <row r="81" spans="4:7" x14ac:dyDescent="0.25">
      <c r="D81" s="111"/>
      <c r="E81" s="111"/>
      <c r="F81" s="111"/>
      <c r="G81" s="111"/>
    </row>
    <row r="82" spans="4:7" x14ac:dyDescent="0.25">
      <c r="D82" s="111"/>
      <c r="E82" s="111"/>
      <c r="F82" s="111"/>
      <c r="G82" s="111"/>
    </row>
    <row r="83" spans="4:7" x14ac:dyDescent="0.25">
      <c r="D83" s="111"/>
      <c r="E83" s="111"/>
      <c r="F83" s="111"/>
      <c r="G83" s="111"/>
    </row>
  </sheetData>
  <mergeCells count="17">
    <mergeCell ref="A66:F66"/>
    <mergeCell ref="A15:B15"/>
    <mergeCell ref="A21:B21"/>
    <mergeCell ref="A27:B27"/>
    <mergeCell ref="A30:B30"/>
    <mergeCell ref="A51:B51"/>
    <mergeCell ref="A59:B59"/>
    <mergeCell ref="A61:F61"/>
    <mergeCell ref="A62:F62"/>
    <mergeCell ref="A63:F63"/>
    <mergeCell ref="A64:F64"/>
    <mergeCell ref="A65:F65"/>
    <mergeCell ref="A67:F67"/>
    <mergeCell ref="A68:F68"/>
    <mergeCell ref="A69:F69"/>
    <mergeCell ref="A70:F70"/>
    <mergeCell ref="A71:F71"/>
  </mergeCells>
  <pageMargins left="0.25" right="0" top="0.4" bottom="0" header="0.3" footer="0"/>
  <pageSetup scale="83" fitToWidth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M83"/>
  <sheetViews>
    <sheetView zoomScale="160" zoomScaleNormal="160" workbookViewId="0">
      <pane ySplit="2" topLeftCell="A27" activePane="bottomLeft" state="frozen"/>
      <selection pane="bottomLeft" activeCell="K37" sqref="K37"/>
    </sheetView>
  </sheetViews>
  <sheetFormatPr defaultColWidth="28" defaultRowHeight="15" x14ac:dyDescent="0.25"/>
  <cols>
    <col min="1" max="1" width="34" style="1" bestFit="1" customWidth="1"/>
    <col min="2" max="2" width="19" style="1" bestFit="1" customWidth="1"/>
    <col min="3" max="3" width="11" style="77" customWidth="1"/>
    <col min="4" max="4" width="7.5703125" style="2" bestFit="1" customWidth="1"/>
    <col min="5" max="5" width="6.28515625" style="2" bestFit="1" customWidth="1"/>
    <col min="6" max="6" width="9" style="2" bestFit="1" customWidth="1"/>
    <col min="7" max="7" width="8.7109375" style="2" bestFit="1" customWidth="1"/>
    <col min="8" max="8" width="8.42578125" style="2" bestFit="1" customWidth="1"/>
    <col min="9" max="9" width="9.42578125" style="2" bestFit="1" customWidth="1"/>
    <col min="10" max="10" width="9.7109375" style="2" bestFit="1" customWidth="1"/>
    <col min="11" max="11" width="9.28515625" style="2" bestFit="1" customWidth="1"/>
    <col min="12" max="12" width="13.42578125" style="2" bestFit="1" customWidth="1"/>
    <col min="13" max="13" width="84.5703125" style="112" bestFit="1" customWidth="1"/>
    <col min="14" max="16384" width="28" style="1"/>
  </cols>
  <sheetData>
    <row r="1" spans="1:13" ht="11.25" customHeight="1" x14ac:dyDescent="0.25">
      <c r="A1" s="68"/>
      <c r="B1" s="67"/>
      <c r="C1" s="76"/>
      <c r="D1" s="66"/>
      <c r="E1" s="66"/>
      <c r="F1" s="66"/>
      <c r="G1" s="66"/>
      <c r="H1" s="66"/>
      <c r="I1" s="66"/>
      <c r="J1" s="66"/>
      <c r="K1" s="66"/>
      <c r="L1" s="65" t="s">
        <v>98</v>
      </c>
    </row>
    <row r="2" spans="1:13" s="61" customFormat="1" ht="23.25" x14ac:dyDescent="0.25">
      <c r="A2" s="64" t="s">
        <v>53</v>
      </c>
      <c r="B2" s="64" t="s">
        <v>52</v>
      </c>
      <c r="C2" s="63" t="s">
        <v>51</v>
      </c>
      <c r="D2" s="63" t="s">
        <v>50</v>
      </c>
      <c r="E2" s="63" t="s">
        <v>48</v>
      </c>
      <c r="F2" s="63" t="s">
        <v>49</v>
      </c>
      <c r="G2" s="63" t="s">
        <v>48</v>
      </c>
      <c r="H2" s="62" t="s">
        <v>47</v>
      </c>
      <c r="I2" s="62" t="s">
        <v>46</v>
      </c>
      <c r="J2" s="62" t="s">
        <v>45</v>
      </c>
      <c r="K2" s="62" t="s">
        <v>44</v>
      </c>
      <c r="L2" s="62" t="s">
        <v>43</v>
      </c>
      <c r="M2" s="113"/>
    </row>
    <row r="3" spans="1:13" s="101" customFormat="1" ht="11.25" customHeight="1" x14ac:dyDescent="0.25">
      <c r="A3" s="22" t="s">
        <v>42</v>
      </c>
      <c r="B3" s="29">
        <v>55010300</v>
      </c>
      <c r="C3" s="9">
        <v>0</v>
      </c>
      <c r="D3" s="9">
        <v>0</v>
      </c>
      <c r="E3" s="9">
        <v>0</v>
      </c>
      <c r="F3" s="9">
        <v>0</v>
      </c>
      <c r="G3" s="9">
        <v>0</v>
      </c>
      <c r="H3" s="9">
        <f>D3+F3+'11-12-20'!H3</f>
        <v>0</v>
      </c>
      <c r="I3" s="9">
        <f>E3+G3+'11-12-20'!I3</f>
        <v>0</v>
      </c>
      <c r="J3" s="9">
        <f t="shared" ref="J3:J14" si="0">H3+I3</f>
        <v>0</v>
      </c>
      <c r="K3" s="9">
        <f>C3-J3</f>
        <v>0</v>
      </c>
      <c r="L3" s="9">
        <f>C3-((J3/11)*26.0714285714285)</f>
        <v>0</v>
      </c>
      <c r="M3" s="114"/>
    </row>
    <row r="4" spans="1:13" s="101" customFormat="1" ht="11.25" customHeight="1" x14ac:dyDescent="0.25">
      <c r="A4" s="22" t="s">
        <v>41</v>
      </c>
      <c r="B4" s="29">
        <v>55010500</v>
      </c>
      <c r="C4" s="9">
        <v>3229</v>
      </c>
      <c r="D4" s="10">
        <v>0</v>
      </c>
      <c r="E4" s="10">
        <v>0</v>
      </c>
      <c r="F4" s="10">
        <v>0</v>
      </c>
      <c r="G4" s="10">
        <v>0</v>
      </c>
      <c r="H4" s="9">
        <f>D4+F4+'11-12-20'!H4</f>
        <v>0</v>
      </c>
      <c r="I4" s="9">
        <f>E4+G4+'11-12-20'!I4</f>
        <v>0</v>
      </c>
      <c r="J4" s="9">
        <f t="shared" si="0"/>
        <v>0</v>
      </c>
      <c r="K4" s="9">
        <f t="shared" ref="K4:K14" si="1">C4-J4</f>
        <v>3229</v>
      </c>
      <c r="L4" s="9">
        <f t="shared" ref="L4:L14" si="2">C4-((J4/11)*26.0714285714285)</f>
        <v>3229</v>
      </c>
      <c r="M4" s="114"/>
    </row>
    <row r="5" spans="1:13" s="92" customFormat="1" ht="11.25" customHeight="1" x14ac:dyDescent="0.25">
      <c r="A5" s="58" t="s">
        <v>40</v>
      </c>
      <c r="B5" s="102">
        <v>55020200</v>
      </c>
      <c r="C5" s="103">
        <v>24649</v>
      </c>
      <c r="D5" s="55">
        <v>309.95</v>
      </c>
      <c r="E5" s="55">
        <v>5.88</v>
      </c>
      <c r="F5" s="55">
        <v>0</v>
      </c>
      <c r="G5" s="55">
        <v>0</v>
      </c>
      <c r="H5" s="9">
        <f>D5+F5+'11-12-20'!H5</f>
        <v>6467.1100000000006</v>
      </c>
      <c r="I5" s="9">
        <f>E5+G5+'11-12-20'!I5</f>
        <v>122.78999999999998</v>
      </c>
      <c r="J5" s="9">
        <f t="shared" si="0"/>
        <v>6589.9000000000005</v>
      </c>
      <c r="K5" s="9">
        <f t="shared" si="1"/>
        <v>18059.099999999999</v>
      </c>
      <c r="L5" s="9">
        <f t="shared" si="2"/>
        <v>9030.0811688312115</v>
      </c>
      <c r="M5" s="115"/>
    </row>
    <row r="6" spans="1:13" s="92" customFormat="1" ht="11.25" customHeight="1" x14ac:dyDescent="0.25">
      <c r="A6" s="22" t="s">
        <v>39</v>
      </c>
      <c r="B6" s="29">
        <v>55020300</v>
      </c>
      <c r="C6" s="9">
        <v>17974</v>
      </c>
      <c r="D6" s="10">
        <v>307.05</v>
      </c>
      <c r="E6" s="10">
        <v>5.83</v>
      </c>
      <c r="F6" s="10">
        <v>0</v>
      </c>
      <c r="G6" s="10">
        <v>0</v>
      </c>
      <c r="H6" s="9">
        <f>D6+F6+'11-12-20'!H6</f>
        <v>2802.7100000000005</v>
      </c>
      <c r="I6" s="9">
        <f>E6+G6+'11-12-20'!I6</f>
        <v>53.2</v>
      </c>
      <c r="J6" s="9">
        <f t="shared" si="0"/>
        <v>2855.9100000000003</v>
      </c>
      <c r="K6" s="9">
        <f t="shared" si="1"/>
        <v>15118.09</v>
      </c>
      <c r="L6" s="9">
        <f t="shared" si="2"/>
        <v>11205.122402597419</v>
      </c>
      <c r="M6" s="115"/>
    </row>
    <row r="7" spans="1:13" s="92" customFormat="1" ht="11.25" customHeight="1" x14ac:dyDescent="0.25">
      <c r="A7" s="22" t="s">
        <v>38</v>
      </c>
      <c r="B7" s="29">
        <v>55020400</v>
      </c>
      <c r="C7" s="9">
        <v>17974</v>
      </c>
      <c r="D7" s="10">
        <v>353.83</v>
      </c>
      <c r="E7" s="10">
        <v>6.72</v>
      </c>
      <c r="F7" s="10">
        <v>0</v>
      </c>
      <c r="G7" s="10">
        <v>0</v>
      </c>
      <c r="H7" s="9">
        <f>D7+F7+'11-12-20'!H7</f>
        <v>2356.7000000000003</v>
      </c>
      <c r="I7" s="9">
        <f>E7+G7+'11-12-20'!I7</f>
        <v>44.73</v>
      </c>
      <c r="J7" s="9">
        <f t="shared" si="0"/>
        <v>2401.4300000000003</v>
      </c>
      <c r="K7" s="9">
        <f t="shared" si="1"/>
        <v>15572.57</v>
      </c>
      <c r="L7" s="9">
        <f t="shared" si="2"/>
        <v>12282.29902597404</v>
      </c>
      <c r="M7" s="115"/>
    </row>
    <row r="8" spans="1:13" s="92" customFormat="1" ht="11.25" customHeight="1" x14ac:dyDescent="0.25">
      <c r="A8" s="22" t="s">
        <v>92</v>
      </c>
      <c r="B8" s="29">
        <v>55030100</v>
      </c>
      <c r="C8" s="9">
        <v>2109</v>
      </c>
      <c r="D8" s="9">
        <v>116.2</v>
      </c>
      <c r="E8" s="9">
        <v>2.2000000000000002</v>
      </c>
      <c r="F8" s="9">
        <v>0</v>
      </c>
      <c r="G8" s="9">
        <v>0</v>
      </c>
      <c r="H8" s="9">
        <f>D8+F8+'11-12-20'!H8</f>
        <v>574.43000000000006</v>
      </c>
      <c r="I8" s="9">
        <f>E8+G8+'11-12-20'!I8</f>
        <v>10.879999999999999</v>
      </c>
      <c r="J8" s="9">
        <f t="shared" si="0"/>
        <v>585.31000000000006</v>
      </c>
      <c r="K8" s="9">
        <f t="shared" si="1"/>
        <v>1523.69</v>
      </c>
      <c r="L8" s="9">
        <f t="shared" si="2"/>
        <v>721.73928571428951</v>
      </c>
      <c r="M8" s="115"/>
    </row>
    <row r="9" spans="1:13" s="92" customFormat="1" ht="11.25" customHeight="1" x14ac:dyDescent="0.25">
      <c r="A9" s="54" t="s">
        <v>37</v>
      </c>
      <c r="B9" s="29">
        <v>55030200</v>
      </c>
      <c r="C9" s="9">
        <v>24330</v>
      </c>
      <c r="D9" s="10">
        <v>288.19</v>
      </c>
      <c r="E9" s="10">
        <v>5.47</v>
      </c>
      <c r="F9" s="10">
        <v>0</v>
      </c>
      <c r="G9" s="10">
        <v>0</v>
      </c>
      <c r="H9" s="9">
        <f>D9+F9+'11-12-20'!H9</f>
        <v>4558.46</v>
      </c>
      <c r="I9" s="9">
        <f>E9+G9+'11-12-20'!I9</f>
        <v>86.550000000000011</v>
      </c>
      <c r="J9" s="9">
        <f t="shared" si="0"/>
        <v>4645.01</v>
      </c>
      <c r="K9" s="9">
        <f t="shared" si="1"/>
        <v>19684.989999999998</v>
      </c>
      <c r="L9" s="9">
        <f t="shared" si="2"/>
        <v>13320.723051948082</v>
      </c>
      <c r="M9" s="123"/>
    </row>
    <row r="10" spans="1:13" s="92" customFormat="1" ht="11.25" customHeight="1" x14ac:dyDescent="0.25">
      <c r="A10" s="22" t="s">
        <v>36</v>
      </c>
      <c r="B10" s="29">
        <v>55050200</v>
      </c>
      <c r="C10" s="9">
        <v>34000</v>
      </c>
      <c r="D10" s="10">
        <v>1367.63</v>
      </c>
      <c r="E10" s="10">
        <v>25.98</v>
      </c>
      <c r="F10" s="10">
        <v>0</v>
      </c>
      <c r="G10" s="10">
        <v>0</v>
      </c>
      <c r="H10" s="9">
        <f>D10+F10+'11-12-20'!H10</f>
        <v>9605.9000000000015</v>
      </c>
      <c r="I10" s="9">
        <f>E10+G10+'11-12-20'!I10</f>
        <v>182.43999999999997</v>
      </c>
      <c r="J10" s="9">
        <f t="shared" si="0"/>
        <v>9788.340000000002</v>
      </c>
      <c r="K10" s="9">
        <f t="shared" si="1"/>
        <v>24211.659999999996</v>
      </c>
      <c r="L10" s="9">
        <f t="shared" si="2"/>
        <v>10800.36298701305</v>
      </c>
      <c r="M10" s="123"/>
    </row>
    <row r="11" spans="1:13" s="92" customFormat="1" ht="11.25" hidden="1" customHeight="1" x14ac:dyDescent="0.25">
      <c r="A11" s="22" t="s">
        <v>80</v>
      </c>
      <c r="B11" s="29">
        <v>55050300</v>
      </c>
      <c r="C11" s="97"/>
      <c r="D11" s="9"/>
      <c r="E11" s="9"/>
      <c r="F11" s="9"/>
      <c r="G11" s="9"/>
      <c r="H11" s="9">
        <f>D11+F11+'11-12-20'!H11</f>
        <v>-310</v>
      </c>
      <c r="I11" s="9">
        <f>E11+G11+'11-12-20'!I11</f>
        <v>-5.8900000000000006</v>
      </c>
      <c r="J11" s="9">
        <f t="shared" si="0"/>
        <v>-315.89</v>
      </c>
      <c r="K11" s="9">
        <f t="shared" si="1"/>
        <v>315.89</v>
      </c>
      <c r="L11" s="9">
        <f t="shared" si="2"/>
        <v>748.70032467532246</v>
      </c>
      <c r="M11" s="116"/>
    </row>
    <row r="12" spans="1:13" s="98" customFormat="1" ht="11.25" customHeight="1" x14ac:dyDescent="0.25">
      <c r="A12" s="22" t="s">
        <v>35</v>
      </c>
      <c r="B12" s="29">
        <v>55070100</v>
      </c>
      <c r="C12" s="9">
        <v>42741</v>
      </c>
      <c r="D12" s="10">
        <v>952.46</v>
      </c>
      <c r="E12" s="10">
        <v>18.09</v>
      </c>
      <c r="F12" s="10">
        <v>0</v>
      </c>
      <c r="G12" s="10">
        <v>0</v>
      </c>
      <c r="H12" s="9">
        <f>D12+F12+'11-12-20'!H12</f>
        <v>8850.74</v>
      </c>
      <c r="I12" s="9">
        <f>E12+G12+'11-12-20'!I12</f>
        <v>169.14</v>
      </c>
      <c r="J12" s="9">
        <f t="shared" si="0"/>
        <v>9019.8799999999992</v>
      </c>
      <c r="K12" s="9">
        <f t="shared" si="1"/>
        <v>33721.120000000003</v>
      </c>
      <c r="L12" s="9">
        <f t="shared" si="2"/>
        <v>21362.712987013048</v>
      </c>
      <c r="M12" s="124"/>
    </row>
    <row r="13" spans="1:13" s="92" customFormat="1" ht="11.25" customHeight="1" x14ac:dyDescent="0.25">
      <c r="A13" s="22" t="s">
        <v>34</v>
      </c>
      <c r="B13" s="29">
        <v>55080100</v>
      </c>
      <c r="C13" s="9">
        <v>23173</v>
      </c>
      <c r="D13" s="10">
        <v>741.98</v>
      </c>
      <c r="E13" s="10">
        <v>14.09</v>
      </c>
      <c r="F13" s="10">
        <v>0</v>
      </c>
      <c r="G13" s="10">
        <v>0</v>
      </c>
      <c r="H13" s="9">
        <f>D13+F13+'11-12-20'!H13</f>
        <v>7021.73</v>
      </c>
      <c r="I13" s="9">
        <f>E13+G13+'11-12-20'!I13</f>
        <v>133.35</v>
      </c>
      <c r="J13" s="9">
        <f t="shared" si="0"/>
        <v>7155.08</v>
      </c>
      <c r="K13" s="9">
        <f t="shared" si="1"/>
        <v>16017.92</v>
      </c>
      <c r="L13" s="9">
        <f t="shared" si="2"/>
        <v>6214.531168831214</v>
      </c>
      <c r="M13" s="123"/>
    </row>
    <row r="14" spans="1:13" s="99" customFormat="1" ht="11.25" customHeight="1" x14ac:dyDescent="0.25">
      <c r="A14" s="53" t="s">
        <v>33</v>
      </c>
      <c r="B14" s="33">
        <v>55190000</v>
      </c>
      <c r="C14" s="9">
        <v>6000</v>
      </c>
      <c r="D14" s="10">
        <f>46.02+5.15</f>
        <v>51.17</v>
      </c>
      <c r="E14" s="10">
        <f>0.87+0.09</f>
        <v>0.96</v>
      </c>
      <c r="F14" s="10">
        <v>0</v>
      </c>
      <c r="G14" s="10">
        <v>0</v>
      </c>
      <c r="H14" s="9">
        <f>D14+F14+'11-12-20'!H14</f>
        <v>85.59</v>
      </c>
      <c r="I14" s="9">
        <f>E14+G14+'11-12-20'!I14</f>
        <v>1.6</v>
      </c>
      <c r="J14" s="9">
        <f t="shared" si="0"/>
        <v>87.19</v>
      </c>
      <c r="K14" s="9">
        <f t="shared" si="1"/>
        <v>5912.81</v>
      </c>
      <c r="L14" s="9">
        <f t="shared" si="2"/>
        <v>5793.3483766233776</v>
      </c>
      <c r="M14" s="117"/>
    </row>
    <row r="15" spans="1:13" ht="21.6" customHeight="1" thickBot="1" x14ac:dyDescent="0.3">
      <c r="A15" s="155" t="s">
        <v>32</v>
      </c>
      <c r="B15" s="156"/>
      <c r="C15" s="49">
        <f t="shared" ref="C15:L15" si="3">SUM(C3:C14)</f>
        <v>196179</v>
      </c>
      <c r="D15" s="7">
        <f t="shared" si="3"/>
        <v>4488.4600000000009</v>
      </c>
      <c r="E15" s="7">
        <f t="shared" si="3"/>
        <v>85.22</v>
      </c>
      <c r="F15" s="7">
        <f t="shared" si="3"/>
        <v>0</v>
      </c>
      <c r="G15" s="7">
        <f t="shared" si="3"/>
        <v>0</v>
      </c>
      <c r="H15" s="7">
        <f t="shared" si="3"/>
        <v>42013.369999999995</v>
      </c>
      <c r="I15" s="7">
        <f t="shared" si="3"/>
        <v>798.79</v>
      </c>
      <c r="J15" s="49">
        <f t="shared" si="3"/>
        <v>42812.160000000003</v>
      </c>
      <c r="K15" s="49">
        <f t="shared" si="3"/>
        <v>153366.84000000003</v>
      </c>
      <c r="L15" s="7">
        <f t="shared" si="3"/>
        <v>94708.620779221063</v>
      </c>
    </row>
    <row r="16" spans="1:13" ht="11.25" customHeight="1" x14ac:dyDescent="0.25">
      <c r="A16" s="52"/>
      <c r="B16" s="41"/>
      <c r="C16" s="39"/>
      <c r="D16" s="39"/>
      <c r="E16" s="39"/>
      <c r="F16" s="39"/>
      <c r="G16" s="39"/>
      <c r="H16" s="39"/>
      <c r="I16" s="39"/>
      <c r="J16" s="39"/>
      <c r="K16" s="39"/>
      <c r="L16" s="51"/>
    </row>
    <row r="17" spans="1:13" ht="11.25" customHeight="1" thickBot="1" x14ac:dyDescent="0.3">
      <c r="A17" s="38"/>
      <c r="B17" s="37"/>
      <c r="C17" s="35"/>
      <c r="D17" s="35"/>
      <c r="E17" s="35"/>
      <c r="F17" s="35"/>
      <c r="G17" s="35"/>
      <c r="H17" s="35"/>
      <c r="I17" s="35"/>
      <c r="J17" s="35"/>
      <c r="K17" s="35"/>
      <c r="L17" s="50"/>
    </row>
    <row r="18" spans="1:13" s="92" customFormat="1" ht="11.45" customHeight="1" x14ac:dyDescent="0.25">
      <c r="A18" s="13" t="s">
        <v>31</v>
      </c>
      <c r="B18" s="33">
        <v>55090100</v>
      </c>
      <c r="C18" s="9">
        <v>26923</v>
      </c>
      <c r="D18" s="10">
        <v>0</v>
      </c>
      <c r="E18" s="10">
        <v>0</v>
      </c>
      <c r="F18" s="10">
        <v>1080</v>
      </c>
      <c r="G18" s="10">
        <v>56.16</v>
      </c>
      <c r="H18" s="9">
        <f>D18+F18+'11-12-20'!H18</f>
        <v>12255</v>
      </c>
      <c r="I18" s="9">
        <f>E18+G18+'11-12-20'!I18</f>
        <v>637.24999999999989</v>
      </c>
      <c r="J18" s="9">
        <f t="shared" ref="J18:J20" si="4">H18+I18</f>
        <v>12892.25</v>
      </c>
      <c r="K18" s="9">
        <f>C18-J18</f>
        <v>14030.75</v>
      </c>
      <c r="L18" s="9">
        <f t="shared" ref="L18:L20" si="5">C18-((J18/11)*26.0714285714285)</f>
        <v>-3633.3068181817325</v>
      </c>
      <c r="M18" s="115"/>
    </row>
    <row r="19" spans="1:13" s="92" customFormat="1" ht="11.45" customHeight="1" x14ac:dyDescent="0.25">
      <c r="A19" s="22" t="s">
        <v>30</v>
      </c>
      <c r="B19" s="29">
        <v>55160100</v>
      </c>
      <c r="C19" s="9">
        <f>16062-2109</f>
        <v>13953</v>
      </c>
      <c r="D19" s="9">
        <v>0</v>
      </c>
      <c r="E19" s="9">
        <v>0</v>
      </c>
      <c r="F19" s="10">
        <v>0</v>
      </c>
      <c r="G19" s="10">
        <v>0</v>
      </c>
      <c r="H19" s="9">
        <f>D19+F19+'11-12-20'!H19</f>
        <v>0</v>
      </c>
      <c r="I19" s="9">
        <f>E19+G19+'11-12-20'!I19</f>
        <v>0</v>
      </c>
      <c r="J19" s="9">
        <f t="shared" si="4"/>
        <v>0</v>
      </c>
      <c r="K19" s="9">
        <f t="shared" ref="K19:K20" si="6">C19-J19</f>
        <v>13953</v>
      </c>
      <c r="L19" s="9">
        <f t="shared" si="5"/>
        <v>13953</v>
      </c>
      <c r="M19" s="115"/>
    </row>
    <row r="20" spans="1:13" s="92" customFormat="1" ht="11.45" customHeight="1" x14ac:dyDescent="0.25">
      <c r="A20" s="13" t="s">
        <v>29</v>
      </c>
      <c r="B20" s="33">
        <v>55100100</v>
      </c>
      <c r="C20" s="9">
        <v>2026</v>
      </c>
      <c r="D20" s="10">
        <v>154.08000000000001</v>
      </c>
      <c r="E20" s="10">
        <v>2.92</v>
      </c>
      <c r="F20" s="10">
        <v>0</v>
      </c>
      <c r="G20" s="10">
        <v>0</v>
      </c>
      <c r="H20" s="9">
        <f>D20+F20+'11-12-20'!H20</f>
        <v>799.5</v>
      </c>
      <c r="I20" s="9">
        <f>E20+G20+'11-12-20'!I20</f>
        <v>14.264999999999999</v>
      </c>
      <c r="J20" s="9">
        <f t="shared" si="4"/>
        <v>813.76499999999999</v>
      </c>
      <c r="K20" s="9">
        <f t="shared" si="6"/>
        <v>1212.2350000000001</v>
      </c>
      <c r="L20" s="9">
        <f t="shared" si="5"/>
        <v>97.271266233771485</v>
      </c>
      <c r="M20" s="115"/>
    </row>
    <row r="21" spans="1:13" ht="21.6" customHeight="1" thickBot="1" x14ac:dyDescent="0.3">
      <c r="A21" s="155" t="s">
        <v>28</v>
      </c>
      <c r="B21" s="156"/>
      <c r="C21" s="7">
        <f t="shared" ref="C21:L21" si="7">SUM(C18:C20)</f>
        <v>42902</v>
      </c>
      <c r="D21" s="7">
        <f t="shared" si="7"/>
        <v>154.08000000000001</v>
      </c>
      <c r="E21" s="7">
        <f t="shared" si="7"/>
        <v>2.92</v>
      </c>
      <c r="F21" s="7">
        <f t="shared" si="7"/>
        <v>1080</v>
      </c>
      <c r="G21" s="7">
        <f t="shared" si="7"/>
        <v>56.16</v>
      </c>
      <c r="H21" s="7">
        <f t="shared" si="7"/>
        <v>13054.5</v>
      </c>
      <c r="I21" s="7">
        <f t="shared" si="7"/>
        <v>651.51499999999987</v>
      </c>
      <c r="J21" s="49">
        <f t="shared" si="7"/>
        <v>13706.014999999999</v>
      </c>
      <c r="K21" s="7">
        <f t="shared" si="7"/>
        <v>29195.985000000001</v>
      </c>
      <c r="L21" s="7">
        <f t="shared" si="7"/>
        <v>10416.964448052038</v>
      </c>
    </row>
    <row r="22" spans="1:13" ht="11.25" customHeight="1" x14ac:dyDescent="0.25">
      <c r="A22" s="42"/>
      <c r="B22" s="41"/>
      <c r="C22" s="39"/>
      <c r="D22" s="39"/>
      <c r="E22" s="39"/>
      <c r="F22" s="39"/>
      <c r="G22" s="39"/>
      <c r="H22" s="39"/>
      <c r="I22" s="39"/>
      <c r="J22" s="39"/>
      <c r="K22" s="39"/>
      <c r="L22" s="51"/>
    </row>
    <row r="23" spans="1:13" ht="11.25" customHeight="1" thickBot="1" x14ac:dyDescent="0.3">
      <c r="A23" s="38"/>
      <c r="B23" s="37"/>
      <c r="C23" s="35"/>
      <c r="D23" s="35"/>
      <c r="E23" s="35"/>
      <c r="F23" s="35"/>
      <c r="G23" s="35"/>
      <c r="H23" s="35"/>
      <c r="I23" s="35"/>
      <c r="J23" s="35"/>
      <c r="K23" s="35"/>
      <c r="L23" s="50"/>
    </row>
    <row r="24" spans="1:13" s="99" customFormat="1" ht="11.45" customHeight="1" x14ac:dyDescent="0.25">
      <c r="A24" s="13" t="s">
        <v>27</v>
      </c>
      <c r="B24" s="33">
        <v>55200000</v>
      </c>
      <c r="C24" s="9">
        <v>25000</v>
      </c>
      <c r="D24" s="10">
        <v>558.75</v>
      </c>
      <c r="E24" s="10">
        <v>10.61</v>
      </c>
      <c r="F24" s="10">
        <v>0</v>
      </c>
      <c r="G24" s="10">
        <v>0</v>
      </c>
      <c r="H24" s="9">
        <f>D24+F24+'11-12-20'!H24</f>
        <v>5295</v>
      </c>
      <c r="I24" s="9">
        <f>E24+G24+'11-12-20'!I24</f>
        <v>100.53</v>
      </c>
      <c r="J24" s="9">
        <f t="shared" ref="J24:J26" si="8">H24+I24</f>
        <v>5395.53</v>
      </c>
      <c r="K24" s="9">
        <f>C24-J24</f>
        <v>19604.47</v>
      </c>
      <c r="L24" s="9">
        <f t="shared" ref="L24:L26" si="9">C24-((J24/11)*26.0714285714285)</f>
        <v>12211.893181818217</v>
      </c>
      <c r="M24" s="118"/>
    </row>
    <row r="25" spans="1:13" s="99" customFormat="1" ht="11.45" hidden="1" customHeight="1" x14ac:dyDescent="0.25">
      <c r="A25" s="13" t="s">
        <v>26</v>
      </c>
      <c r="B25" s="100" t="s">
        <v>25</v>
      </c>
      <c r="C25" s="46">
        <v>0</v>
      </c>
      <c r="D25" s="45"/>
      <c r="E25" s="45"/>
      <c r="F25" s="45"/>
      <c r="G25" s="45"/>
      <c r="H25" s="9">
        <f>D25+F25+'11-12-20'!H25</f>
        <v>0</v>
      </c>
      <c r="I25" s="9">
        <f>E25+G25+'11-12-20'!I25</f>
        <v>-9.9999999999997868E-3</v>
      </c>
      <c r="J25" s="9">
        <f t="shared" si="8"/>
        <v>-9.9999999999997868E-3</v>
      </c>
      <c r="K25" s="75">
        <f t="shared" ref="K25:K26" si="10">C25-J25</f>
        <v>9.9999999999997868E-3</v>
      </c>
      <c r="L25" s="9">
        <f t="shared" si="9"/>
        <v>2.370129870129813E-2</v>
      </c>
      <c r="M25" s="118"/>
    </row>
    <row r="26" spans="1:13" s="99" customFormat="1" ht="10.9" customHeight="1" x14ac:dyDescent="0.25">
      <c r="A26" s="28" t="s">
        <v>24</v>
      </c>
      <c r="B26" s="47" t="s">
        <v>23</v>
      </c>
      <c r="C26" s="46">
        <v>0</v>
      </c>
      <c r="D26" s="45">
        <v>0</v>
      </c>
      <c r="E26" s="45">
        <v>0</v>
      </c>
      <c r="F26" s="45">
        <v>0</v>
      </c>
      <c r="G26" s="45">
        <v>0</v>
      </c>
      <c r="H26" s="9">
        <f>D26+F26+'11-12-20'!H26</f>
        <v>0</v>
      </c>
      <c r="I26" s="9">
        <f>E26+G26+'11-12-20'!I26</f>
        <v>0</v>
      </c>
      <c r="J26" s="9">
        <f t="shared" si="8"/>
        <v>0</v>
      </c>
      <c r="K26" s="9">
        <f t="shared" si="10"/>
        <v>0</v>
      </c>
      <c r="L26" s="9">
        <f t="shared" si="9"/>
        <v>0</v>
      </c>
      <c r="M26" s="117"/>
    </row>
    <row r="27" spans="1:13" ht="24.75" customHeight="1" thickBot="1" x14ac:dyDescent="0.3">
      <c r="A27" s="157" t="s">
        <v>22</v>
      </c>
      <c r="B27" s="158"/>
      <c r="C27" s="43">
        <f>SUM(C24:C25)</f>
        <v>25000</v>
      </c>
      <c r="D27" s="43">
        <f t="shared" ref="D27:L27" si="11">SUM(D24:D26)</f>
        <v>558.75</v>
      </c>
      <c r="E27" s="43">
        <f t="shared" si="11"/>
        <v>10.61</v>
      </c>
      <c r="F27" s="43">
        <f t="shared" si="11"/>
        <v>0</v>
      </c>
      <c r="G27" s="43">
        <f t="shared" si="11"/>
        <v>0</v>
      </c>
      <c r="H27" s="43">
        <f t="shared" si="11"/>
        <v>5295</v>
      </c>
      <c r="I27" s="43">
        <f t="shared" si="11"/>
        <v>100.52</v>
      </c>
      <c r="J27" s="43">
        <f t="shared" si="11"/>
        <v>5395.5199999999995</v>
      </c>
      <c r="K27" s="43">
        <f t="shared" si="11"/>
        <v>19604.48</v>
      </c>
      <c r="L27" s="34">
        <f t="shared" si="11"/>
        <v>12211.916883116919</v>
      </c>
    </row>
    <row r="28" spans="1:13" ht="11.25" customHeight="1" x14ac:dyDescent="0.25">
      <c r="A28" s="42"/>
      <c r="B28" s="41"/>
      <c r="C28" s="39"/>
      <c r="D28" s="39"/>
      <c r="E28" s="39"/>
      <c r="F28" s="39"/>
      <c r="G28" s="39"/>
      <c r="H28" s="39"/>
      <c r="I28" s="39"/>
      <c r="J28" s="39"/>
      <c r="K28" s="39"/>
      <c r="L28" s="39"/>
    </row>
    <row r="29" spans="1:13" ht="11.25" customHeight="1" thickBot="1" x14ac:dyDescent="0.3">
      <c r="A29" s="38"/>
      <c r="B29" s="37"/>
      <c r="C29" s="35"/>
      <c r="D29" s="35"/>
      <c r="E29" s="35"/>
      <c r="F29" s="35"/>
      <c r="G29" s="35"/>
      <c r="H29" s="35"/>
      <c r="I29" s="35"/>
      <c r="J29" s="35"/>
      <c r="K29" s="35"/>
      <c r="L29" s="35"/>
    </row>
    <row r="30" spans="1:13" ht="21.6" customHeight="1" x14ac:dyDescent="0.25">
      <c r="A30" s="159" t="s">
        <v>21</v>
      </c>
      <c r="B30" s="159"/>
      <c r="C30" s="34">
        <f t="shared" ref="C30:L30" si="12">C15+C21+C27</f>
        <v>264081</v>
      </c>
      <c r="D30" s="34">
        <f t="shared" si="12"/>
        <v>5201.2900000000009</v>
      </c>
      <c r="E30" s="34">
        <f t="shared" si="12"/>
        <v>98.75</v>
      </c>
      <c r="F30" s="34">
        <f t="shared" si="12"/>
        <v>1080</v>
      </c>
      <c r="G30" s="34">
        <f t="shared" si="12"/>
        <v>56.16</v>
      </c>
      <c r="H30" s="34">
        <f t="shared" si="12"/>
        <v>60362.869999999995</v>
      </c>
      <c r="I30" s="34">
        <f t="shared" si="12"/>
        <v>1550.8249999999998</v>
      </c>
      <c r="J30" s="34">
        <f t="shared" si="12"/>
        <v>61913.695</v>
      </c>
      <c r="K30" s="34">
        <f t="shared" si="12"/>
        <v>202167.30500000002</v>
      </c>
      <c r="L30" s="34">
        <f t="shared" si="12"/>
        <v>117337.50211039002</v>
      </c>
    </row>
    <row r="31" spans="1:13" ht="10.9" customHeight="1" x14ac:dyDescent="0.25">
      <c r="A31" s="17"/>
      <c r="B31" s="16"/>
      <c r="C31" s="15"/>
      <c r="D31" s="15"/>
      <c r="E31" s="15"/>
      <c r="F31" s="15"/>
      <c r="G31" s="15"/>
      <c r="H31" s="15"/>
      <c r="I31" s="15"/>
      <c r="J31" s="15"/>
      <c r="K31" s="15"/>
      <c r="L31" s="15"/>
    </row>
    <row r="32" spans="1:13" ht="11.25" customHeight="1" x14ac:dyDescent="0.25">
      <c r="A32" s="17"/>
      <c r="B32" s="16"/>
      <c r="C32" s="15"/>
      <c r="D32" s="15"/>
      <c r="E32" s="15"/>
      <c r="F32" s="15"/>
      <c r="G32" s="15"/>
      <c r="H32" s="15"/>
      <c r="I32" s="15"/>
      <c r="J32" s="15"/>
      <c r="K32" s="15"/>
      <c r="L32" s="15"/>
    </row>
    <row r="33" spans="1:13" s="104" customFormat="1" ht="11.25" customHeight="1" x14ac:dyDescent="0.25">
      <c r="A33" s="28" t="s">
        <v>20</v>
      </c>
      <c r="B33" s="27" t="s">
        <v>19</v>
      </c>
      <c r="C33" s="9">
        <v>0</v>
      </c>
      <c r="D33" s="10">
        <v>0</v>
      </c>
      <c r="E33" s="10">
        <v>0</v>
      </c>
      <c r="F33" s="10">
        <v>0</v>
      </c>
      <c r="G33" s="10">
        <v>0</v>
      </c>
      <c r="H33" s="9">
        <f>D33+F33+'11-12-20'!H33</f>
        <v>0</v>
      </c>
      <c r="I33" s="9">
        <f>E33+G33+'11-12-20'!I33</f>
        <v>0</v>
      </c>
      <c r="J33" s="9">
        <f t="shared" ref="J33:J48" si="13">H33+I33</f>
        <v>0</v>
      </c>
      <c r="K33" s="9">
        <f>C33-J33</f>
        <v>0</v>
      </c>
      <c r="L33" s="9">
        <f t="shared" ref="L33:L50" si="14">C33-((J33/11)*26.0714285714285)</f>
        <v>0</v>
      </c>
      <c r="M33" s="119"/>
    </row>
    <row r="34" spans="1:13" s="104" customFormat="1" ht="12" customHeight="1" x14ac:dyDescent="0.25">
      <c r="A34" s="32" t="s">
        <v>123</v>
      </c>
      <c r="B34" s="33" t="s">
        <v>55</v>
      </c>
      <c r="C34" s="9">
        <f>2795.22+12000</f>
        <v>14795.22</v>
      </c>
      <c r="D34" s="10">
        <v>0</v>
      </c>
      <c r="E34" s="10">
        <v>0</v>
      </c>
      <c r="F34" s="10">
        <v>0</v>
      </c>
      <c r="G34" s="10">
        <v>0</v>
      </c>
      <c r="H34" s="9">
        <f>D34+F34+'11-12-20'!H34</f>
        <v>2612</v>
      </c>
      <c r="I34" s="9">
        <f>E34+G34+'11-12-20'!I34</f>
        <v>84.06</v>
      </c>
      <c r="J34" s="9">
        <f t="shared" si="13"/>
        <v>2696.06</v>
      </c>
      <c r="K34" s="9">
        <f>C34-J34</f>
        <v>12099.16</v>
      </c>
      <c r="L34" s="9">
        <f t="shared" si="14"/>
        <v>8405.2076623376797</v>
      </c>
      <c r="M34" s="125"/>
    </row>
    <row r="35" spans="1:13" s="104" customFormat="1" ht="11.25" hidden="1" customHeight="1" x14ac:dyDescent="0.25">
      <c r="A35" s="32" t="s">
        <v>18</v>
      </c>
      <c r="B35" s="27" t="s">
        <v>17</v>
      </c>
      <c r="C35" s="105">
        <v>0</v>
      </c>
      <c r="D35" s="10"/>
      <c r="E35" s="10"/>
      <c r="F35" s="10"/>
      <c r="G35" s="10"/>
      <c r="H35" s="9">
        <f>D35+F35+'11-12-20'!H35</f>
        <v>0</v>
      </c>
      <c r="I35" s="9">
        <f>E35+G35+'11-12-20'!I35</f>
        <v>-1.0000000000005116E-2</v>
      </c>
      <c r="J35" s="9">
        <f t="shared" si="13"/>
        <v>-1.0000000000005116E-2</v>
      </c>
      <c r="K35" s="9">
        <f t="shared" ref="K35:K48" si="15">C35-J35</f>
        <v>1.0000000000005116E-2</v>
      </c>
      <c r="L35" s="9">
        <f t="shared" si="14"/>
        <v>2.3701298701310762E-2</v>
      </c>
      <c r="M35" s="119"/>
    </row>
    <row r="36" spans="1:13" s="106" customFormat="1" ht="11.25" customHeight="1" x14ac:dyDescent="0.25">
      <c r="A36" s="28" t="s">
        <v>16</v>
      </c>
      <c r="B36" s="29" t="s">
        <v>15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f>D36+F36+'11-12-20'!H36</f>
        <v>0</v>
      </c>
      <c r="I36" s="9">
        <f>E36+G36+'11-12-20'!I36</f>
        <v>0</v>
      </c>
      <c r="J36" s="9">
        <f t="shared" si="13"/>
        <v>0</v>
      </c>
      <c r="K36" s="9">
        <f t="shared" si="15"/>
        <v>0</v>
      </c>
      <c r="L36" s="9">
        <f t="shared" si="14"/>
        <v>0</v>
      </c>
      <c r="M36" s="120"/>
    </row>
    <row r="37" spans="1:13" s="106" customFormat="1" ht="11.25" customHeight="1" x14ac:dyDescent="0.25">
      <c r="A37" s="28" t="s">
        <v>97</v>
      </c>
      <c r="B37" s="29" t="s">
        <v>13</v>
      </c>
      <c r="C37" s="9">
        <v>0</v>
      </c>
      <c r="D37" s="130">
        <v>95.5</v>
      </c>
      <c r="E37" s="130">
        <v>1.81</v>
      </c>
      <c r="F37" s="9">
        <v>0</v>
      </c>
      <c r="G37" s="9">
        <v>0</v>
      </c>
      <c r="H37" s="9">
        <f>D37+F37+'11-12-20'!H37</f>
        <v>678.93999999999994</v>
      </c>
      <c r="I37" s="9">
        <f>E37+G37+'11-12-20'!I37</f>
        <v>12.85</v>
      </c>
      <c r="J37" s="9">
        <f t="shared" si="13"/>
        <v>691.79</v>
      </c>
      <c r="K37" s="107">
        <f t="shared" si="15"/>
        <v>-691.79</v>
      </c>
      <c r="L37" s="9">
        <f t="shared" si="14"/>
        <v>-1639.632142857138</v>
      </c>
      <c r="M37" s="116"/>
    </row>
    <row r="38" spans="1:13" s="106" customFormat="1" ht="11.25" customHeight="1" x14ac:dyDescent="0.25">
      <c r="A38" s="28" t="s">
        <v>12</v>
      </c>
      <c r="B38" s="29">
        <v>55110100</v>
      </c>
      <c r="C38" s="9">
        <v>2659</v>
      </c>
      <c r="D38" s="9">
        <v>300</v>
      </c>
      <c r="E38" s="9">
        <v>5.7</v>
      </c>
      <c r="F38" s="9">
        <v>0</v>
      </c>
      <c r="G38" s="9">
        <v>0</v>
      </c>
      <c r="H38" s="9">
        <f>D38+F38+'11-12-20'!H38</f>
        <v>1695</v>
      </c>
      <c r="I38" s="9">
        <f>E38+G38+'11-12-20'!I38</f>
        <v>32.200000000000003</v>
      </c>
      <c r="J38" s="9">
        <f t="shared" si="13"/>
        <v>1727.2</v>
      </c>
      <c r="K38" s="9">
        <f t="shared" si="15"/>
        <v>931.8</v>
      </c>
      <c r="L38" s="9">
        <f t="shared" si="14"/>
        <v>-1434.6883116883005</v>
      </c>
      <c r="M38" s="124"/>
    </row>
    <row r="39" spans="1:13" s="106" customFormat="1" ht="11.45" customHeight="1" x14ac:dyDescent="0.25">
      <c r="A39" s="28" t="s">
        <v>11</v>
      </c>
      <c r="B39" s="27" t="s">
        <v>10</v>
      </c>
      <c r="C39" s="9">
        <v>0</v>
      </c>
      <c r="D39" s="10">
        <f>-5.15</f>
        <v>-5.15</v>
      </c>
      <c r="E39" s="10">
        <f>-0.09</f>
        <v>-0.09</v>
      </c>
      <c r="F39" s="10">
        <v>0</v>
      </c>
      <c r="G39" s="10">
        <v>0</v>
      </c>
      <c r="H39" s="9">
        <f>D39+F39+'11-12-20'!H39</f>
        <v>0</v>
      </c>
      <c r="I39" s="9">
        <f>E39+G39+'11-12-20'!I39</f>
        <v>0</v>
      </c>
      <c r="J39" s="9">
        <f t="shared" si="13"/>
        <v>0</v>
      </c>
      <c r="K39" s="9">
        <f t="shared" si="15"/>
        <v>0</v>
      </c>
      <c r="L39" s="9">
        <f t="shared" si="14"/>
        <v>0</v>
      </c>
      <c r="M39" s="126"/>
    </row>
    <row r="40" spans="1:13" s="106" customFormat="1" ht="11.45" customHeight="1" x14ac:dyDescent="0.25">
      <c r="A40" s="25" t="s">
        <v>68</v>
      </c>
      <c r="B40" s="108" t="s">
        <v>69</v>
      </c>
      <c r="C40" s="9">
        <v>1500</v>
      </c>
      <c r="D40" s="9">
        <v>0</v>
      </c>
      <c r="E40" s="9">
        <v>0</v>
      </c>
      <c r="F40" s="9">
        <v>0</v>
      </c>
      <c r="G40" s="9">
        <v>0</v>
      </c>
      <c r="H40" s="9">
        <f>D40+F40+'11-12-20'!H40</f>
        <v>378.53</v>
      </c>
      <c r="I40" s="9">
        <f>E40+G40+'11-12-20'!I40</f>
        <v>6.9969999999999999</v>
      </c>
      <c r="J40" s="9">
        <f t="shared" si="13"/>
        <v>385.52699999999999</v>
      </c>
      <c r="K40" s="9">
        <f t="shared" si="15"/>
        <v>1114.473</v>
      </c>
      <c r="L40" s="9">
        <f t="shared" si="14"/>
        <v>586.2509415584442</v>
      </c>
      <c r="M40" s="126"/>
    </row>
    <row r="41" spans="1:13" s="106" customFormat="1" ht="11.45" customHeight="1" x14ac:dyDescent="0.25">
      <c r="A41" s="25" t="s">
        <v>89</v>
      </c>
      <c r="B41" s="108" t="s">
        <v>88</v>
      </c>
      <c r="C41" s="9">
        <v>1200</v>
      </c>
      <c r="D41" s="9">
        <v>45.26</v>
      </c>
      <c r="E41" s="9">
        <v>0.85</v>
      </c>
      <c r="F41" s="9">
        <v>0</v>
      </c>
      <c r="G41" s="9">
        <v>0</v>
      </c>
      <c r="H41" s="9">
        <f>D41+F41+'11-12-20'!H41</f>
        <v>219.48999999999998</v>
      </c>
      <c r="I41" s="9">
        <f>E41+G41+'11-12-20'!I41</f>
        <v>4.1399999999999997</v>
      </c>
      <c r="J41" s="9">
        <f t="shared" si="13"/>
        <v>223.62999999999997</v>
      </c>
      <c r="K41" s="9">
        <f>C41-J41</f>
        <v>976.37</v>
      </c>
      <c r="L41" s="9">
        <f t="shared" si="14"/>
        <v>669.96785714285863</v>
      </c>
      <c r="M41" s="120"/>
    </row>
    <row r="42" spans="1:13" s="98" customFormat="1" ht="11.45" customHeight="1" x14ac:dyDescent="0.25">
      <c r="A42" s="25" t="s">
        <v>61</v>
      </c>
      <c r="B42" s="108" t="s">
        <v>62</v>
      </c>
      <c r="C42" s="9">
        <v>9800</v>
      </c>
      <c r="D42" s="9">
        <v>270</v>
      </c>
      <c r="E42" s="9">
        <v>5.13</v>
      </c>
      <c r="F42" s="9">
        <v>0</v>
      </c>
      <c r="G42" s="9">
        <v>0</v>
      </c>
      <c r="H42" s="9">
        <f>D42+F42+'11-12-20'!H42</f>
        <v>8478</v>
      </c>
      <c r="I42" s="9">
        <f>E42+G42+'11-12-20'!I42</f>
        <v>399.48999999999995</v>
      </c>
      <c r="J42" s="9">
        <f>H42+I42</f>
        <v>8877.49</v>
      </c>
      <c r="K42" s="9">
        <f>C42-J42</f>
        <v>922.51000000000022</v>
      </c>
      <c r="L42" s="9">
        <f t="shared" si="14"/>
        <v>-11240.804220779162</v>
      </c>
      <c r="M42" s="116"/>
    </row>
    <row r="43" spans="1:13" s="98" customFormat="1" ht="11.45" customHeight="1" x14ac:dyDescent="0.25">
      <c r="A43" s="25" t="s">
        <v>59</v>
      </c>
      <c r="B43" s="108" t="s">
        <v>60</v>
      </c>
      <c r="C43" s="9">
        <f>2453.12+2598.45</f>
        <v>5051.57</v>
      </c>
      <c r="D43" s="9">
        <v>747.75</v>
      </c>
      <c r="E43" s="9">
        <v>14.19</v>
      </c>
      <c r="F43" s="9">
        <v>0</v>
      </c>
      <c r="G43" s="9">
        <v>0</v>
      </c>
      <c r="H43" s="9">
        <f>D43+F43+'11-12-20'!H43</f>
        <v>3667.33</v>
      </c>
      <c r="I43" s="9">
        <f>E43+G43+'11-12-20'!I43</f>
        <v>69.64</v>
      </c>
      <c r="J43" s="9">
        <f>H43+I43</f>
        <v>3736.97</v>
      </c>
      <c r="K43" s="9">
        <f>C43-J43</f>
        <v>1314.6</v>
      </c>
      <c r="L43" s="9">
        <f t="shared" si="14"/>
        <v>-3805.5342207791946</v>
      </c>
      <c r="M43" s="116"/>
    </row>
    <row r="44" spans="1:13" s="98" customFormat="1" ht="11.45" customHeight="1" x14ac:dyDescent="0.25">
      <c r="A44" s="25" t="s">
        <v>70</v>
      </c>
      <c r="B44" s="108" t="s">
        <v>71</v>
      </c>
      <c r="C44" s="9">
        <v>5600</v>
      </c>
      <c r="D44" s="9">
        <v>334.8</v>
      </c>
      <c r="E44" s="9">
        <v>6.36</v>
      </c>
      <c r="F44" s="9">
        <v>0</v>
      </c>
      <c r="G44" s="9">
        <v>0</v>
      </c>
      <c r="H44" s="9">
        <f>D44+F44+'11-12-20'!H44</f>
        <v>3490.86</v>
      </c>
      <c r="I44" s="9">
        <f>E44+G44+'11-12-20'!I44</f>
        <v>66.27000000000001</v>
      </c>
      <c r="J44" s="9">
        <f t="shared" ref="J44" si="16">H44+I44</f>
        <v>3557.13</v>
      </c>
      <c r="K44" s="9">
        <f t="shared" ref="K44" si="17">C44-J44</f>
        <v>2042.87</v>
      </c>
      <c r="L44" s="9">
        <f t="shared" si="14"/>
        <v>-2830.860064935041</v>
      </c>
      <c r="M44" s="116"/>
    </row>
    <row r="45" spans="1:13" s="98" customFormat="1" ht="11.45" customHeight="1" x14ac:dyDescent="0.25">
      <c r="A45" s="25" t="s">
        <v>7</v>
      </c>
      <c r="B45" s="108" t="s">
        <v>6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f>D45+F45+'11-12-20'!H45</f>
        <v>0</v>
      </c>
      <c r="I45" s="9">
        <f>E45+G45+'11-12-20'!I45</f>
        <v>0</v>
      </c>
      <c r="J45" s="9">
        <f>H45+I45</f>
        <v>0</v>
      </c>
      <c r="K45" s="9">
        <f>C45-J45</f>
        <v>0</v>
      </c>
      <c r="L45" s="9">
        <f t="shared" si="14"/>
        <v>0</v>
      </c>
      <c r="M45" s="116"/>
    </row>
    <row r="46" spans="1:13" s="98" customFormat="1" ht="11.45" customHeight="1" x14ac:dyDescent="0.25">
      <c r="A46" s="25" t="s">
        <v>9</v>
      </c>
      <c r="B46" s="108" t="s">
        <v>8</v>
      </c>
      <c r="C46" s="9">
        <v>0</v>
      </c>
      <c r="D46" s="10">
        <v>0</v>
      </c>
      <c r="E46" s="10">
        <v>0</v>
      </c>
      <c r="F46" s="10">
        <v>0</v>
      </c>
      <c r="G46" s="10">
        <v>0</v>
      </c>
      <c r="H46" s="9">
        <f>D46+F46+'11-12-20'!H46</f>
        <v>0</v>
      </c>
      <c r="I46" s="9">
        <f>E46+G46+'11-12-20'!I46</f>
        <v>0</v>
      </c>
      <c r="J46" s="9">
        <f t="shared" si="13"/>
        <v>0</v>
      </c>
      <c r="K46" s="9">
        <f t="shared" si="15"/>
        <v>0</v>
      </c>
      <c r="L46" s="9">
        <f t="shared" si="14"/>
        <v>0</v>
      </c>
      <c r="M46" s="116"/>
    </row>
    <row r="47" spans="1:13" s="98" customFormat="1" ht="11.45" customHeight="1" x14ac:dyDescent="0.25">
      <c r="A47" s="25" t="s">
        <v>63</v>
      </c>
      <c r="B47" s="108" t="s">
        <v>66</v>
      </c>
      <c r="C47" s="9">
        <v>1784.19</v>
      </c>
      <c r="D47" s="10">
        <v>0</v>
      </c>
      <c r="E47" s="10">
        <v>0</v>
      </c>
      <c r="F47" s="10">
        <v>0</v>
      </c>
      <c r="G47" s="10">
        <v>0</v>
      </c>
      <c r="H47" s="9">
        <f>D47+F47+'11-12-20'!H47</f>
        <v>1504</v>
      </c>
      <c r="I47" s="9">
        <f>E47+G47+'11-12-20'!I47</f>
        <v>78.179999999999993</v>
      </c>
      <c r="J47" s="9">
        <f t="shared" si="13"/>
        <v>1582.18</v>
      </c>
      <c r="K47" s="9">
        <f t="shared" si="15"/>
        <v>202.01</v>
      </c>
      <c r="L47" s="9">
        <f t="shared" si="14"/>
        <v>-1965.7820779220674</v>
      </c>
      <c r="M47" s="116"/>
    </row>
    <row r="48" spans="1:13" s="98" customFormat="1" ht="11.45" hidden="1" customHeight="1" x14ac:dyDescent="0.25">
      <c r="A48" s="25" t="s">
        <v>64</v>
      </c>
      <c r="B48" s="108" t="s">
        <v>65</v>
      </c>
      <c r="C48" s="97"/>
      <c r="D48" s="10"/>
      <c r="E48" s="10"/>
      <c r="F48" s="10"/>
      <c r="G48" s="10"/>
      <c r="H48" s="9">
        <f>D48+F48+'11-12-20'!H48</f>
        <v>0</v>
      </c>
      <c r="I48" s="9">
        <f>E48+G48+'11-12-20'!I48</f>
        <v>0</v>
      </c>
      <c r="J48" s="9">
        <f t="shared" si="13"/>
        <v>0</v>
      </c>
      <c r="K48" s="9">
        <f t="shared" si="15"/>
        <v>0</v>
      </c>
      <c r="L48" s="9">
        <f t="shared" si="14"/>
        <v>0</v>
      </c>
      <c r="M48" s="116"/>
    </row>
    <row r="49" spans="1:13" s="110" customFormat="1" ht="11.25" customHeight="1" x14ac:dyDescent="0.25">
      <c r="A49" s="25" t="s">
        <v>57</v>
      </c>
      <c r="B49" s="108" t="s">
        <v>58</v>
      </c>
      <c r="C49" s="109">
        <v>843.44</v>
      </c>
      <c r="D49" s="109">
        <v>52.6</v>
      </c>
      <c r="E49" s="109">
        <v>0.99</v>
      </c>
      <c r="F49" s="109">
        <v>0</v>
      </c>
      <c r="G49" s="109">
        <v>0</v>
      </c>
      <c r="H49" s="9">
        <f>D49+F49+'11-12-20'!H49</f>
        <v>809.56000000000017</v>
      </c>
      <c r="I49" s="9">
        <f>E49+G49+'11-12-20'!I49</f>
        <v>15.33</v>
      </c>
      <c r="J49" s="9">
        <f>H49+I49</f>
        <v>824.89000000000021</v>
      </c>
      <c r="K49" s="9">
        <f>C49-J49</f>
        <v>18.549999999999841</v>
      </c>
      <c r="L49" s="9">
        <f t="shared" si="14"/>
        <v>-1111.6564285714237</v>
      </c>
      <c r="M49" s="121"/>
    </row>
    <row r="50" spans="1:13" s="110" customFormat="1" ht="11.25" customHeight="1" x14ac:dyDescent="0.25">
      <c r="A50" s="25" t="s">
        <v>95</v>
      </c>
      <c r="B50" s="108" t="s">
        <v>94</v>
      </c>
      <c r="C50" s="109">
        <v>2000</v>
      </c>
      <c r="D50" s="109">
        <v>65</v>
      </c>
      <c r="E50" s="109">
        <v>1.23</v>
      </c>
      <c r="F50" s="109">
        <v>0</v>
      </c>
      <c r="G50" s="109">
        <v>0</v>
      </c>
      <c r="H50" s="9">
        <f>D50+F50+'11-12-20'!H50</f>
        <v>861.5</v>
      </c>
      <c r="I50" s="9">
        <f>E50+G50+'11-12-20'!I50</f>
        <v>17.169999999999998</v>
      </c>
      <c r="J50" s="9">
        <f>H50+I50</f>
        <v>878.67</v>
      </c>
      <c r="K50" s="9">
        <f>C50-J50</f>
        <v>1121.33</v>
      </c>
      <c r="L50" s="9">
        <f t="shared" si="14"/>
        <v>-82.562012987007165</v>
      </c>
      <c r="M50" s="116"/>
    </row>
    <row r="51" spans="1:13" ht="21.6" customHeight="1" x14ac:dyDescent="0.25">
      <c r="A51" s="153" t="s">
        <v>5</v>
      </c>
      <c r="B51" s="154"/>
      <c r="C51" s="7">
        <f t="shared" ref="C51" si="18">SUM(C33:C49)</f>
        <v>43233.420000000006</v>
      </c>
      <c r="D51" s="7">
        <f t="shared" ref="D51:L51" si="19">SUM(D33:D50)</f>
        <v>1905.76</v>
      </c>
      <c r="E51" s="7">
        <f t="shared" si="19"/>
        <v>36.169999999999995</v>
      </c>
      <c r="F51" s="7">
        <f t="shared" si="19"/>
        <v>0</v>
      </c>
      <c r="G51" s="7">
        <f t="shared" si="19"/>
        <v>0</v>
      </c>
      <c r="H51" s="7">
        <f t="shared" si="19"/>
        <v>24395.210000000003</v>
      </c>
      <c r="I51" s="7">
        <f t="shared" si="19"/>
        <v>786.31699999999978</v>
      </c>
      <c r="J51" s="7">
        <f t="shared" si="19"/>
        <v>25181.526999999998</v>
      </c>
      <c r="K51" s="7">
        <f t="shared" si="19"/>
        <v>20051.892999999996</v>
      </c>
      <c r="L51" s="7">
        <f t="shared" si="19"/>
        <v>-14450.06931818165</v>
      </c>
    </row>
    <row r="52" spans="1:13" ht="10.9" customHeight="1" x14ac:dyDescent="0.25">
      <c r="A52" s="17"/>
      <c r="B52" s="16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3" ht="10.9" customHeight="1" x14ac:dyDescent="0.25">
      <c r="A53" s="17"/>
      <c r="B53" s="16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3" s="92" customFormat="1" ht="10.9" customHeight="1" x14ac:dyDescent="0.25">
      <c r="A54" s="22" t="s">
        <v>4</v>
      </c>
      <c r="B54" s="29" t="s">
        <v>3</v>
      </c>
      <c r="C54" s="9">
        <v>62583</v>
      </c>
      <c r="D54" s="10">
        <v>636.39</v>
      </c>
      <c r="E54" s="10">
        <v>12.09</v>
      </c>
      <c r="F54" s="10">
        <v>0</v>
      </c>
      <c r="G54" s="10">
        <v>0</v>
      </c>
      <c r="H54" s="9">
        <f>D54+F54+'11-12-20'!H54</f>
        <v>9102.409999999998</v>
      </c>
      <c r="I54" s="9">
        <f>E54+G54+'11-12-20'!I54</f>
        <v>199.53200000000004</v>
      </c>
      <c r="J54" s="9">
        <f t="shared" ref="J54" si="20">H54+I54</f>
        <v>9301.9419999999973</v>
      </c>
      <c r="K54" s="9">
        <f>C54-J54</f>
        <v>53281.058000000005</v>
      </c>
      <c r="L54" s="9">
        <f>C54-((J54/11)*26.0714285714285)</f>
        <v>40536.189415584486</v>
      </c>
      <c r="M54" s="115"/>
    </row>
    <row r="55" spans="1:13" ht="21.6" customHeight="1" x14ac:dyDescent="0.25">
      <c r="A55" s="20" t="s">
        <v>2</v>
      </c>
      <c r="B55" s="19"/>
      <c r="C55" s="18">
        <f t="shared" ref="C55:L55" si="21">C54</f>
        <v>62583</v>
      </c>
      <c r="D55" s="18">
        <f t="shared" si="21"/>
        <v>636.39</v>
      </c>
      <c r="E55" s="18">
        <f t="shared" si="21"/>
        <v>12.09</v>
      </c>
      <c r="F55" s="18">
        <f t="shared" si="21"/>
        <v>0</v>
      </c>
      <c r="G55" s="18">
        <f t="shared" si="21"/>
        <v>0</v>
      </c>
      <c r="H55" s="18">
        <f t="shared" si="21"/>
        <v>9102.409999999998</v>
      </c>
      <c r="I55" s="18">
        <f t="shared" si="21"/>
        <v>199.53200000000004</v>
      </c>
      <c r="J55" s="18">
        <f t="shared" si="21"/>
        <v>9301.9419999999973</v>
      </c>
      <c r="K55" s="18">
        <f t="shared" si="21"/>
        <v>53281.058000000005</v>
      </c>
      <c r="L55" s="18">
        <f t="shared" si="21"/>
        <v>40536.189415584486</v>
      </c>
    </row>
    <row r="56" spans="1:13" ht="10.9" customHeight="1" x14ac:dyDescent="0.25">
      <c r="A56" s="17"/>
      <c r="B56" s="16"/>
      <c r="C56" s="15"/>
      <c r="D56" s="15"/>
      <c r="E56" s="15"/>
      <c r="F56" s="15"/>
      <c r="G56" s="15"/>
      <c r="H56" s="15"/>
      <c r="I56" s="15"/>
      <c r="J56" s="15"/>
      <c r="K56" s="15"/>
      <c r="L56" s="15"/>
    </row>
    <row r="57" spans="1:13" ht="10.9" customHeight="1" x14ac:dyDescent="0.25">
      <c r="A57" s="17"/>
      <c r="B57" s="16"/>
      <c r="C57" s="15"/>
      <c r="D57" s="15"/>
      <c r="E57" s="15"/>
      <c r="F57" s="15"/>
      <c r="G57" s="15"/>
      <c r="H57" s="15"/>
      <c r="I57" s="15"/>
      <c r="J57" s="15"/>
      <c r="K57" s="15"/>
      <c r="L57" s="15"/>
    </row>
    <row r="58" spans="1:13" s="92" customFormat="1" ht="10.9" customHeight="1" x14ac:dyDescent="0.25">
      <c r="A58" s="13" t="s">
        <v>1</v>
      </c>
      <c r="B58" s="33">
        <v>55180000</v>
      </c>
      <c r="C58" s="9">
        <v>37736</v>
      </c>
      <c r="D58" s="10">
        <v>0</v>
      </c>
      <c r="E58" s="10">
        <v>0</v>
      </c>
      <c r="F58" s="10">
        <v>438.6</v>
      </c>
      <c r="G58" s="10">
        <v>22.8</v>
      </c>
      <c r="H58" s="9">
        <f>D58+F58+'11-12-20'!H58</f>
        <v>4649.16</v>
      </c>
      <c r="I58" s="9">
        <f>E58+G58+'11-12-20'!I58</f>
        <v>241.68000000000004</v>
      </c>
      <c r="J58" s="9">
        <f t="shared" ref="J58" si="22">H58+I58</f>
        <v>4890.84</v>
      </c>
      <c r="K58" s="9">
        <f>C58-J58</f>
        <v>32845.160000000003</v>
      </c>
      <c r="L58" s="9">
        <f>C58-((J58/11)*26.0714285714285)</f>
        <v>26144.074025974056</v>
      </c>
      <c r="M58" s="115"/>
    </row>
    <row r="59" spans="1:13" s="3" customFormat="1" ht="21.6" customHeight="1" x14ac:dyDescent="0.25">
      <c r="A59" s="153" t="s">
        <v>0</v>
      </c>
      <c r="B59" s="154"/>
      <c r="C59" s="7">
        <f t="shared" ref="C59:L59" si="23">SUM(C58)</f>
        <v>37736</v>
      </c>
      <c r="D59" s="7">
        <f t="shared" si="23"/>
        <v>0</v>
      </c>
      <c r="E59" s="7">
        <f t="shared" si="23"/>
        <v>0</v>
      </c>
      <c r="F59" s="7">
        <f t="shared" si="23"/>
        <v>438.6</v>
      </c>
      <c r="G59" s="7">
        <f t="shared" si="23"/>
        <v>22.8</v>
      </c>
      <c r="H59" s="7">
        <f t="shared" si="23"/>
        <v>4649.16</v>
      </c>
      <c r="I59" s="7">
        <f t="shared" si="23"/>
        <v>241.68000000000004</v>
      </c>
      <c r="J59" s="7">
        <f t="shared" si="23"/>
        <v>4890.84</v>
      </c>
      <c r="K59" s="7">
        <f t="shared" si="23"/>
        <v>32845.160000000003</v>
      </c>
      <c r="L59" s="7">
        <f t="shared" si="23"/>
        <v>26144.074025974056</v>
      </c>
      <c r="M59" s="122"/>
    </row>
    <row r="60" spans="1:13" s="3" customFormat="1" ht="11.25" customHeight="1" x14ac:dyDescent="0.25">
      <c r="A60" s="6"/>
      <c r="B60" s="5"/>
      <c r="C60" s="4"/>
      <c r="D60" s="4"/>
      <c r="E60" s="4"/>
      <c r="F60" s="4"/>
      <c r="G60" s="4"/>
      <c r="H60" s="4"/>
      <c r="I60" s="4"/>
      <c r="J60" s="4"/>
      <c r="K60" s="4"/>
      <c r="L60" s="4"/>
      <c r="M60" s="122"/>
    </row>
    <row r="61" spans="1:13" s="2" customFormat="1" ht="10.5" customHeight="1" x14ac:dyDescent="0.25">
      <c r="A61" s="160" t="s">
        <v>72</v>
      </c>
      <c r="B61" s="160"/>
      <c r="C61" s="160"/>
      <c r="D61" s="160"/>
      <c r="E61" s="160"/>
      <c r="F61" s="160"/>
      <c r="G61" s="82">
        <v>12000</v>
      </c>
      <c r="M61" s="111"/>
    </row>
    <row r="62" spans="1:13" s="2" customFormat="1" ht="10.5" customHeight="1" x14ac:dyDescent="0.25">
      <c r="A62" s="160" t="s">
        <v>73</v>
      </c>
      <c r="B62" s="160"/>
      <c r="C62" s="160"/>
      <c r="D62" s="160"/>
      <c r="E62" s="160"/>
      <c r="F62" s="160"/>
      <c r="G62" s="82">
        <v>5600</v>
      </c>
      <c r="M62" s="111"/>
    </row>
    <row r="63" spans="1:13" ht="10.5" customHeight="1" x14ac:dyDescent="0.25">
      <c r="A63" s="160" t="s">
        <v>76</v>
      </c>
      <c r="B63" s="160"/>
      <c r="C63" s="160"/>
      <c r="D63" s="160"/>
      <c r="E63" s="160"/>
      <c r="F63" s="160"/>
      <c r="G63" s="82">
        <v>9800</v>
      </c>
    </row>
    <row r="64" spans="1:13" ht="10.5" customHeight="1" x14ac:dyDescent="0.25">
      <c r="A64" s="160" t="s">
        <v>75</v>
      </c>
      <c r="B64" s="160"/>
      <c r="C64" s="160"/>
      <c r="D64" s="160"/>
      <c r="E64" s="160"/>
      <c r="F64" s="160"/>
      <c r="G64" s="82">
        <v>1500</v>
      </c>
    </row>
    <row r="65" spans="1:13" ht="10.5" customHeight="1" x14ac:dyDescent="0.25">
      <c r="A65" s="160" t="s">
        <v>74</v>
      </c>
      <c r="B65" s="160"/>
      <c r="C65" s="160"/>
      <c r="D65" s="160"/>
      <c r="E65" s="160"/>
      <c r="F65" s="160"/>
      <c r="G65" s="82">
        <v>843.44</v>
      </c>
    </row>
    <row r="66" spans="1:13" ht="10.5" customHeight="1" x14ac:dyDescent="0.25">
      <c r="A66" s="160" t="s">
        <v>77</v>
      </c>
      <c r="B66" s="160"/>
      <c r="C66" s="160"/>
      <c r="D66" s="160"/>
      <c r="E66" s="160"/>
      <c r="F66" s="160"/>
      <c r="G66" s="82">
        <v>1784.19</v>
      </c>
    </row>
    <row r="67" spans="1:13" ht="10.5" customHeight="1" x14ac:dyDescent="0.25">
      <c r="A67" s="160" t="s">
        <v>78</v>
      </c>
      <c r="B67" s="160"/>
      <c r="C67" s="160"/>
      <c r="D67" s="160"/>
      <c r="E67" s="160"/>
      <c r="F67" s="160"/>
      <c r="G67" s="82">
        <v>2453.12</v>
      </c>
    </row>
    <row r="68" spans="1:13" s="2" customFormat="1" ht="10.5" customHeight="1" x14ac:dyDescent="0.25">
      <c r="A68" s="160" t="s">
        <v>84</v>
      </c>
      <c r="B68" s="160"/>
      <c r="C68" s="160"/>
      <c r="D68" s="160"/>
      <c r="E68" s="160"/>
      <c r="F68" s="160"/>
      <c r="G68" s="82">
        <v>2598.4499999999998</v>
      </c>
      <c r="M68" s="112"/>
    </row>
    <row r="69" spans="1:13" s="2" customFormat="1" ht="10.5" customHeight="1" x14ac:dyDescent="0.25">
      <c r="A69" s="160" t="s">
        <v>85</v>
      </c>
      <c r="B69" s="160"/>
      <c r="C69" s="160"/>
      <c r="D69" s="160"/>
      <c r="E69" s="160"/>
      <c r="F69" s="160"/>
      <c r="G69" s="82">
        <v>2659</v>
      </c>
      <c r="M69" s="112"/>
    </row>
    <row r="70" spans="1:13" s="2" customFormat="1" ht="10.5" customHeight="1" x14ac:dyDescent="0.25">
      <c r="A70" s="160" t="s">
        <v>90</v>
      </c>
      <c r="B70" s="160"/>
      <c r="C70" s="160"/>
      <c r="D70" s="160"/>
      <c r="E70" s="160"/>
      <c r="F70" s="160"/>
      <c r="G70" s="82">
        <v>1200</v>
      </c>
      <c r="M70" s="112"/>
    </row>
    <row r="71" spans="1:13" s="2" customFormat="1" ht="10.5" customHeight="1" x14ac:dyDescent="0.25">
      <c r="A71" s="160" t="s">
        <v>93</v>
      </c>
      <c r="B71" s="160"/>
      <c r="C71" s="160"/>
      <c r="D71" s="160"/>
      <c r="E71" s="160"/>
      <c r="F71" s="160"/>
      <c r="G71" s="82">
        <v>2109</v>
      </c>
      <c r="M71" s="111"/>
    </row>
    <row r="73" spans="1:13" x14ac:dyDescent="0.25">
      <c r="D73" s="111"/>
      <c r="E73" s="111"/>
      <c r="F73" s="111"/>
      <c r="G73" s="111"/>
    </row>
    <row r="75" spans="1:13" x14ac:dyDescent="0.25">
      <c r="D75" s="111"/>
    </row>
    <row r="76" spans="1:13" x14ac:dyDescent="0.25">
      <c r="D76" s="111"/>
    </row>
    <row r="77" spans="1:13" x14ac:dyDescent="0.25">
      <c r="D77" s="111"/>
      <c r="E77" s="111"/>
      <c r="F77" s="111"/>
      <c r="G77" s="111"/>
    </row>
    <row r="78" spans="1:13" x14ac:dyDescent="0.25">
      <c r="D78" s="111"/>
      <c r="E78" s="111"/>
      <c r="F78" s="111"/>
      <c r="G78" s="111"/>
    </row>
    <row r="79" spans="1:13" x14ac:dyDescent="0.25">
      <c r="D79" s="111"/>
      <c r="E79" s="111"/>
      <c r="F79" s="111"/>
      <c r="G79" s="111"/>
    </row>
    <row r="80" spans="1:13" x14ac:dyDescent="0.25">
      <c r="D80" s="111"/>
      <c r="E80" s="111"/>
      <c r="F80" s="111"/>
      <c r="G80" s="111"/>
    </row>
    <row r="81" spans="4:7" x14ac:dyDescent="0.25">
      <c r="D81" s="111"/>
      <c r="E81" s="111"/>
      <c r="F81" s="111"/>
      <c r="G81" s="111"/>
    </row>
    <row r="82" spans="4:7" x14ac:dyDescent="0.25">
      <c r="D82" s="111"/>
      <c r="E82" s="111"/>
      <c r="F82" s="111"/>
      <c r="G82" s="111"/>
    </row>
    <row r="83" spans="4:7" x14ac:dyDescent="0.25">
      <c r="D83" s="111"/>
      <c r="E83" s="111"/>
      <c r="F83" s="111"/>
      <c r="G83" s="111"/>
    </row>
  </sheetData>
  <mergeCells count="17">
    <mergeCell ref="A66:F66"/>
    <mergeCell ref="A15:B15"/>
    <mergeCell ref="A21:B21"/>
    <mergeCell ref="A27:B27"/>
    <mergeCell ref="A30:B30"/>
    <mergeCell ref="A51:B51"/>
    <mergeCell ref="A59:B59"/>
    <mergeCell ref="A61:F61"/>
    <mergeCell ref="A62:F62"/>
    <mergeCell ref="A63:F63"/>
    <mergeCell ref="A64:F64"/>
    <mergeCell ref="A65:F65"/>
    <mergeCell ref="A67:F67"/>
    <mergeCell ref="A68:F68"/>
    <mergeCell ref="A69:F69"/>
    <mergeCell ref="A70:F70"/>
    <mergeCell ref="A71:F71"/>
  </mergeCells>
  <pageMargins left="0.25" right="0" top="0.4" bottom="0" header="0.3" footer="0"/>
  <pageSetup scale="86" fitToWidth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M83"/>
  <sheetViews>
    <sheetView zoomScale="160" zoomScaleNormal="160" workbookViewId="0">
      <pane ySplit="2" topLeftCell="A30" activePane="bottomLeft" state="frozen"/>
      <selection pane="bottomLeft" activeCell="K37" sqref="K37"/>
    </sheetView>
  </sheetViews>
  <sheetFormatPr defaultColWidth="28" defaultRowHeight="15" x14ac:dyDescent="0.25"/>
  <cols>
    <col min="1" max="1" width="34" style="1" bestFit="1" customWidth="1"/>
    <col min="2" max="2" width="19" style="1" bestFit="1" customWidth="1"/>
    <col min="3" max="3" width="11" style="77" customWidth="1"/>
    <col min="4" max="4" width="7.5703125" style="2" bestFit="1" customWidth="1"/>
    <col min="5" max="5" width="6.28515625" style="2" bestFit="1" customWidth="1"/>
    <col min="6" max="6" width="9" style="2" bestFit="1" customWidth="1"/>
    <col min="7" max="7" width="8.7109375" style="2" bestFit="1" customWidth="1"/>
    <col min="8" max="8" width="8.42578125" style="2" bestFit="1" customWidth="1"/>
    <col min="9" max="9" width="9.42578125" style="2" bestFit="1" customWidth="1"/>
    <col min="10" max="10" width="9.7109375" style="2" bestFit="1" customWidth="1"/>
    <col min="11" max="11" width="9.28515625" style="2" bestFit="1" customWidth="1"/>
    <col min="12" max="12" width="13.42578125" style="2" bestFit="1" customWidth="1"/>
    <col min="13" max="13" width="84.5703125" style="112" bestFit="1" customWidth="1"/>
    <col min="14" max="16384" width="28" style="1"/>
  </cols>
  <sheetData>
    <row r="1" spans="1:13" ht="11.25" customHeight="1" x14ac:dyDescent="0.25">
      <c r="A1" s="68"/>
      <c r="B1" s="67"/>
      <c r="C1" s="76"/>
      <c r="D1" s="66"/>
      <c r="E1" s="66"/>
      <c r="F1" s="66"/>
      <c r="G1" s="66"/>
      <c r="H1" s="66"/>
      <c r="I1" s="66"/>
      <c r="J1" s="66"/>
      <c r="K1" s="66"/>
      <c r="L1" s="65" t="s">
        <v>99</v>
      </c>
    </row>
    <row r="2" spans="1:13" s="61" customFormat="1" ht="23.25" x14ac:dyDescent="0.25">
      <c r="A2" s="64" t="s">
        <v>53</v>
      </c>
      <c r="B2" s="64" t="s">
        <v>52</v>
      </c>
      <c r="C2" s="63" t="s">
        <v>51</v>
      </c>
      <c r="D2" s="63" t="s">
        <v>50</v>
      </c>
      <c r="E2" s="63" t="s">
        <v>48</v>
      </c>
      <c r="F2" s="63" t="s">
        <v>49</v>
      </c>
      <c r="G2" s="63" t="s">
        <v>48</v>
      </c>
      <c r="H2" s="62" t="s">
        <v>47</v>
      </c>
      <c r="I2" s="62" t="s">
        <v>46</v>
      </c>
      <c r="J2" s="62" t="s">
        <v>45</v>
      </c>
      <c r="K2" s="62" t="s">
        <v>44</v>
      </c>
      <c r="L2" s="62" t="s">
        <v>43</v>
      </c>
      <c r="M2" s="113"/>
    </row>
    <row r="3" spans="1:13" s="101" customFormat="1" ht="11.25" customHeight="1" x14ac:dyDescent="0.25">
      <c r="A3" s="22" t="s">
        <v>42</v>
      </c>
      <c r="B3" s="29">
        <v>55010300</v>
      </c>
      <c r="C3" s="9">
        <v>0</v>
      </c>
      <c r="D3" s="9">
        <v>0</v>
      </c>
      <c r="E3" s="9">
        <v>0</v>
      </c>
      <c r="F3" s="9">
        <v>0</v>
      </c>
      <c r="G3" s="9">
        <v>0</v>
      </c>
      <c r="H3" s="9">
        <f>D3+F3+'11-26-20'!H3</f>
        <v>0</v>
      </c>
      <c r="I3" s="9">
        <f>E3+G3+'11-26-20'!I3</f>
        <v>0</v>
      </c>
      <c r="J3" s="9">
        <f t="shared" ref="J3:J14" si="0">H3+I3</f>
        <v>0</v>
      </c>
      <c r="K3" s="9">
        <f>C3-J3</f>
        <v>0</v>
      </c>
      <c r="L3" s="9">
        <f>C3-((J3/12)*26.0714285714285)</f>
        <v>0</v>
      </c>
      <c r="M3" s="114"/>
    </row>
    <row r="4" spans="1:13" s="101" customFormat="1" ht="11.25" customHeight="1" x14ac:dyDescent="0.25">
      <c r="A4" s="22" t="s">
        <v>41</v>
      </c>
      <c r="B4" s="29">
        <v>55010500</v>
      </c>
      <c r="C4" s="9">
        <v>3229</v>
      </c>
      <c r="D4" s="10">
        <v>0</v>
      </c>
      <c r="E4" s="10">
        <v>0</v>
      </c>
      <c r="F4" s="10">
        <v>0</v>
      </c>
      <c r="G4" s="10">
        <v>0</v>
      </c>
      <c r="H4" s="9">
        <f>D4+F4+'11-26-20'!H4</f>
        <v>0</v>
      </c>
      <c r="I4" s="9">
        <f>E4+G4+'11-26-20'!I4</f>
        <v>0</v>
      </c>
      <c r="J4" s="9">
        <f t="shared" si="0"/>
        <v>0</v>
      </c>
      <c r="K4" s="9">
        <f t="shared" ref="K4:K14" si="1">C4-J4</f>
        <v>3229</v>
      </c>
      <c r="L4" s="9">
        <f t="shared" ref="L4:L14" si="2">C4-((J4/12)*26.0714285714285)</f>
        <v>3229</v>
      </c>
      <c r="M4" s="114"/>
    </row>
    <row r="5" spans="1:13" s="92" customFormat="1" ht="11.25" customHeight="1" x14ac:dyDescent="0.25">
      <c r="A5" s="58" t="s">
        <v>40</v>
      </c>
      <c r="B5" s="102">
        <v>55020200</v>
      </c>
      <c r="C5" s="103">
        <v>24649</v>
      </c>
      <c r="D5" s="55">
        <v>633.19000000000005</v>
      </c>
      <c r="E5" s="55">
        <v>12.02</v>
      </c>
      <c r="F5" s="55">
        <v>0</v>
      </c>
      <c r="G5" s="55">
        <v>0</v>
      </c>
      <c r="H5" s="9">
        <f>D5+F5+'11-26-20'!H5</f>
        <v>7100.3000000000011</v>
      </c>
      <c r="I5" s="9">
        <f>E5+G5+'11-26-20'!I5</f>
        <v>134.80999999999997</v>
      </c>
      <c r="J5" s="9">
        <f t="shared" si="0"/>
        <v>7235.1100000000015</v>
      </c>
      <c r="K5" s="9">
        <f t="shared" si="1"/>
        <v>17413.89</v>
      </c>
      <c r="L5" s="9">
        <f t="shared" si="2"/>
        <v>8929.862202380993</v>
      </c>
      <c r="M5" s="115"/>
    </row>
    <row r="6" spans="1:13" s="92" customFormat="1" ht="11.25" customHeight="1" x14ac:dyDescent="0.25">
      <c r="A6" s="22" t="s">
        <v>39</v>
      </c>
      <c r="B6" s="29">
        <v>55020300</v>
      </c>
      <c r="C6" s="9">
        <v>17974</v>
      </c>
      <c r="D6" s="10">
        <v>375.16</v>
      </c>
      <c r="E6" s="10">
        <v>7.12</v>
      </c>
      <c r="F6" s="10">
        <v>0</v>
      </c>
      <c r="G6" s="10">
        <v>0</v>
      </c>
      <c r="H6" s="9">
        <f>D6+F6+'11-26-20'!H6</f>
        <v>3177.8700000000003</v>
      </c>
      <c r="I6" s="9">
        <f>E6+G6+'11-26-20'!I6</f>
        <v>60.32</v>
      </c>
      <c r="J6" s="9">
        <f t="shared" si="0"/>
        <v>3238.1900000000005</v>
      </c>
      <c r="K6" s="9">
        <f t="shared" si="1"/>
        <v>14735.81</v>
      </c>
      <c r="L6" s="9">
        <f t="shared" si="2"/>
        <v>10938.646726190495</v>
      </c>
      <c r="M6" s="115"/>
    </row>
    <row r="7" spans="1:13" s="92" customFormat="1" ht="11.25" customHeight="1" x14ac:dyDescent="0.25">
      <c r="A7" s="22" t="s">
        <v>38</v>
      </c>
      <c r="B7" s="29">
        <v>55020400</v>
      </c>
      <c r="C7" s="9">
        <v>17974</v>
      </c>
      <c r="D7" s="10">
        <v>334.19</v>
      </c>
      <c r="E7" s="10">
        <v>6.34</v>
      </c>
      <c r="F7" s="10">
        <v>0</v>
      </c>
      <c r="G7" s="10">
        <v>0</v>
      </c>
      <c r="H7" s="9">
        <f>D7+F7+'11-26-20'!H7</f>
        <v>2690.8900000000003</v>
      </c>
      <c r="I7" s="9">
        <f>E7+G7+'11-26-20'!I7</f>
        <v>51.069999999999993</v>
      </c>
      <c r="J7" s="9">
        <f t="shared" si="0"/>
        <v>2741.9600000000005</v>
      </c>
      <c r="K7" s="9">
        <f t="shared" si="1"/>
        <v>15232.039999999999</v>
      </c>
      <c r="L7" s="9">
        <f t="shared" si="2"/>
        <v>12016.765476190492</v>
      </c>
      <c r="M7" s="115"/>
    </row>
    <row r="8" spans="1:13" s="92" customFormat="1" ht="11.25" customHeight="1" x14ac:dyDescent="0.25">
      <c r="A8" s="22" t="s">
        <v>92</v>
      </c>
      <c r="B8" s="29">
        <v>55030100</v>
      </c>
      <c r="C8" s="9">
        <v>2109</v>
      </c>
      <c r="D8" s="9">
        <v>142.51</v>
      </c>
      <c r="E8" s="9">
        <v>2.69</v>
      </c>
      <c r="F8" s="9">
        <v>0</v>
      </c>
      <c r="G8" s="9">
        <v>0</v>
      </c>
      <c r="H8" s="9">
        <f>D8+F8+'11-26-20'!H8</f>
        <v>716.94</v>
      </c>
      <c r="I8" s="9">
        <f>E8+G8+'11-26-20'!I8</f>
        <v>13.569999999999999</v>
      </c>
      <c r="J8" s="9">
        <f t="shared" si="0"/>
        <v>730.5100000000001</v>
      </c>
      <c r="K8" s="9">
        <f t="shared" si="1"/>
        <v>1378.4899999999998</v>
      </c>
      <c r="L8" s="9">
        <f t="shared" si="2"/>
        <v>521.88005952381377</v>
      </c>
      <c r="M8" s="115"/>
    </row>
    <row r="9" spans="1:13" s="92" customFormat="1" ht="11.25" customHeight="1" x14ac:dyDescent="0.25">
      <c r="A9" s="54" t="s">
        <v>37</v>
      </c>
      <c r="B9" s="29">
        <v>55030200</v>
      </c>
      <c r="C9" s="9">
        <v>24330</v>
      </c>
      <c r="D9" s="10">
        <v>307.89</v>
      </c>
      <c r="E9" s="10">
        <v>5.84</v>
      </c>
      <c r="F9" s="10">
        <v>0</v>
      </c>
      <c r="G9" s="10">
        <v>0</v>
      </c>
      <c r="H9" s="9">
        <f>D9+F9+'11-26-20'!H9</f>
        <v>4866.3500000000004</v>
      </c>
      <c r="I9" s="9">
        <f>E9+G9+'11-26-20'!I9</f>
        <v>92.390000000000015</v>
      </c>
      <c r="J9" s="9">
        <f t="shared" si="0"/>
        <v>4958.7400000000007</v>
      </c>
      <c r="K9" s="9">
        <f t="shared" si="1"/>
        <v>19371.259999999998</v>
      </c>
      <c r="L9" s="9">
        <f t="shared" si="2"/>
        <v>13556.547023809551</v>
      </c>
      <c r="M9" s="123"/>
    </row>
    <row r="10" spans="1:13" s="92" customFormat="1" ht="11.25" customHeight="1" x14ac:dyDescent="0.25">
      <c r="A10" s="22" t="s">
        <v>36</v>
      </c>
      <c r="B10" s="29">
        <v>55050200</v>
      </c>
      <c r="C10" s="9">
        <v>34000</v>
      </c>
      <c r="D10" s="10">
        <v>1597.61</v>
      </c>
      <c r="E10" s="10">
        <v>30.34</v>
      </c>
      <c r="F10" s="10">
        <v>0</v>
      </c>
      <c r="G10" s="10">
        <v>0</v>
      </c>
      <c r="H10" s="9">
        <f>D10+F10+'11-26-20'!H10</f>
        <v>11203.510000000002</v>
      </c>
      <c r="I10" s="9">
        <f>E10+G10+'11-26-20'!I10</f>
        <v>212.77999999999997</v>
      </c>
      <c r="J10" s="9">
        <f t="shared" si="0"/>
        <v>11416.290000000003</v>
      </c>
      <c r="K10" s="9">
        <f t="shared" si="1"/>
        <v>22583.71</v>
      </c>
      <c r="L10" s="9">
        <f t="shared" si="2"/>
        <v>9196.7508928572061</v>
      </c>
      <c r="M10" s="123"/>
    </row>
    <row r="11" spans="1:13" s="92" customFormat="1" ht="11.25" hidden="1" customHeight="1" x14ac:dyDescent="0.25">
      <c r="A11" s="22" t="s">
        <v>80</v>
      </c>
      <c r="B11" s="29">
        <v>55050300</v>
      </c>
      <c r="C11" s="97"/>
      <c r="D11" s="9"/>
      <c r="E11" s="9"/>
      <c r="F11" s="9"/>
      <c r="G11" s="9"/>
      <c r="H11" s="9">
        <f>D11+F11+'11-26-20'!H11</f>
        <v>-310</v>
      </c>
      <c r="I11" s="9">
        <f>E11+G11+'11-26-20'!I11</f>
        <v>-5.8900000000000006</v>
      </c>
      <c r="J11" s="9">
        <f t="shared" si="0"/>
        <v>-315.89</v>
      </c>
      <c r="K11" s="9">
        <f t="shared" si="1"/>
        <v>315.89</v>
      </c>
      <c r="L11" s="9">
        <f t="shared" si="2"/>
        <v>686.30863095237908</v>
      </c>
      <c r="M11" s="116"/>
    </row>
    <row r="12" spans="1:13" s="98" customFormat="1" ht="11.25" customHeight="1" x14ac:dyDescent="0.25">
      <c r="A12" s="22" t="s">
        <v>35</v>
      </c>
      <c r="B12" s="29">
        <v>55070100</v>
      </c>
      <c r="C12" s="9">
        <v>42741</v>
      </c>
      <c r="D12" s="10">
        <f>-73.31+735.68</f>
        <v>662.36999999999989</v>
      </c>
      <c r="E12" s="10">
        <f>-1.39+13.97</f>
        <v>12.58</v>
      </c>
      <c r="F12" s="10">
        <v>0</v>
      </c>
      <c r="G12" s="10">
        <v>0</v>
      </c>
      <c r="H12" s="9">
        <f>D12+F12+'11-26-20'!H12</f>
        <v>9513.11</v>
      </c>
      <c r="I12" s="9">
        <f>E12+G12+'11-26-20'!I12</f>
        <v>181.72</v>
      </c>
      <c r="J12" s="9">
        <f t="shared" si="0"/>
        <v>9694.83</v>
      </c>
      <c r="K12" s="9">
        <f t="shared" si="1"/>
        <v>33046.17</v>
      </c>
      <c r="L12" s="9">
        <f t="shared" si="2"/>
        <v>21677.827678571488</v>
      </c>
      <c r="M12" s="124"/>
    </row>
    <row r="13" spans="1:13" s="92" customFormat="1" ht="11.25" customHeight="1" x14ac:dyDescent="0.25">
      <c r="A13" s="22" t="s">
        <v>34</v>
      </c>
      <c r="B13" s="29">
        <v>55080100</v>
      </c>
      <c r="C13" s="9">
        <v>23173</v>
      </c>
      <c r="D13" s="10">
        <v>1469.63</v>
      </c>
      <c r="E13" s="10">
        <v>27.92</v>
      </c>
      <c r="F13" s="10">
        <v>0</v>
      </c>
      <c r="G13" s="10">
        <v>0</v>
      </c>
      <c r="H13" s="9">
        <f>D13+F13+'11-26-20'!H13</f>
        <v>8491.36</v>
      </c>
      <c r="I13" s="9">
        <f>E13+G13+'11-26-20'!I13</f>
        <v>161.26999999999998</v>
      </c>
      <c r="J13" s="9">
        <f t="shared" si="0"/>
        <v>8652.630000000001</v>
      </c>
      <c r="K13" s="9">
        <f t="shared" si="1"/>
        <v>14520.369999999999</v>
      </c>
      <c r="L13" s="9">
        <f t="shared" si="2"/>
        <v>4374.1312500000495</v>
      </c>
      <c r="M13" s="123"/>
    </row>
    <row r="14" spans="1:13" s="99" customFormat="1" ht="11.25" customHeight="1" x14ac:dyDescent="0.25">
      <c r="A14" s="53" t="s">
        <v>33</v>
      </c>
      <c r="B14" s="33">
        <v>55190000</v>
      </c>
      <c r="C14" s="9">
        <v>6000</v>
      </c>
      <c r="D14" s="10">
        <v>35.369999999999997</v>
      </c>
      <c r="E14" s="10">
        <v>0.66</v>
      </c>
      <c r="F14" s="10">
        <v>0</v>
      </c>
      <c r="G14" s="10">
        <v>0</v>
      </c>
      <c r="H14" s="9">
        <f>D14+F14+'11-26-20'!H14</f>
        <v>120.96000000000001</v>
      </c>
      <c r="I14" s="9">
        <f>E14+G14+'11-26-20'!I14</f>
        <v>2.2600000000000002</v>
      </c>
      <c r="J14" s="9">
        <f t="shared" si="0"/>
        <v>123.22000000000001</v>
      </c>
      <c r="K14" s="9">
        <f t="shared" si="1"/>
        <v>5876.78</v>
      </c>
      <c r="L14" s="9">
        <f t="shared" si="2"/>
        <v>5732.2898809523813</v>
      </c>
      <c r="M14" s="117"/>
    </row>
    <row r="15" spans="1:13" ht="21.6" customHeight="1" thickBot="1" x14ac:dyDescent="0.3">
      <c r="A15" s="155" t="s">
        <v>32</v>
      </c>
      <c r="B15" s="156"/>
      <c r="C15" s="49">
        <f t="shared" ref="C15:L15" si="3">SUM(C3:C14)</f>
        <v>196179</v>
      </c>
      <c r="D15" s="7">
        <f t="shared" si="3"/>
        <v>5557.92</v>
      </c>
      <c r="E15" s="7">
        <f t="shared" si="3"/>
        <v>105.51</v>
      </c>
      <c r="F15" s="7">
        <f t="shared" si="3"/>
        <v>0</v>
      </c>
      <c r="G15" s="7">
        <f t="shared" si="3"/>
        <v>0</v>
      </c>
      <c r="H15" s="7">
        <f t="shared" si="3"/>
        <v>47571.29</v>
      </c>
      <c r="I15" s="7">
        <f t="shared" si="3"/>
        <v>904.3</v>
      </c>
      <c r="J15" s="49">
        <f t="shared" si="3"/>
        <v>48475.590000000011</v>
      </c>
      <c r="K15" s="49">
        <f t="shared" si="3"/>
        <v>147703.40999999997</v>
      </c>
      <c r="L15" s="7">
        <f t="shared" si="3"/>
        <v>90860.009821428845</v>
      </c>
    </row>
    <row r="16" spans="1:13" ht="11.25" customHeight="1" x14ac:dyDescent="0.25">
      <c r="A16" s="52"/>
      <c r="B16" s="41"/>
      <c r="C16" s="39"/>
      <c r="D16" s="39"/>
      <c r="E16" s="39"/>
      <c r="F16" s="39"/>
      <c r="G16" s="39"/>
      <c r="H16" s="39"/>
      <c r="I16" s="39"/>
      <c r="J16" s="39"/>
      <c r="K16" s="39"/>
      <c r="L16" s="51"/>
    </row>
    <row r="17" spans="1:13" ht="11.25" customHeight="1" thickBot="1" x14ac:dyDescent="0.3">
      <c r="A17" s="38"/>
      <c r="B17" s="37"/>
      <c r="C17" s="35"/>
      <c r="D17" s="35"/>
      <c r="E17" s="35"/>
      <c r="F17" s="35"/>
      <c r="G17" s="35"/>
      <c r="H17" s="35"/>
      <c r="I17" s="35"/>
      <c r="J17" s="35"/>
      <c r="K17" s="35"/>
      <c r="L17" s="50"/>
    </row>
    <row r="18" spans="1:13" s="92" customFormat="1" ht="11.45" customHeight="1" x14ac:dyDescent="0.25">
      <c r="A18" s="13" t="s">
        <v>31</v>
      </c>
      <c r="B18" s="33">
        <v>55090100</v>
      </c>
      <c r="C18" s="9">
        <v>26923</v>
      </c>
      <c r="D18" s="10">
        <v>0</v>
      </c>
      <c r="E18" s="10">
        <v>0</v>
      </c>
      <c r="F18" s="10">
        <v>480</v>
      </c>
      <c r="G18" s="10">
        <v>24.95</v>
      </c>
      <c r="H18" s="9">
        <f>D18+F18+'11-26-20'!H18</f>
        <v>12735</v>
      </c>
      <c r="I18" s="9">
        <f>E18+G18+'11-26-20'!I18</f>
        <v>662.19999999999993</v>
      </c>
      <c r="J18" s="9">
        <f t="shared" ref="J18:J20" si="4">H18+I18</f>
        <v>13397.2</v>
      </c>
      <c r="K18" s="9">
        <f>C18-J18</f>
        <v>13525.8</v>
      </c>
      <c r="L18" s="9">
        <f t="shared" ref="L18:L20" si="5">C18-((J18/12)*26.0714285714285)</f>
        <v>-2184.0119047618246</v>
      </c>
      <c r="M18" s="115"/>
    </row>
    <row r="19" spans="1:13" s="92" customFormat="1" ht="11.45" customHeight="1" x14ac:dyDescent="0.25">
      <c r="A19" s="22" t="s">
        <v>30</v>
      </c>
      <c r="B19" s="29">
        <v>55160100</v>
      </c>
      <c r="C19" s="9">
        <f>16062-2109</f>
        <v>13953</v>
      </c>
      <c r="D19" s="9">
        <v>0</v>
      </c>
      <c r="E19" s="9">
        <v>0</v>
      </c>
      <c r="F19" s="10">
        <v>0</v>
      </c>
      <c r="G19" s="10">
        <v>0</v>
      </c>
      <c r="H19" s="9">
        <f>D19+F19+'11-26-20'!H19</f>
        <v>0</v>
      </c>
      <c r="I19" s="9">
        <f>E19+G19+'11-26-20'!I19</f>
        <v>0</v>
      </c>
      <c r="J19" s="9">
        <f t="shared" si="4"/>
        <v>0</v>
      </c>
      <c r="K19" s="9">
        <f t="shared" ref="K19:K20" si="6">C19-J19</f>
        <v>13953</v>
      </c>
      <c r="L19" s="9">
        <f t="shared" si="5"/>
        <v>13953</v>
      </c>
      <c r="M19" s="115"/>
    </row>
    <row r="20" spans="1:13" s="92" customFormat="1" ht="11.45" customHeight="1" x14ac:dyDescent="0.25">
      <c r="A20" s="13" t="s">
        <v>29</v>
      </c>
      <c r="B20" s="33">
        <v>55100100</v>
      </c>
      <c r="C20" s="9">
        <v>2026</v>
      </c>
      <c r="D20" s="10">
        <v>68.48</v>
      </c>
      <c r="E20" s="10">
        <v>1.3</v>
      </c>
      <c r="F20" s="10">
        <v>0</v>
      </c>
      <c r="G20" s="10">
        <v>0</v>
      </c>
      <c r="H20" s="9">
        <f>D20+F20+'11-26-20'!H20</f>
        <v>867.98</v>
      </c>
      <c r="I20" s="9">
        <f>E20+G20+'11-26-20'!I20</f>
        <v>15.565</v>
      </c>
      <c r="J20" s="9">
        <f t="shared" si="4"/>
        <v>883.54500000000007</v>
      </c>
      <c r="K20" s="9">
        <f t="shared" si="6"/>
        <v>1142.4549999999999</v>
      </c>
      <c r="L20" s="9">
        <f t="shared" si="5"/>
        <v>106.39330357143376</v>
      </c>
      <c r="M20" s="115"/>
    </row>
    <row r="21" spans="1:13" ht="21.6" customHeight="1" thickBot="1" x14ac:dyDescent="0.3">
      <c r="A21" s="155" t="s">
        <v>28</v>
      </c>
      <c r="B21" s="156"/>
      <c r="C21" s="7">
        <f t="shared" ref="C21:L21" si="7">SUM(C18:C20)</f>
        <v>42902</v>
      </c>
      <c r="D21" s="7">
        <f t="shared" si="7"/>
        <v>68.48</v>
      </c>
      <c r="E21" s="7">
        <f t="shared" si="7"/>
        <v>1.3</v>
      </c>
      <c r="F21" s="7">
        <f t="shared" si="7"/>
        <v>480</v>
      </c>
      <c r="G21" s="7">
        <f t="shared" si="7"/>
        <v>24.95</v>
      </c>
      <c r="H21" s="7">
        <f t="shared" si="7"/>
        <v>13602.98</v>
      </c>
      <c r="I21" s="7">
        <f t="shared" si="7"/>
        <v>677.76499999999999</v>
      </c>
      <c r="J21" s="49">
        <f t="shared" si="7"/>
        <v>14280.745000000001</v>
      </c>
      <c r="K21" s="7">
        <f t="shared" si="7"/>
        <v>28621.254999999997</v>
      </c>
      <c r="L21" s="7">
        <f t="shared" si="7"/>
        <v>11875.38139880961</v>
      </c>
    </row>
    <row r="22" spans="1:13" ht="11.25" customHeight="1" x14ac:dyDescent="0.25">
      <c r="A22" s="42"/>
      <c r="B22" s="41"/>
      <c r="C22" s="39"/>
      <c r="D22" s="39"/>
      <c r="E22" s="39"/>
      <c r="F22" s="39"/>
      <c r="G22" s="39"/>
      <c r="H22" s="39"/>
      <c r="I22" s="39"/>
      <c r="J22" s="39"/>
      <c r="K22" s="39"/>
      <c r="L22" s="51"/>
    </row>
    <row r="23" spans="1:13" ht="11.25" customHeight="1" thickBot="1" x14ac:dyDescent="0.3">
      <c r="A23" s="38"/>
      <c r="B23" s="37"/>
      <c r="C23" s="35"/>
      <c r="D23" s="35"/>
      <c r="E23" s="35"/>
      <c r="F23" s="35"/>
      <c r="G23" s="35"/>
      <c r="H23" s="35"/>
      <c r="I23" s="35"/>
      <c r="J23" s="35"/>
      <c r="K23" s="35"/>
      <c r="L23" s="50"/>
    </row>
    <row r="24" spans="1:13" s="99" customFormat="1" ht="11.45" customHeight="1" x14ac:dyDescent="0.25">
      <c r="A24" s="13" t="s">
        <v>27</v>
      </c>
      <c r="B24" s="33">
        <v>55200000</v>
      </c>
      <c r="C24" s="9">
        <v>25000</v>
      </c>
      <c r="D24" s="10">
        <v>318.75</v>
      </c>
      <c r="E24" s="10">
        <v>6.05</v>
      </c>
      <c r="F24" s="10">
        <v>0</v>
      </c>
      <c r="G24" s="10">
        <v>0</v>
      </c>
      <c r="H24" s="9">
        <f>D24+F24+'11-26-20'!H24</f>
        <v>5613.75</v>
      </c>
      <c r="I24" s="9">
        <f>E24+G24+'11-26-20'!I24</f>
        <v>106.58</v>
      </c>
      <c r="J24" s="9">
        <f t="shared" ref="J24:J26" si="8">H24+I24</f>
        <v>5720.33</v>
      </c>
      <c r="K24" s="9">
        <f>C24-J24</f>
        <v>19279.669999999998</v>
      </c>
      <c r="L24" s="9">
        <f t="shared" ref="L24:L26" si="9">C24-((J24/12)*26.0714285714285)</f>
        <v>12571.902083333369</v>
      </c>
      <c r="M24" s="118"/>
    </row>
    <row r="25" spans="1:13" s="99" customFormat="1" ht="11.45" hidden="1" customHeight="1" x14ac:dyDescent="0.25">
      <c r="A25" s="13" t="s">
        <v>26</v>
      </c>
      <c r="B25" s="100" t="s">
        <v>25</v>
      </c>
      <c r="C25" s="46">
        <v>0</v>
      </c>
      <c r="D25" s="45"/>
      <c r="E25" s="45"/>
      <c r="F25" s="45"/>
      <c r="G25" s="45"/>
      <c r="H25" s="9">
        <f>D25+F25+'11-26-20'!H25</f>
        <v>0</v>
      </c>
      <c r="I25" s="9">
        <f>E25+G25+'11-26-20'!I25</f>
        <v>-9.9999999999997868E-3</v>
      </c>
      <c r="J25" s="9">
        <f t="shared" si="8"/>
        <v>-9.9999999999997868E-3</v>
      </c>
      <c r="K25" s="75">
        <f t="shared" ref="K25:K26" si="10">C25-J25</f>
        <v>9.9999999999997868E-3</v>
      </c>
      <c r="L25" s="9">
        <f t="shared" si="9"/>
        <v>2.1726190476189951E-2</v>
      </c>
      <c r="M25" s="118"/>
    </row>
    <row r="26" spans="1:13" s="99" customFormat="1" ht="10.9" customHeight="1" x14ac:dyDescent="0.25">
      <c r="A26" s="28" t="s">
        <v>24</v>
      </c>
      <c r="B26" s="47" t="s">
        <v>23</v>
      </c>
      <c r="C26" s="46">
        <v>0</v>
      </c>
      <c r="D26" s="45">
        <v>0</v>
      </c>
      <c r="E26" s="45">
        <v>0</v>
      </c>
      <c r="F26" s="45">
        <v>0</v>
      </c>
      <c r="G26" s="45">
        <v>0</v>
      </c>
      <c r="H26" s="9">
        <f>D26+F26+'11-26-20'!H26</f>
        <v>0</v>
      </c>
      <c r="I26" s="9">
        <f>E26+G26+'11-26-20'!I26</f>
        <v>0</v>
      </c>
      <c r="J26" s="9">
        <f t="shared" si="8"/>
        <v>0</v>
      </c>
      <c r="K26" s="9">
        <f t="shared" si="10"/>
        <v>0</v>
      </c>
      <c r="L26" s="9">
        <f t="shared" si="9"/>
        <v>0</v>
      </c>
      <c r="M26" s="117"/>
    </row>
    <row r="27" spans="1:13" ht="24.75" customHeight="1" thickBot="1" x14ac:dyDescent="0.3">
      <c r="A27" s="157" t="s">
        <v>22</v>
      </c>
      <c r="B27" s="158"/>
      <c r="C27" s="43">
        <f>SUM(C24:C25)</f>
        <v>25000</v>
      </c>
      <c r="D27" s="43">
        <f t="shared" ref="D27:L27" si="11">SUM(D24:D26)</f>
        <v>318.75</v>
      </c>
      <c r="E27" s="43">
        <f t="shared" si="11"/>
        <v>6.05</v>
      </c>
      <c r="F27" s="43">
        <f t="shared" si="11"/>
        <v>0</v>
      </c>
      <c r="G27" s="43">
        <f t="shared" si="11"/>
        <v>0</v>
      </c>
      <c r="H27" s="43">
        <f t="shared" si="11"/>
        <v>5613.75</v>
      </c>
      <c r="I27" s="43">
        <f t="shared" si="11"/>
        <v>106.57</v>
      </c>
      <c r="J27" s="43">
        <f t="shared" si="11"/>
        <v>5720.32</v>
      </c>
      <c r="K27" s="43">
        <f t="shared" si="11"/>
        <v>19279.679999999997</v>
      </c>
      <c r="L27" s="34">
        <f t="shared" si="11"/>
        <v>12571.923809523845</v>
      </c>
    </row>
    <row r="28" spans="1:13" ht="11.25" customHeight="1" x14ac:dyDescent="0.25">
      <c r="A28" s="42"/>
      <c r="B28" s="41"/>
      <c r="C28" s="39"/>
      <c r="D28" s="39"/>
      <c r="E28" s="39"/>
      <c r="F28" s="39"/>
      <c r="G28" s="39"/>
      <c r="H28" s="39"/>
      <c r="I28" s="39"/>
      <c r="J28" s="39"/>
      <c r="K28" s="39"/>
      <c r="L28" s="39"/>
    </row>
    <row r="29" spans="1:13" ht="11.25" customHeight="1" thickBot="1" x14ac:dyDescent="0.3">
      <c r="A29" s="38"/>
      <c r="B29" s="37"/>
      <c r="C29" s="35"/>
      <c r="D29" s="35"/>
      <c r="E29" s="35"/>
      <c r="F29" s="35"/>
      <c r="G29" s="35"/>
      <c r="H29" s="35"/>
      <c r="I29" s="35"/>
      <c r="J29" s="35"/>
      <c r="K29" s="35"/>
      <c r="L29" s="35"/>
    </row>
    <row r="30" spans="1:13" ht="21.6" customHeight="1" x14ac:dyDescent="0.25">
      <c r="A30" s="159" t="s">
        <v>21</v>
      </c>
      <c r="B30" s="159"/>
      <c r="C30" s="34">
        <f t="shared" ref="C30:L30" si="12">C15+C21+C27</f>
        <v>264081</v>
      </c>
      <c r="D30" s="34">
        <f t="shared" si="12"/>
        <v>5945.15</v>
      </c>
      <c r="E30" s="34">
        <f t="shared" si="12"/>
        <v>112.86</v>
      </c>
      <c r="F30" s="34">
        <f t="shared" si="12"/>
        <v>480</v>
      </c>
      <c r="G30" s="34">
        <f t="shared" si="12"/>
        <v>24.95</v>
      </c>
      <c r="H30" s="34">
        <f t="shared" si="12"/>
        <v>66788.02</v>
      </c>
      <c r="I30" s="34">
        <f t="shared" si="12"/>
        <v>1688.635</v>
      </c>
      <c r="J30" s="34">
        <f t="shared" si="12"/>
        <v>68476.655000000013</v>
      </c>
      <c r="K30" s="34">
        <f t="shared" si="12"/>
        <v>195604.34499999997</v>
      </c>
      <c r="L30" s="34">
        <f t="shared" si="12"/>
        <v>115307.31502976229</v>
      </c>
    </row>
    <row r="31" spans="1:13" ht="10.9" customHeight="1" x14ac:dyDescent="0.25">
      <c r="A31" s="17"/>
      <c r="B31" s="16"/>
      <c r="C31" s="15"/>
      <c r="D31" s="15"/>
      <c r="E31" s="15"/>
      <c r="F31" s="15"/>
      <c r="G31" s="15"/>
      <c r="H31" s="15"/>
      <c r="I31" s="15"/>
      <c r="J31" s="15"/>
      <c r="K31" s="15"/>
      <c r="L31" s="15"/>
    </row>
    <row r="32" spans="1:13" ht="11.25" customHeight="1" x14ac:dyDescent="0.25">
      <c r="A32" s="17"/>
      <c r="B32" s="16"/>
      <c r="C32" s="15"/>
      <c r="D32" s="15"/>
      <c r="E32" s="15"/>
      <c r="F32" s="15"/>
      <c r="G32" s="15"/>
      <c r="H32" s="15"/>
      <c r="I32" s="15"/>
      <c r="J32" s="15"/>
      <c r="K32" s="15"/>
      <c r="L32" s="15"/>
    </row>
    <row r="33" spans="1:13" s="104" customFormat="1" ht="11.25" customHeight="1" x14ac:dyDescent="0.25">
      <c r="A33" s="28" t="s">
        <v>20</v>
      </c>
      <c r="B33" s="27" t="s">
        <v>19</v>
      </c>
      <c r="C33" s="9">
        <v>0</v>
      </c>
      <c r="D33" s="10">
        <v>0</v>
      </c>
      <c r="E33" s="10">
        <v>0</v>
      </c>
      <c r="F33" s="10">
        <v>0</v>
      </c>
      <c r="G33" s="10">
        <v>0</v>
      </c>
      <c r="H33" s="9">
        <f>D33+F33+'11-26-20'!H33</f>
        <v>0</v>
      </c>
      <c r="I33" s="9">
        <f>E33+G33+'11-26-20'!I33</f>
        <v>0</v>
      </c>
      <c r="J33" s="9">
        <f t="shared" ref="J33:J48" si="13">H33+I33</f>
        <v>0</v>
      </c>
      <c r="K33" s="9">
        <f>C33-J33</f>
        <v>0</v>
      </c>
      <c r="L33" s="9">
        <f t="shared" ref="L33:L50" si="14">C33-((J33/12)*26.0714285714285)</f>
        <v>0</v>
      </c>
      <c r="M33" s="119"/>
    </row>
    <row r="34" spans="1:13" s="104" customFormat="1" ht="12" customHeight="1" x14ac:dyDescent="0.25">
      <c r="A34" s="32" t="s">
        <v>123</v>
      </c>
      <c r="B34" s="33" t="s">
        <v>55</v>
      </c>
      <c r="C34" s="9">
        <f>2795.22+12000</f>
        <v>14795.22</v>
      </c>
      <c r="D34" s="10">
        <v>0</v>
      </c>
      <c r="E34" s="10">
        <v>0</v>
      </c>
      <c r="F34" s="10">
        <v>0</v>
      </c>
      <c r="G34" s="10">
        <v>0</v>
      </c>
      <c r="H34" s="9">
        <f>D34+F34+'11-26-20'!H34</f>
        <v>2612</v>
      </c>
      <c r="I34" s="9">
        <f>E34+G34+'11-26-20'!I34</f>
        <v>84.06</v>
      </c>
      <c r="J34" s="9">
        <f t="shared" si="13"/>
        <v>2696.06</v>
      </c>
      <c r="K34" s="9">
        <f>C34-J34</f>
        <v>12099.16</v>
      </c>
      <c r="L34" s="9">
        <f t="shared" si="14"/>
        <v>8937.7086904762073</v>
      </c>
      <c r="M34" s="125"/>
    </row>
    <row r="35" spans="1:13" s="104" customFormat="1" ht="11.25" hidden="1" customHeight="1" x14ac:dyDescent="0.25">
      <c r="A35" s="32" t="s">
        <v>18</v>
      </c>
      <c r="B35" s="27" t="s">
        <v>17</v>
      </c>
      <c r="C35" s="105">
        <v>0</v>
      </c>
      <c r="D35" s="10"/>
      <c r="E35" s="10"/>
      <c r="F35" s="10"/>
      <c r="G35" s="10"/>
      <c r="H35" s="9">
        <f>D35+F35+'11-26-20'!H35</f>
        <v>0</v>
      </c>
      <c r="I35" s="9">
        <f>E35+G35+'11-26-20'!I35</f>
        <v>-1.0000000000005116E-2</v>
      </c>
      <c r="J35" s="9">
        <f t="shared" si="13"/>
        <v>-1.0000000000005116E-2</v>
      </c>
      <c r="K35" s="9">
        <f t="shared" ref="K35:K48" si="15">C35-J35</f>
        <v>1.0000000000005116E-2</v>
      </c>
      <c r="L35" s="9">
        <f t="shared" si="14"/>
        <v>2.1726190476201532E-2</v>
      </c>
      <c r="M35" s="119"/>
    </row>
    <row r="36" spans="1:13" s="106" customFormat="1" ht="11.25" customHeight="1" x14ac:dyDescent="0.25">
      <c r="A36" s="28" t="s">
        <v>16</v>
      </c>
      <c r="B36" s="29" t="s">
        <v>15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f>D36+F36+'11-26-20'!H36</f>
        <v>0</v>
      </c>
      <c r="I36" s="9">
        <f>E36+G36+'11-26-20'!I36</f>
        <v>0</v>
      </c>
      <c r="J36" s="9">
        <f t="shared" si="13"/>
        <v>0</v>
      </c>
      <c r="K36" s="9">
        <f t="shared" si="15"/>
        <v>0</v>
      </c>
      <c r="L36" s="9">
        <f t="shared" si="14"/>
        <v>0</v>
      </c>
      <c r="M36" s="120"/>
    </row>
    <row r="37" spans="1:13" s="106" customFormat="1" ht="11.25" customHeight="1" x14ac:dyDescent="0.25">
      <c r="A37" s="28" t="s">
        <v>97</v>
      </c>
      <c r="B37" s="29" t="s">
        <v>13</v>
      </c>
      <c r="C37" s="9">
        <v>0</v>
      </c>
      <c r="D37" s="130">
        <v>78.78</v>
      </c>
      <c r="E37" s="130">
        <v>1.48</v>
      </c>
      <c r="F37" s="9">
        <v>0</v>
      </c>
      <c r="G37" s="9">
        <v>0</v>
      </c>
      <c r="H37" s="9">
        <f>D37+F37+'11-26-20'!H37</f>
        <v>757.71999999999991</v>
      </c>
      <c r="I37" s="9">
        <f>E37+G37+'11-26-20'!I37</f>
        <v>14.33</v>
      </c>
      <c r="J37" s="9">
        <f t="shared" si="13"/>
        <v>772.05</v>
      </c>
      <c r="K37" s="107">
        <f t="shared" si="15"/>
        <v>-772.05</v>
      </c>
      <c r="L37" s="9">
        <f t="shared" si="14"/>
        <v>-1677.3705357142808</v>
      </c>
      <c r="M37" s="116"/>
    </row>
    <row r="38" spans="1:13" s="106" customFormat="1" ht="11.25" customHeight="1" x14ac:dyDescent="0.25">
      <c r="A38" s="28" t="s">
        <v>12</v>
      </c>
      <c r="B38" s="29">
        <v>55110100</v>
      </c>
      <c r="C38" s="9">
        <f>2659+6100</f>
        <v>8759</v>
      </c>
      <c r="D38" s="9">
        <v>300</v>
      </c>
      <c r="E38" s="9">
        <v>5.7</v>
      </c>
      <c r="F38" s="9">
        <v>0</v>
      </c>
      <c r="G38" s="9">
        <v>0</v>
      </c>
      <c r="H38" s="9">
        <f>D38+F38+'11-26-20'!H38</f>
        <v>1995</v>
      </c>
      <c r="I38" s="9">
        <f>E38+G38+'11-26-20'!I38</f>
        <v>37.900000000000006</v>
      </c>
      <c r="J38" s="9">
        <f t="shared" si="13"/>
        <v>2032.9</v>
      </c>
      <c r="K38" s="9">
        <f t="shared" si="15"/>
        <v>6726.1</v>
      </c>
      <c r="L38" s="9">
        <f t="shared" si="14"/>
        <v>4342.2827380952504</v>
      </c>
      <c r="M38" s="124"/>
    </row>
    <row r="39" spans="1:13" s="106" customFormat="1" ht="11.45" customHeight="1" x14ac:dyDescent="0.25">
      <c r="A39" s="28" t="s">
        <v>11</v>
      </c>
      <c r="B39" s="27" t="s">
        <v>10</v>
      </c>
      <c r="C39" s="9">
        <v>0</v>
      </c>
      <c r="D39" s="10">
        <v>0</v>
      </c>
      <c r="E39" s="10">
        <v>0</v>
      </c>
      <c r="F39" s="10">
        <v>0</v>
      </c>
      <c r="G39" s="10">
        <v>0</v>
      </c>
      <c r="H39" s="9">
        <f>D39+F39+'11-26-20'!H39</f>
        <v>0</v>
      </c>
      <c r="I39" s="9">
        <f>E39+G39+'11-26-20'!I39</f>
        <v>0</v>
      </c>
      <c r="J39" s="9">
        <f t="shared" si="13"/>
        <v>0</v>
      </c>
      <c r="K39" s="9">
        <f t="shared" si="15"/>
        <v>0</v>
      </c>
      <c r="L39" s="9">
        <f t="shared" si="14"/>
        <v>0</v>
      </c>
      <c r="M39" s="126"/>
    </row>
    <row r="40" spans="1:13" s="106" customFormat="1" ht="11.45" customHeight="1" x14ac:dyDescent="0.25">
      <c r="A40" s="25" t="s">
        <v>68</v>
      </c>
      <c r="B40" s="108" t="s">
        <v>69</v>
      </c>
      <c r="C40" s="9">
        <v>1500</v>
      </c>
      <c r="D40" s="9">
        <f>743.82</f>
        <v>743.82</v>
      </c>
      <c r="E40" s="9">
        <f>14.12</f>
        <v>14.12</v>
      </c>
      <c r="F40" s="9">
        <v>0</v>
      </c>
      <c r="G40" s="9">
        <v>0</v>
      </c>
      <c r="H40" s="9">
        <f>D40+F40+'11-26-20'!H40</f>
        <v>1122.3499999999999</v>
      </c>
      <c r="I40" s="9">
        <f>E40+G40+'11-26-20'!I40</f>
        <v>21.116999999999997</v>
      </c>
      <c r="J40" s="9">
        <f t="shared" si="13"/>
        <v>1143.4669999999999</v>
      </c>
      <c r="K40" s="9">
        <f t="shared" si="15"/>
        <v>356.53300000000013</v>
      </c>
      <c r="L40" s="9">
        <f t="shared" si="14"/>
        <v>-984.3181845238023</v>
      </c>
      <c r="M40" s="126"/>
    </row>
    <row r="41" spans="1:13" s="106" customFormat="1" ht="11.45" customHeight="1" x14ac:dyDescent="0.25">
      <c r="A41" s="25" t="s">
        <v>89</v>
      </c>
      <c r="B41" s="108" t="s">
        <v>88</v>
      </c>
      <c r="C41" s="9">
        <v>1200</v>
      </c>
      <c r="D41" s="9">
        <f>38.47</f>
        <v>38.47</v>
      </c>
      <c r="E41" s="9">
        <f>0.73</f>
        <v>0.73</v>
      </c>
      <c r="F41" s="9">
        <v>0</v>
      </c>
      <c r="G41" s="9">
        <v>0</v>
      </c>
      <c r="H41" s="9">
        <f>D41+F41+'11-26-20'!H41</f>
        <v>257.95999999999998</v>
      </c>
      <c r="I41" s="9">
        <f>E41+G41+'11-26-20'!I41</f>
        <v>4.8699999999999992</v>
      </c>
      <c r="J41" s="9">
        <f t="shared" si="13"/>
        <v>262.83</v>
      </c>
      <c r="K41" s="9">
        <f>C41-J41</f>
        <v>937.17000000000007</v>
      </c>
      <c r="L41" s="9">
        <f t="shared" si="14"/>
        <v>628.97053571428728</v>
      </c>
      <c r="M41" s="120"/>
    </row>
    <row r="42" spans="1:13" s="98" customFormat="1" ht="11.45" customHeight="1" x14ac:dyDescent="0.25">
      <c r="A42" s="25" t="s">
        <v>61</v>
      </c>
      <c r="B42" s="108" t="s">
        <v>62</v>
      </c>
      <c r="C42" s="9">
        <v>9800</v>
      </c>
      <c r="D42" s="9">
        <f>279</f>
        <v>279</v>
      </c>
      <c r="E42" s="9">
        <f>5.29</f>
        <v>5.29</v>
      </c>
      <c r="F42" s="9">
        <v>0</v>
      </c>
      <c r="G42" s="9">
        <v>0</v>
      </c>
      <c r="H42" s="9">
        <f>D42+F42+'11-26-20'!H42</f>
        <v>8757</v>
      </c>
      <c r="I42" s="9">
        <f>E42+G42+'11-26-20'!I42</f>
        <v>404.78</v>
      </c>
      <c r="J42" s="9">
        <f>H42+I42</f>
        <v>9161.7800000000007</v>
      </c>
      <c r="K42" s="9">
        <f>C42-J42</f>
        <v>638.21999999999935</v>
      </c>
      <c r="L42" s="9">
        <f t="shared" si="14"/>
        <v>-10105.057738095184</v>
      </c>
      <c r="M42" s="116"/>
    </row>
    <row r="43" spans="1:13" s="98" customFormat="1" ht="11.45" customHeight="1" x14ac:dyDescent="0.25">
      <c r="A43" s="25" t="s">
        <v>59</v>
      </c>
      <c r="B43" s="108" t="s">
        <v>60</v>
      </c>
      <c r="C43" s="9">
        <f>2453.12+2598.45</f>
        <v>5051.57</v>
      </c>
      <c r="D43" s="9">
        <f>609</f>
        <v>609</v>
      </c>
      <c r="E43" s="9">
        <f>11.55</f>
        <v>11.55</v>
      </c>
      <c r="F43" s="9">
        <v>0</v>
      </c>
      <c r="G43" s="9">
        <v>0</v>
      </c>
      <c r="H43" s="9">
        <f>D43+F43+'11-26-20'!H43</f>
        <v>4276.33</v>
      </c>
      <c r="I43" s="9">
        <f>E43+G43+'11-26-20'!I43</f>
        <v>81.19</v>
      </c>
      <c r="J43" s="9">
        <f>H43+I43</f>
        <v>4357.5199999999995</v>
      </c>
      <c r="K43" s="9">
        <f>C43-J43</f>
        <v>694.05000000000018</v>
      </c>
      <c r="L43" s="9">
        <f t="shared" si="14"/>
        <v>-4415.6609523809238</v>
      </c>
      <c r="M43" s="116"/>
    </row>
    <row r="44" spans="1:13" s="98" customFormat="1" ht="11.45" customHeight="1" x14ac:dyDescent="0.25">
      <c r="A44" s="25" t="s">
        <v>70</v>
      </c>
      <c r="B44" s="108" t="s">
        <v>71</v>
      </c>
      <c r="C44" s="9">
        <v>5600</v>
      </c>
      <c r="D44" s="9">
        <f>439.24</f>
        <v>439.24</v>
      </c>
      <c r="E44" s="9">
        <f>8.33</f>
        <v>8.33</v>
      </c>
      <c r="F44" s="9">
        <v>0</v>
      </c>
      <c r="G44" s="9">
        <v>0</v>
      </c>
      <c r="H44" s="9">
        <f>D44+F44+'11-26-20'!H44</f>
        <v>3930.1000000000004</v>
      </c>
      <c r="I44" s="9">
        <f>E44+G44+'11-26-20'!I44</f>
        <v>74.600000000000009</v>
      </c>
      <c r="J44" s="9">
        <f t="shared" ref="J44" si="16">H44+I44</f>
        <v>4004.7000000000003</v>
      </c>
      <c r="K44" s="9">
        <f t="shared" ref="K44" si="17">C44-J44</f>
        <v>1595.2999999999997</v>
      </c>
      <c r="L44" s="9">
        <f t="shared" si="14"/>
        <v>-3100.6874999999764</v>
      </c>
      <c r="M44" s="116"/>
    </row>
    <row r="45" spans="1:13" s="98" customFormat="1" ht="11.45" customHeight="1" x14ac:dyDescent="0.25">
      <c r="A45" s="25" t="s">
        <v>7</v>
      </c>
      <c r="B45" s="108" t="s">
        <v>6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f>D45+F45+'11-26-20'!H45</f>
        <v>0</v>
      </c>
      <c r="I45" s="9">
        <f>E45+G45+'11-26-20'!I45</f>
        <v>0</v>
      </c>
      <c r="J45" s="9">
        <f>H45+I45</f>
        <v>0</v>
      </c>
      <c r="K45" s="9">
        <f>C45-J45</f>
        <v>0</v>
      </c>
      <c r="L45" s="9">
        <f t="shared" si="14"/>
        <v>0</v>
      </c>
      <c r="M45" s="116"/>
    </row>
    <row r="46" spans="1:13" s="98" customFormat="1" ht="11.45" customHeight="1" x14ac:dyDescent="0.25">
      <c r="A46" s="25" t="s">
        <v>9</v>
      </c>
      <c r="B46" s="108" t="s">
        <v>8</v>
      </c>
      <c r="C46" s="9">
        <v>0</v>
      </c>
      <c r="D46" s="10">
        <v>0</v>
      </c>
      <c r="E46" s="10">
        <v>0</v>
      </c>
      <c r="F46" s="10">
        <v>0</v>
      </c>
      <c r="G46" s="10">
        <v>0</v>
      </c>
      <c r="H46" s="9">
        <f>D46+F46+'11-26-20'!H46</f>
        <v>0</v>
      </c>
      <c r="I46" s="9">
        <f>E46+G46+'11-26-20'!I46</f>
        <v>0</v>
      </c>
      <c r="J46" s="9">
        <f t="shared" si="13"/>
        <v>0</v>
      </c>
      <c r="K46" s="9">
        <f t="shared" si="15"/>
        <v>0</v>
      </c>
      <c r="L46" s="9">
        <f t="shared" si="14"/>
        <v>0</v>
      </c>
      <c r="M46" s="116"/>
    </row>
    <row r="47" spans="1:13" s="98" customFormat="1" ht="11.45" customHeight="1" x14ac:dyDescent="0.25">
      <c r="A47" s="25" t="s">
        <v>63</v>
      </c>
      <c r="B47" s="108" t="s">
        <v>66</v>
      </c>
      <c r="C47" s="9">
        <v>1784.19</v>
      </c>
      <c r="D47" s="10">
        <v>0</v>
      </c>
      <c r="E47" s="10">
        <v>0</v>
      </c>
      <c r="F47" s="10">
        <v>0</v>
      </c>
      <c r="G47" s="10">
        <v>0</v>
      </c>
      <c r="H47" s="9">
        <f>D47+F47+'11-26-20'!H47</f>
        <v>1504</v>
      </c>
      <c r="I47" s="9">
        <f>E47+G47+'11-26-20'!I47</f>
        <v>78.179999999999993</v>
      </c>
      <c r="J47" s="9">
        <f t="shared" si="13"/>
        <v>1582.18</v>
      </c>
      <c r="K47" s="9">
        <f t="shared" si="15"/>
        <v>202.01</v>
      </c>
      <c r="L47" s="9">
        <f t="shared" si="14"/>
        <v>-1653.2844047618951</v>
      </c>
      <c r="M47" s="116"/>
    </row>
    <row r="48" spans="1:13" s="98" customFormat="1" ht="11.45" hidden="1" customHeight="1" x14ac:dyDescent="0.25">
      <c r="A48" s="25" t="s">
        <v>64</v>
      </c>
      <c r="B48" s="108" t="s">
        <v>65</v>
      </c>
      <c r="C48" s="97"/>
      <c r="D48" s="10"/>
      <c r="E48" s="10"/>
      <c r="F48" s="10"/>
      <c r="G48" s="10"/>
      <c r="H48" s="9">
        <f>D48+F48+'11-26-20'!H48</f>
        <v>0</v>
      </c>
      <c r="I48" s="9">
        <f>E48+G48+'11-26-20'!I48</f>
        <v>0</v>
      </c>
      <c r="J48" s="9">
        <f t="shared" si="13"/>
        <v>0</v>
      </c>
      <c r="K48" s="9">
        <f t="shared" si="15"/>
        <v>0</v>
      </c>
      <c r="L48" s="9">
        <f t="shared" si="14"/>
        <v>0</v>
      </c>
      <c r="M48" s="116"/>
    </row>
    <row r="49" spans="1:13" s="110" customFormat="1" ht="11.25" customHeight="1" x14ac:dyDescent="0.25">
      <c r="A49" s="25" t="s">
        <v>57</v>
      </c>
      <c r="B49" s="108" t="s">
        <v>58</v>
      </c>
      <c r="C49" s="109">
        <v>843.44</v>
      </c>
      <c r="D49" s="109">
        <f>54.3</f>
        <v>54.3</v>
      </c>
      <c r="E49" s="109">
        <f>1.02</f>
        <v>1.02</v>
      </c>
      <c r="F49" s="109">
        <v>0</v>
      </c>
      <c r="G49" s="109">
        <v>0</v>
      </c>
      <c r="H49" s="9">
        <f>D49+F49+'11-26-20'!H49</f>
        <v>863.86000000000013</v>
      </c>
      <c r="I49" s="9">
        <f>E49+G49+'11-26-20'!I49</f>
        <v>16.350000000000001</v>
      </c>
      <c r="J49" s="9">
        <f>H49+I49</f>
        <v>880.21000000000015</v>
      </c>
      <c r="K49" s="107">
        <f>C49-J49</f>
        <v>-36.770000000000095</v>
      </c>
      <c r="L49" s="9">
        <f t="shared" si="14"/>
        <v>-1068.9210119047566</v>
      </c>
      <c r="M49" s="121"/>
    </row>
    <row r="50" spans="1:13" s="110" customFormat="1" ht="11.25" customHeight="1" x14ac:dyDescent="0.25">
      <c r="A50" s="25" t="s">
        <v>95</v>
      </c>
      <c r="B50" s="108" t="s">
        <v>94</v>
      </c>
      <c r="C50" s="109">
        <v>2000</v>
      </c>
      <c r="D50" s="109">
        <f>150</f>
        <v>150</v>
      </c>
      <c r="E50" s="109">
        <f>2.85</f>
        <v>2.85</v>
      </c>
      <c r="F50" s="109">
        <v>0</v>
      </c>
      <c r="G50" s="109">
        <v>0</v>
      </c>
      <c r="H50" s="9">
        <f>D50+F50+'11-26-20'!H50</f>
        <v>1011.5</v>
      </c>
      <c r="I50" s="9">
        <f>E50+G50+'11-26-20'!I50</f>
        <v>20.02</v>
      </c>
      <c r="J50" s="9">
        <f>H50+I50</f>
        <v>1031.52</v>
      </c>
      <c r="K50" s="9">
        <f>C50-J50</f>
        <v>968.48</v>
      </c>
      <c r="L50" s="9">
        <f t="shared" si="14"/>
        <v>-241.09999999999354</v>
      </c>
      <c r="M50" s="116"/>
    </row>
    <row r="51" spans="1:13" ht="21.6" customHeight="1" x14ac:dyDescent="0.25">
      <c r="A51" s="153" t="s">
        <v>5</v>
      </c>
      <c r="B51" s="154"/>
      <c r="C51" s="7">
        <f t="shared" ref="C51" si="18">SUM(C33:C49)</f>
        <v>49333.420000000006</v>
      </c>
      <c r="D51" s="7">
        <f t="shared" ref="D51:L51" si="19">SUM(D33:D50)</f>
        <v>2692.6099999999997</v>
      </c>
      <c r="E51" s="7">
        <f t="shared" si="19"/>
        <v>51.07</v>
      </c>
      <c r="F51" s="7">
        <f t="shared" si="19"/>
        <v>0</v>
      </c>
      <c r="G51" s="7">
        <f t="shared" si="19"/>
        <v>0</v>
      </c>
      <c r="H51" s="7">
        <f t="shared" si="19"/>
        <v>27087.82</v>
      </c>
      <c r="I51" s="7">
        <f t="shared" si="19"/>
        <v>837.38700000000006</v>
      </c>
      <c r="J51" s="7">
        <f t="shared" si="19"/>
        <v>27925.207000000002</v>
      </c>
      <c r="K51" s="7">
        <f t="shared" si="19"/>
        <v>23408.213</v>
      </c>
      <c r="L51" s="7">
        <f t="shared" si="19"/>
        <v>-9337.4166369045925</v>
      </c>
    </row>
    <row r="52" spans="1:13" ht="10.9" customHeight="1" x14ac:dyDescent="0.25">
      <c r="A52" s="17"/>
      <c r="B52" s="16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3" ht="10.9" customHeight="1" x14ac:dyDescent="0.25">
      <c r="A53" s="17"/>
      <c r="B53" s="16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3" s="92" customFormat="1" ht="10.9" customHeight="1" x14ac:dyDescent="0.25">
      <c r="A54" s="22" t="s">
        <v>4</v>
      </c>
      <c r="B54" s="29" t="s">
        <v>3</v>
      </c>
      <c r="C54" s="9">
        <v>62583</v>
      </c>
      <c r="D54" s="10">
        <v>693.18</v>
      </c>
      <c r="E54" s="10">
        <v>13.16</v>
      </c>
      <c r="F54" s="10">
        <v>0</v>
      </c>
      <c r="G54" s="10">
        <v>0</v>
      </c>
      <c r="H54" s="9">
        <f>D54+F54+'11-26-20'!H54</f>
        <v>9795.5899999999983</v>
      </c>
      <c r="I54" s="9">
        <f>E54+G54+'11-26-20'!I54</f>
        <v>212.69200000000004</v>
      </c>
      <c r="J54" s="9">
        <f t="shared" ref="J54" si="20">H54+I54</f>
        <v>10008.281999999999</v>
      </c>
      <c r="K54" s="9">
        <f>C54-J54</f>
        <v>52574.718000000001</v>
      </c>
      <c r="L54" s="9">
        <f>C54-((J54/12)*26.0714285714285)</f>
        <v>40838.815892857208</v>
      </c>
      <c r="M54" s="115"/>
    </row>
    <row r="55" spans="1:13" ht="21.6" customHeight="1" x14ac:dyDescent="0.25">
      <c r="A55" s="20" t="s">
        <v>2</v>
      </c>
      <c r="B55" s="19"/>
      <c r="C55" s="18">
        <f t="shared" ref="C55:L55" si="21">C54</f>
        <v>62583</v>
      </c>
      <c r="D55" s="18">
        <f t="shared" si="21"/>
        <v>693.18</v>
      </c>
      <c r="E55" s="18">
        <f t="shared" si="21"/>
        <v>13.16</v>
      </c>
      <c r="F55" s="18">
        <f t="shared" si="21"/>
        <v>0</v>
      </c>
      <c r="G55" s="18">
        <f t="shared" si="21"/>
        <v>0</v>
      </c>
      <c r="H55" s="18">
        <f t="shared" si="21"/>
        <v>9795.5899999999983</v>
      </c>
      <c r="I55" s="18">
        <f t="shared" si="21"/>
        <v>212.69200000000004</v>
      </c>
      <c r="J55" s="18">
        <f t="shared" si="21"/>
        <v>10008.281999999999</v>
      </c>
      <c r="K55" s="18">
        <f t="shared" si="21"/>
        <v>52574.718000000001</v>
      </c>
      <c r="L55" s="18">
        <f t="shared" si="21"/>
        <v>40838.815892857208</v>
      </c>
    </row>
    <row r="56" spans="1:13" ht="10.9" customHeight="1" x14ac:dyDescent="0.25">
      <c r="A56" s="17"/>
      <c r="B56" s="16"/>
      <c r="C56" s="15"/>
      <c r="D56" s="15"/>
      <c r="E56" s="15"/>
      <c r="F56" s="15"/>
      <c r="G56" s="15"/>
      <c r="H56" s="15"/>
      <c r="I56" s="15"/>
      <c r="J56" s="15"/>
      <c r="K56" s="15"/>
      <c r="L56" s="15"/>
    </row>
    <row r="57" spans="1:13" ht="10.9" customHeight="1" x14ac:dyDescent="0.25">
      <c r="A57" s="17"/>
      <c r="B57" s="16"/>
      <c r="C57" s="15"/>
      <c r="D57" s="15"/>
      <c r="E57" s="15"/>
      <c r="F57" s="15"/>
      <c r="G57" s="15"/>
      <c r="H57" s="15"/>
      <c r="I57" s="15"/>
      <c r="J57" s="15"/>
      <c r="K57" s="15"/>
      <c r="L57" s="15"/>
    </row>
    <row r="58" spans="1:13" s="92" customFormat="1" ht="10.9" customHeight="1" x14ac:dyDescent="0.25">
      <c r="A58" s="13" t="s">
        <v>1</v>
      </c>
      <c r="B58" s="33">
        <v>55180000</v>
      </c>
      <c r="C58" s="9">
        <v>37736</v>
      </c>
      <c r="D58" s="10">
        <v>0</v>
      </c>
      <c r="E58" s="10">
        <v>0</v>
      </c>
      <c r="F58" s="10">
        <v>438.6</v>
      </c>
      <c r="G58" s="10">
        <v>22.8</v>
      </c>
      <c r="H58" s="9">
        <f>D58+F58+'11-26-20'!H58</f>
        <v>5087.76</v>
      </c>
      <c r="I58" s="9">
        <f>E58+G58+'11-26-20'!I58</f>
        <v>264.48</v>
      </c>
      <c r="J58" s="9">
        <f t="shared" ref="J58" si="22">H58+I58</f>
        <v>5352.24</v>
      </c>
      <c r="K58" s="9">
        <f>C58-J58</f>
        <v>32383.760000000002</v>
      </c>
      <c r="L58" s="9">
        <f>C58-((J58/12)*26.0714285714285)</f>
        <v>26107.62142857146</v>
      </c>
      <c r="M58" s="115"/>
    </row>
    <row r="59" spans="1:13" s="3" customFormat="1" ht="21.6" customHeight="1" x14ac:dyDescent="0.25">
      <c r="A59" s="153" t="s">
        <v>0</v>
      </c>
      <c r="B59" s="154"/>
      <c r="C59" s="7">
        <f t="shared" ref="C59:L59" si="23">SUM(C58)</f>
        <v>37736</v>
      </c>
      <c r="D59" s="7">
        <f t="shared" si="23"/>
        <v>0</v>
      </c>
      <c r="E59" s="7">
        <f t="shared" si="23"/>
        <v>0</v>
      </c>
      <c r="F59" s="7">
        <f t="shared" si="23"/>
        <v>438.6</v>
      </c>
      <c r="G59" s="7">
        <f t="shared" si="23"/>
        <v>22.8</v>
      </c>
      <c r="H59" s="7">
        <f t="shared" si="23"/>
        <v>5087.76</v>
      </c>
      <c r="I59" s="7">
        <f t="shared" si="23"/>
        <v>264.48</v>
      </c>
      <c r="J59" s="7">
        <f t="shared" si="23"/>
        <v>5352.24</v>
      </c>
      <c r="K59" s="7">
        <f t="shared" si="23"/>
        <v>32383.760000000002</v>
      </c>
      <c r="L59" s="7">
        <f t="shared" si="23"/>
        <v>26107.62142857146</v>
      </c>
      <c r="M59" s="122"/>
    </row>
    <row r="60" spans="1:13" s="3" customFormat="1" ht="11.25" customHeight="1" x14ac:dyDescent="0.25">
      <c r="A60" s="6"/>
      <c r="B60" s="5"/>
      <c r="C60" s="4"/>
      <c r="D60" s="4"/>
      <c r="E60" s="4"/>
      <c r="F60" s="4"/>
      <c r="G60" s="4"/>
      <c r="H60" s="4"/>
      <c r="I60" s="4"/>
      <c r="J60" s="4"/>
      <c r="K60" s="4"/>
      <c r="L60" s="4"/>
      <c r="M60" s="122"/>
    </row>
    <row r="61" spans="1:13" s="2" customFormat="1" ht="10.5" customHeight="1" x14ac:dyDescent="0.25">
      <c r="A61" s="160" t="s">
        <v>72</v>
      </c>
      <c r="B61" s="160"/>
      <c r="C61" s="160"/>
      <c r="D61" s="160"/>
      <c r="E61" s="160"/>
      <c r="F61" s="160"/>
      <c r="G61" s="82">
        <v>12000</v>
      </c>
      <c r="M61" s="111"/>
    </row>
    <row r="62" spans="1:13" s="2" customFormat="1" ht="10.5" customHeight="1" x14ac:dyDescent="0.25">
      <c r="A62" s="160" t="s">
        <v>73</v>
      </c>
      <c r="B62" s="160"/>
      <c r="C62" s="160"/>
      <c r="D62" s="160"/>
      <c r="E62" s="160"/>
      <c r="F62" s="160"/>
      <c r="G62" s="82">
        <v>5600</v>
      </c>
      <c r="M62" s="111"/>
    </row>
    <row r="63" spans="1:13" ht="10.5" customHeight="1" x14ac:dyDescent="0.25">
      <c r="A63" s="160" t="s">
        <v>76</v>
      </c>
      <c r="B63" s="160"/>
      <c r="C63" s="160"/>
      <c r="D63" s="160"/>
      <c r="E63" s="160"/>
      <c r="F63" s="160"/>
      <c r="G63" s="82">
        <v>9800</v>
      </c>
    </row>
    <row r="64" spans="1:13" ht="10.5" customHeight="1" x14ac:dyDescent="0.25">
      <c r="A64" s="160" t="s">
        <v>75</v>
      </c>
      <c r="B64" s="160"/>
      <c r="C64" s="160"/>
      <c r="D64" s="160"/>
      <c r="E64" s="160"/>
      <c r="F64" s="160"/>
      <c r="G64" s="82">
        <v>1500</v>
      </c>
    </row>
    <row r="65" spans="1:13" ht="10.5" customHeight="1" x14ac:dyDescent="0.25">
      <c r="A65" s="160" t="s">
        <v>74</v>
      </c>
      <c r="B65" s="160"/>
      <c r="C65" s="160"/>
      <c r="D65" s="160"/>
      <c r="E65" s="160"/>
      <c r="F65" s="160"/>
      <c r="G65" s="82">
        <v>843.44</v>
      </c>
    </row>
    <row r="66" spans="1:13" ht="10.5" customHeight="1" x14ac:dyDescent="0.25">
      <c r="A66" s="160" t="s">
        <v>77</v>
      </c>
      <c r="B66" s="160"/>
      <c r="C66" s="160"/>
      <c r="D66" s="160"/>
      <c r="E66" s="160"/>
      <c r="F66" s="160"/>
      <c r="G66" s="82">
        <v>1784.19</v>
      </c>
    </row>
    <row r="67" spans="1:13" ht="10.5" customHeight="1" x14ac:dyDescent="0.25">
      <c r="A67" s="160" t="s">
        <v>78</v>
      </c>
      <c r="B67" s="160"/>
      <c r="C67" s="160"/>
      <c r="D67" s="160"/>
      <c r="E67" s="160"/>
      <c r="F67" s="160"/>
      <c r="G67" s="82">
        <v>2453.12</v>
      </c>
    </row>
    <row r="68" spans="1:13" s="2" customFormat="1" ht="10.5" customHeight="1" x14ac:dyDescent="0.25">
      <c r="A68" s="160" t="s">
        <v>84</v>
      </c>
      <c r="B68" s="160"/>
      <c r="C68" s="160"/>
      <c r="D68" s="160"/>
      <c r="E68" s="160"/>
      <c r="F68" s="160"/>
      <c r="G68" s="82">
        <v>2598.4499999999998</v>
      </c>
      <c r="M68" s="112"/>
    </row>
    <row r="69" spans="1:13" s="2" customFormat="1" ht="10.5" customHeight="1" x14ac:dyDescent="0.25">
      <c r="A69" s="160" t="s">
        <v>85</v>
      </c>
      <c r="B69" s="160"/>
      <c r="C69" s="160"/>
      <c r="D69" s="160"/>
      <c r="E69" s="160"/>
      <c r="F69" s="160"/>
      <c r="G69" s="82">
        <v>2659</v>
      </c>
      <c r="M69" s="112"/>
    </row>
    <row r="70" spans="1:13" s="2" customFormat="1" ht="10.5" customHeight="1" x14ac:dyDescent="0.25">
      <c r="A70" s="160" t="s">
        <v>90</v>
      </c>
      <c r="B70" s="160"/>
      <c r="C70" s="160"/>
      <c r="D70" s="160"/>
      <c r="E70" s="160"/>
      <c r="F70" s="160"/>
      <c r="G70" s="82">
        <v>1200</v>
      </c>
      <c r="M70" s="112"/>
    </row>
    <row r="71" spans="1:13" s="2" customFormat="1" ht="10.5" customHeight="1" x14ac:dyDescent="0.25">
      <c r="A71" s="160" t="s">
        <v>93</v>
      </c>
      <c r="B71" s="160"/>
      <c r="C71" s="160"/>
      <c r="D71" s="160"/>
      <c r="E71" s="160"/>
      <c r="F71" s="160"/>
      <c r="G71" s="82">
        <v>2109</v>
      </c>
      <c r="M71" s="111"/>
    </row>
    <row r="72" spans="1:13" s="2" customFormat="1" ht="10.5" customHeight="1" x14ac:dyDescent="0.25">
      <c r="A72" s="160" t="s">
        <v>100</v>
      </c>
      <c r="B72" s="160"/>
      <c r="C72" s="160"/>
      <c r="D72" s="160"/>
      <c r="E72" s="160"/>
      <c r="F72" s="160"/>
      <c r="G72" s="82">
        <v>6100</v>
      </c>
      <c r="M72" s="111"/>
    </row>
    <row r="73" spans="1:13" x14ac:dyDescent="0.25">
      <c r="D73" s="111"/>
      <c r="E73" s="111"/>
      <c r="F73" s="111"/>
      <c r="G73" s="111"/>
    </row>
    <row r="75" spans="1:13" x14ac:dyDescent="0.25">
      <c r="D75" s="111"/>
    </row>
    <row r="76" spans="1:13" x14ac:dyDescent="0.25">
      <c r="D76" s="111"/>
    </row>
    <row r="77" spans="1:13" x14ac:dyDescent="0.25">
      <c r="D77" s="111"/>
      <c r="E77" s="111"/>
      <c r="F77" s="111"/>
      <c r="G77" s="111"/>
    </row>
    <row r="78" spans="1:13" x14ac:dyDescent="0.25">
      <c r="D78" s="111"/>
      <c r="E78" s="111"/>
      <c r="F78" s="111"/>
      <c r="G78" s="111"/>
    </row>
    <row r="79" spans="1:13" x14ac:dyDescent="0.25">
      <c r="D79" s="111"/>
      <c r="E79" s="111"/>
      <c r="F79" s="111"/>
      <c r="G79" s="111"/>
    </row>
    <row r="80" spans="1:13" x14ac:dyDescent="0.25">
      <c r="D80" s="111"/>
      <c r="E80" s="111"/>
      <c r="F80" s="111"/>
      <c r="G80" s="111"/>
    </row>
    <row r="81" spans="4:7" x14ac:dyDescent="0.25">
      <c r="D81" s="111"/>
      <c r="E81" s="111"/>
      <c r="F81" s="111"/>
      <c r="G81" s="111"/>
    </row>
    <row r="82" spans="4:7" x14ac:dyDescent="0.25">
      <c r="D82" s="111"/>
      <c r="E82" s="111"/>
      <c r="F82" s="111"/>
      <c r="G82" s="111"/>
    </row>
    <row r="83" spans="4:7" x14ac:dyDescent="0.25">
      <c r="D83" s="111"/>
      <c r="E83" s="111"/>
      <c r="F83" s="111"/>
      <c r="G83" s="111"/>
    </row>
  </sheetData>
  <mergeCells count="18">
    <mergeCell ref="A72:F72"/>
    <mergeCell ref="A61:F61"/>
    <mergeCell ref="A62:F62"/>
    <mergeCell ref="A63:F63"/>
    <mergeCell ref="A64:F64"/>
    <mergeCell ref="A65:F65"/>
    <mergeCell ref="A66:F66"/>
    <mergeCell ref="A67:F67"/>
    <mergeCell ref="A68:F68"/>
    <mergeCell ref="A69:F69"/>
    <mergeCell ref="A70:F70"/>
    <mergeCell ref="A71:F71"/>
    <mergeCell ref="A59:B59"/>
    <mergeCell ref="A15:B15"/>
    <mergeCell ref="A21:B21"/>
    <mergeCell ref="A27:B27"/>
    <mergeCell ref="A30:B30"/>
    <mergeCell ref="A51:B51"/>
  </mergeCells>
  <pageMargins left="0.25" right="0" top="0.4" bottom="0" header="0.3" footer="0"/>
  <pageSetup scale="86" fitToWidth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M83"/>
  <sheetViews>
    <sheetView zoomScale="160" zoomScaleNormal="160" workbookViewId="0">
      <pane ySplit="2" topLeftCell="A24" activePane="bottomLeft" state="frozen"/>
      <selection pane="bottomLeft" activeCell="K34" sqref="K34"/>
    </sheetView>
  </sheetViews>
  <sheetFormatPr defaultColWidth="28" defaultRowHeight="15" x14ac:dyDescent="0.25"/>
  <cols>
    <col min="1" max="1" width="34" style="1" bestFit="1" customWidth="1"/>
    <col min="2" max="2" width="19" style="1" bestFit="1" customWidth="1"/>
    <col min="3" max="3" width="11" style="77" customWidth="1"/>
    <col min="4" max="4" width="7.5703125" style="2" bestFit="1" customWidth="1"/>
    <col min="5" max="5" width="6.28515625" style="2" bestFit="1" customWidth="1"/>
    <col min="6" max="6" width="9" style="2" bestFit="1" customWidth="1"/>
    <col min="7" max="7" width="8.7109375" style="2" bestFit="1" customWidth="1"/>
    <col min="8" max="8" width="8.42578125" style="2" bestFit="1" customWidth="1"/>
    <col min="9" max="9" width="9.42578125" style="2" bestFit="1" customWidth="1"/>
    <col min="10" max="10" width="9.7109375" style="2" bestFit="1" customWidth="1"/>
    <col min="11" max="11" width="9.28515625" style="2" bestFit="1" customWidth="1"/>
    <col min="12" max="12" width="13.42578125" style="2" bestFit="1" customWidth="1"/>
    <col min="13" max="13" width="84.5703125" style="112" bestFit="1" customWidth="1"/>
    <col min="14" max="16384" width="28" style="1"/>
  </cols>
  <sheetData>
    <row r="1" spans="1:13" ht="11.25" customHeight="1" x14ac:dyDescent="0.25">
      <c r="A1" s="68"/>
      <c r="B1" s="67"/>
      <c r="C1" s="76"/>
      <c r="D1" s="66"/>
      <c r="E1" s="66"/>
      <c r="F1" s="66"/>
      <c r="G1" s="66"/>
      <c r="H1" s="66"/>
      <c r="I1" s="66"/>
      <c r="J1" s="66"/>
      <c r="K1" s="66"/>
      <c r="L1" s="65" t="s">
        <v>101</v>
      </c>
    </row>
    <row r="2" spans="1:13" s="61" customFormat="1" ht="23.25" x14ac:dyDescent="0.25">
      <c r="A2" s="64" t="s">
        <v>53</v>
      </c>
      <c r="B2" s="64" t="s">
        <v>52</v>
      </c>
      <c r="C2" s="63" t="s">
        <v>51</v>
      </c>
      <c r="D2" s="63" t="s">
        <v>50</v>
      </c>
      <c r="E2" s="63" t="s">
        <v>48</v>
      </c>
      <c r="F2" s="63" t="s">
        <v>49</v>
      </c>
      <c r="G2" s="63" t="s">
        <v>48</v>
      </c>
      <c r="H2" s="62" t="s">
        <v>47</v>
      </c>
      <c r="I2" s="62" t="s">
        <v>46</v>
      </c>
      <c r="J2" s="62" t="s">
        <v>45</v>
      </c>
      <c r="K2" s="62" t="s">
        <v>44</v>
      </c>
      <c r="L2" s="62" t="s">
        <v>43</v>
      </c>
      <c r="M2" s="113"/>
    </row>
    <row r="3" spans="1:13" s="101" customFormat="1" ht="11.25" customHeight="1" x14ac:dyDescent="0.25">
      <c r="A3" s="22" t="s">
        <v>42</v>
      </c>
      <c r="B3" s="29">
        <v>55010300</v>
      </c>
      <c r="C3" s="9">
        <v>0</v>
      </c>
      <c r="D3" s="9">
        <v>0</v>
      </c>
      <c r="E3" s="9">
        <v>0</v>
      </c>
      <c r="F3" s="9">
        <v>0</v>
      </c>
      <c r="G3" s="9">
        <v>0</v>
      </c>
      <c r="H3" s="9">
        <f>D3+F3+'12-10-20'!H3</f>
        <v>0</v>
      </c>
      <c r="I3" s="9">
        <f>E3+G3+'12-10-20'!I3</f>
        <v>0</v>
      </c>
      <c r="J3" s="9">
        <f t="shared" ref="J3:J14" si="0">H3+I3</f>
        <v>0</v>
      </c>
      <c r="K3" s="9">
        <f>C3-J3</f>
        <v>0</v>
      </c>
      <c r="L3" s="9">
        <f>C3-((J3/13)*26.0714285714285)</f>
        <v>0</v>
      </c>
      <c r="M3" s="114"/>
    </row>
    <row r="4" spans="1:13" s="101" customFormat="1" ht="11.25" customHeight="1" x14ac:dyDescent="0.25">
      <c r="A4" s="22" t="s">
        <v>41</v>
      </c>
      <c r="B4" s="29">
        <v>55010500</v>
      </c>
      <c r="C4" s="9">
        <v>3229</v>
      </c>
      <c r="D4" s="10">
        <v>0</v>
      </c>
      <c r="E4" s="10">
        <v>0</v>
      </c>
      <c r="F4" s="10">
        <v>0</v>
      </c>
      <c r="G4" s="10">
        <v>0</v>
      </c>
      <c r="H4" s="9">
        <f>D4+F4+'12-10-20'!H4</f>
        <v>0</v>
      </c>
      <c r="I4" s="9">
        <f>E4+G4+'12-10-20'!I4</f>
        <v>0</v>
      </c>
      <c r="J4" s="9">
        <f t="shared" si="0"/>
        <v>0</v>
      </c>
      <c r="K4" s="9">
        <f t="shared" ref="K4:K14" si="1">C4-J4</f>
        <v>3229</v>
      </c>
      <c r="L4" s="9">
        <f t="shared" ref="L4:L14" si="2">C4-((J4/13)*26.0714285714285)</f>
        <v>3229</v>
      </c>
      <c r="M4" s="114"/>
    </row>
    <row r="5" spans="1:13" s="92" customFormat="1" ht="11.25" customHeight="1" x14ac:dyDescent="0.25">
      <c r="A5" s="58" t="s">
        <v>40</v>
      </c>
      <c r="B5" s="102">
        <v>55020200</v>
      </c>
      <c r="C5" s="103">
        <v>24649</v>
      </c>
      <c r="D5" s="55">
        <v>327.49</v>
      </c>
      <c r="E5" s="55">
        <v>6.22</v>
      </c>
      <c r="F5" s="55">
        <v>0</v>
      </c>
      <c r="G5" s="55">
        <v>0</v>
      </c>
      <c r="H5" s="9">
        <f>D5+F5+'12-10-20'!H5</f>
        <v>7427.7900000000009</v>
      </c>
      <c r="I5" s="9">
        <f>E5+G5+'12-10-20'!I5</f>
        <v>141.02999999999997</v>
      </c>
      <c r="J5" s="9">
        <f t="shared" si="0"/>
        <v>7568.8200000000006</v>
      </c>
      <c r="K5" s="9">
        <f t="shared" si="1"/>
        <v>17080.18</v>
      </c>
      <c r="L5" s="9">
        <f t="shared" si="2"/>
        <v>9469.7730769231202</v>
      </c>
      <c r="M5" s="115"/>
    </row>
    <row r="6" spans="1:13" s="92" customFormat="1" ht="11.25" customHeight="1" x14ac:dyDescent="0.25">
      <c r="A6" s="22" t="s">
        <v>39</v>
      </c>
      <c r="B6" s="29">
        <v>55020300</v>
      </c>
      <c r="C6" s="9">
        <v>17974</v>
      </c>
      <c r="D6" s="10">
        <v>223.1</v>
      </c>
      <c r="E6" s="10">
        <v>4.2300000000000004</v>
      </c>
      <c r="F6" s="10">
        <v>0</v>
      </c>
      <c r="G6" s="10">
        <v>0</v>
      </c>
      <c r="H6" s="9">
        <f>D6+F6+'12-10-20'!H6</f>
        <v>3400.9700000000003</v>
      </c>
      <c r="I6" s="9">
        <f>E6+G6+'12-10-20'!I6</f>
        <v>64.55</v>
      </c>
      <c r="J6" s="9">
        <f t="shared" si="0"/>
        <v>3465.5200000000004</v>
      </c>
      <c r="K6" s="9">
        <f t="shared" si="1"/>
        <v>14508.48</v>
      </c>
      <c r="L6" s="9">
        <f t="shared" si="2"/>
        <v>11023.918681318701</v>
      </c>
      <c r="M6" s="115"/>
    </row>
    <row r="7" spans="1:13" s="92" customFormat="1" ht="11.25" customHeight="1" x14ac:dyDescent="0.25">
      <c r="A7" s="22" t="s">
        <v>38</v>
      </c>
      <c r="B7" s="29">
        <v>55020400</v>
      </c>
      <c r="C7" s="9">
        <v>17974</v>
      </c>
      <c r="D7" s="10">
        <v>264.8</v>
      </c>
      <c r="E7" s="10">
        <v>5.03</v>
      </c>
      <c r="F7" s="10">
        <v>0</v>
      </c>
      <c r="G7" s="10">
        <v>0</v>
      </c>
      <c r="H7" s="9">
        <f>D7+F7+'12-10-20'!H7</f>
        <v>2955.6900000000005</v>
      </c>
      <c r="I7" s="9">
        <f>E7+G7+'12-10-20'!I7</f>
        <v>56.099999999999994</v>
      </c>
      <c r="J7" s="9">
        <f t="shared" si="0"/>
        <v>3011.7900000000004</v>
      </c>
      <c r="K7" s="9">
        <f t="shared" si="1"/>
        <v>14962.21</v>
      </c>
      <c r="L7" s="9">
        <f t="shared" si="2"/>
        <v>11933.87170329672</v>
      </c>
      <c r="M7" s="115"/>
    </row>
    <row r="8" spans="1:13" s="92" customFormat="1" ht="11.25" customHeight="1" x14ac:dyDescent="0.25">
      <c r="A8" s="22" t="s">
        <v>92</v>
      </c>
      <c r="B8" s="29">
        <v>55030100</v>
      </c>
      <c r="C8" s="9">
        <v>2109</v>
      </c>
      <c r="D8" s="9">
        <v>124.97</v>
      </c>
      <c r="E8" s="9">
        <v>2.37</v>
      </c>
      <c r="F8" s="9">
        <v>0</v>
      </c>
      <c r="G8" s="9">
        <v>0</v>
      </c>
      <c r="H8" s="9">
        <f>D8+F8+'12-10-20'!H8</f>
        <v>841.91000000000008</v>
      </c>
      <c r="I8" s="9">
        <f>E8+G8+'12-10-20'!I8</f>
        <v>15.939999999999998</v>
      </c>
      <c r="J8" s="9">
        <f t="shared" si="0"/>
        <v>857.85000000000014</v>
      </c>
      <c r="K8" s="9">
        <f t="shared" si="1"/>
        <v>1251.1499999999999</v>
      </c>
      <c r="L8" s="9">
        <f t="shared" si="2"/>
        <v>388.58653846154289</v>
      </c>
      <c r="M8" s="115"/>
    </row>
    <row r="9" spans="1:13" s="92" customFormat="1" ht="11.25" customHeight="1" x14ac:dyDescent="0.25">
      <c r="A9" s="54" t="s">
        <v>37</v>
      </c>
      <c r="B9" s="29">
        <v>55030200</v>
      </c>
      <c r="C9" s="9">
        <v>24330</v>
      </c>
      <c r="D9" s="10">
        <v>220.27</v>
      </c>
      <c r="E9" s="10">
        <v>4.4800000000000004</v>
      </c>
      <c r="F9" s="10">
        <v>0</v>
      </c>
      <c r="G9" s="10">
        <v>0</v>
      </c>
      <c r="H9" s="9">
        <f>D9+F9+'12-10-20'!H9</f>
        <v>5086.6200000000008</v>
      </c>
      <c r="I9" s="9">
        <f>E9+G9+'12-10-20'!I9</f>
        <v>96.870000000000019</v>
      </c>
      <c r="J9" s="9">
        <f t="shared" si="0"/>
        <v>5183.4900000000007</v>
      </c>
      <c r="K9" s="9">
        <f t="shared" si="1"/>
        <v>19146.509999999998</v>
      </c>
      <c r="L9" s="9">
        <f t="shared" si="2"/>
        <v>13934.539285714312</v>
      </c>
      <c r="M9" s="123"/>
    </row>
    <row r="10" spans="1:13" s="92" customFormat="1" ht="11.25" customHeight="1" x14ac:dyDescent="0.25">
      <c r="A10" s="22" t="s">
        <v>36</v>
      </c>
      <c r="B10" s="29">
        <v>55050200</v>
      </c>
      <c r="C10" s="9">
        <v>34000</v>
      </c>
      <c r="D10" s="10">
        <v>1047.1400000000001</v>
      </c>
      <c r="E10" s="10">
        <v>19.89</v>
      </c>
      <c r="F10" s="10">
        <v>0</v>
      </c>
      <c r="G10" s="10">
        <v>0</v>
      </c>
      <c r="H10" s="9">
        <f>D10+F10+'12-10-20'!H10</f>
        <v>12250.650000000001</v>
      </c>
      <c r="I10" s="9">
        <f>E10+G10+'12-10-20'!I10</f>
        <v>232.66999999999996</v>
      </c>
      <c r="J10" s="9">
        <f t="shared" si="0"/>
        <v>12483.320000000002</v>
      </c>
      <c r="K10" s="9">
        <f t="shared" si="1"/>
        <v>21516.68</v>
      </c>
      <c r="L10" s="9">
        <f t="shared" si="2"/>
        <v>8964.7703296703949</v>
      </c>
      <c r="M10" s="123"/>
    </row>
    <row r="11" spans="1:13" s="92" customFormat="1" ht="11.25" hidden="1" customHeight="1" x14ac:dyDescent="0.25">
      <c r="A11" s="22" t="s">
        <v>80</v>
      </c>
      <c r="B11" s="29">
        <v>55050300</v>
      </c>
      <c r="C11" s="97"/>
      <c r="D11" s="9"/>
      <c r="E11" s="9"/>
      <c r="F11" s="9"/>
      <c r="G11" s="9"/>
      <c r="H11" s="9">
        <f>D11+F11+'12-10-20'!H11</f>
        <v>-310</v>
      </c>
      <c r="I11" s="9">
        <f>E11+G11+'12-10-20'!I11</f>
        <v>-5.8900000000000006</v>
      </c>
      <c r="J11" s="9">
        <f t="shared" si="0"/>
        <v>-315.89</v>
      </c>
      <c r="K11" s="9">
        <f t="shared" si="1"/>
        <v>315.89</v>
      </c>
      <c r="L11" s="9">
        <f t="shared" si="2"/>
        <v>633.51565934065752</v>
      </c>
      <c r="M11" s="116"/>
    </row>
    <row r="12" spans="1:13" s="98" customFormat="1" ht="11.25" customHeight="1" x14ac:dyDescent="0.25">
      <c r="A12" s="22" t="s">
        <v>35</v>
      </c>
      <c r="B12" s="29">
        <v>55070100</v>
      </c>
      <c r="C12" s="9">
        <v>42741</v>
      </c>
      <c r="D12" s="10">
        <v>617.71</v>
      </c>
      <c r="E12" s="10">
        <v>11.73</v>
      </c>
      <c r="F12" s="10">
        <v>0</v>
      </c>
      <c r="G12" s="10">
        <v>0</v>
      </c>
      <c r="H12" s="9">
        <f>D12+F12+'12-10-20'!H12</f>
        <v>10130.82</v>
      </c>
      <c r="I12" s="9">
        <f>E12+G12+'12-10-20'!I12</f>
        <v>193.45</v>
      </c>
      <c r="J12" s="9">
        <f t="shared" si="0"/>
        <v>10324.27</v>
      </c>
      <c r="K12" s="9">
        <f t="shared" si="1"/>
        <v>32416.73</v>
      </c>
      <c r="L12" s="9">
        <f t="shared" si="2"/>
        <v>22035.733241758298</v>
      </c>
      <c r="M12" s="124"/>
    </row>
    <row r="13" spans="1:13" s="92" customFormat="1" ht="11.25" customHeight="1" x14ac:dyDescent="0.25">
      <c r="A13" s="22" t="s">
        <v>34</v>
      </c>
      <c r="B13" s="29">
        <v>55080100</v>
      </c>
      <c r="C13" s="9">
        <v>23173</v>
      </c>
      <c r="D13" s="10">
        <v>815.91</v>
      </c>
      <c r="E13" s="10">
        <v>15.5</v>
      </c>
      <c r="F13" s="10">
        <v>0</v>
      </c>
      <c r="G13" s="10">
        <v>0</v>
      </c>
      <c r="H13" s="9">
        <f>D13+F13+'12-10-20'!H13</f>
        <v>9307.27</v>
      </c>
      <c r="I13" s="9">
        <f>E13+G13+'12-10-20'!I13</f>
        <v>176.76999999999998</v>
      </c>
      <c r="J13" s="9">
        <f t="shared" si="0"/>
        <v>9484.0400000000009</v>
      </c>
      <c r="K13" s="9">
        <f t="shared" si="1"/>
        <v>13688.96</v>
      </c>
      <c r="L13" s="9">
        <f t="shared" si="2"/>
        <v>4152.8098901099438</v>
      </c>
      <c r="M13" s="123"/>
    </row>
    <row r="14" spans="1:13" s="99" customFormat="1" ht="11.25" customHeight="1" x14ac:dyDescent="0.25">
      <c r="A14" s="53" t="s">
        <v>33</v>
      </c>
      <c r="B14" s="33">
        <v>55190000</v>
      </c>
      <c r="C14" s="9">
        <v>6000</v>
      </c>
      <c r="D14" s="10">
        <v>71.13</v>
      </c>
      <c r="E14" s="10">
        <v>1.35</v>
      </c>
      <c r="F14" s="10">
        <v>0</v>
      </c>
      <c r="G14" s="10">
        <v>0</v>
      </c>
      <c r="H14" s="9">
        <f>D14+F14+'12-10-20'!H14</f>
        <v>192.09</v>
      </c>
      <c r="I14" s="9">
        <f>E14+G14+'12-10-20'!I14</f>
        <v>3.6100000000000003</v>
      </c>
      <c r="J14" s="9">
        <f t="shared" si="0"/>
        <v>195.70000000000002</v>
      </c>
      <c r="K14" s="9">
        <f t="shared" si="1"/>
        <v>5804.3</v>
      </c>
      <c r="L14" s="9">
        <f t="shared" si="2"/>
        <v>5607.5247252747267</v>
      </c>
      <c r="M14" s="117"/>
    </row>
    <row r="15" spans="1:13" ht="21.6" customHeight="1" thickBot="1" x14ac:dyDescent="0.3">
      <c r="A15" s="155" t="s">
        <v>32</v>
      </c>
      <c r="B15" s="156"/>
      <c r="C15" s="49">
        <f t="shared" ref="C15:L15" si="3">SUM(C3:C14)</f>
        <v>196179</v>
      </c>
      <c r="D15" s="7">
        <f t="shared" si="3"/>
        <v>3712.5200000000004</v>
      </c>
      <c r="E15" s="7">
        <f t="shared" si="3"/>
        <v>70.8</v>
      </c>
      <c r="F15" s="7">
        <f t="shared" si="3"/>
        <v>0</v>
      </c>
      <c r="G15" s="7">
        <f t="shared" si="3"/>
        <v>0</v>
      </c>
      <c r="H15" s="7">
        <f t="shared" si="3"/>
        <v>51283.81</v>
      </c>
      <c r="I15" s="7">
        <f t="shared" si="3"/>
        <v>975.0999999999998</v>
      </c>
      <c r="J15" s="49">
        <f t="shared" si="3"/>
        <v>52258.909999999996</v>
      </c>
      <c r="K15" s="49">
        <f t="shared" si="3"/>
        <v>143920.08999999997</v>
      </c>
      <c r="L15" s="7">
        <f t="shared" si="3"/>
        <v>91374.043131868413</v>
      </c>
    </row>
    <row r="16" spans="1:13" ht="11.25" customHeight="1" x14ac:dyDescent="0.25">
      <c r="A16" s="52"/>
      <c r="B16" s="41"/>
      <c r="C16" s="39"/>
      <c r="D16" s="39"/>
      <c r="E16" s="39"/>
      <c r="F16" s="39"/>
      <c r="G16" s="39"/>
      <c r="H16" s="39"/>
      <c r="I16" s="39"/>
      <c r="J16" s="39"/>
      <c r="K16" s="39"/>
      <c r="L16" s="51"/>
    </row>
    <row r="17" spans="1:13" ht="11.25" customHeight="1" thickBot="1" x14ac:dyDescent="0.3">
      <c r="A17" s="38"/>
      <c r="B17" s="37"/>
      <c r="C17" s="35"/>
      <c r="D17" s="35"/>
      <c r="E17" s="35"/>
      <c r="F17" s="35"/>
      <c r="G17" s="35"/>
      <c r="H17" s="35"/>
      <c r="I17" s="35"/>
      <c r="J17" s="35"/>
      <c r="K17" s="35"/>
      <c r="L17" s="50"/>
    </row>
    <row r="18" spans="1:13" s="92" customFormat="1" ht="11.45" customHeight="1" x14ac:dyDescent="0.25">
      <c r="A18" s="13" t="s">
        <v>31</v>
      </c>
      <c r="B18" s="33">
        <v>55090100</v>
      </c>
      <c r="C18" s="9">
        <v>26923</v>
      </c>
      <c r="D18" s="10">
        <v>0</v>
      </c>
      <c r="E18" s="10">
        <v>0</v>
      </c>
      <c r="F18" s="10">
        <v>960</v>
      </c>
      <c r="G18" s="10">
        <v>49.92</v>
      </c>
      <c r="H18" s="9">
        <f>D18+F18+'12-10-20'!H18</f>
        <v>13695</v>
      </c>
      <c r="I18" s="9">
        <f>E18+G18+'12-10-20'!I18</f>
        <v>712.11999999999989</v>
      </c>
      <c r="J18" s="9">
        <f t="shared" ref="J18:J20" si="4">H18+I18</f>
        <v>14407.119999999999</v>
      </c>
      <c r="K18" s="9">
        <f>C18-J18</f>
        <v>12515.880000000001</v>
      </c>
      <c r="L18" s="9">
        <f t="shared" ref="L18:L20" si="5">C18-((J18/13)*26.0714285714285)</f>
        <v>-1970.3999999999178</v>
      </c>
      <c r="M18" s="115"/>
    </row>
    <row r="19" spans="1:13" s="92" customFormat="1" ht="11.45" customHeight="1" x14ac:dyDescent="0.25">
      <c r="A19" s="22" t="s">
        <v>30</v>
      </c>
      <c r="B19" s="29">
        <v>55160100</v>
      </c>
      <c r="C19" s="9">
        <f>16062-2109</f>
        <v>13953</v>
      </c>
      <c r="D19" s="9">
        <v>0</v>
      </c>
      <c r="E19" s="9">
        <v>0</v>
      </c>
      <c r="F19" s="10">
        <v>0</v>
      </c>
      <c r="G19" s="10">
        <v>0</v>
      </c>
      <c r="H19" s="9">
        <f>D19+F19+'12-10-20'!H19</f>
        <v>0</v>
      </c>
      <c r="I19" s="9">
        <f>E19+G19+'12-10-20'!I19</f>
        <v>0</v>
      </c>
      <c r="J19" s="9">
        <f t="shared" si="4"/>
        <v>0</v>
      </c>
      <c r="K19" s="9">
        <f t="shared" ref="K19:K20" si="6">C19-J19</f>
        <v>13953</v>
      </c>
      <c r="L19" s="9">
        <f t="shared" si="5"/>
        <v>13953</v>
      </c>
      <c r="M19" s="115"/>
    </row>
    <row r="20" spans="1:13" s="92" customFormat="1" ht="11.45" customHeight="1" x14ac:dyDescent="0.25">
      <c r="A20" s="13" t="s">
        <v>29</v>
      </c>
      <c r="B20" s="33">
        <v>55100100</v>
      </c>
      <c r="C20" s="9">
        <v>2026</v>
      </c>
      <c r="D20" s="10">
        <v>68.48</v>
      </c>
      <c r="E20" s="10">
        <v>1.3</v>
      </c>
      <c r="F20" s="10">
        <v>0</v>
      </c>
      <c r="G20" s="10">
        <v>0</v>
      </c>
      <c r="H20" s="9">
        <f>D20+F20+'12-10-20'!H20</f>
        <v>936.46</v>
      </c>
      <c r="I20" s="9">
        <f>E20+G20+'12-10-20'!I20</f>
        <v>16.864999999999998</v>
      </c>
      <c r="J20" s="9">
        <f t="shared" si="4"/>
        <v>953.32500000000005</v>
      </c>
      <c r="K20" s="9">
        <f t="shared" si="6"/>
        <v>1072.675</v>
      </c>
      <c r="L20" s="9">
        <f t="shared" si="5"/>
        <v>114.11195054945574</v>
      </c>
      <c r="M20" s="115"/>
    </row>
    <row r="21" spans="1:13" ht="21.6" customHeight="1" thickBot="1" x14ac:dyDescent="0.3">
      <c r="A21" s="155" t="s">
        <v>28</v>
      </c>
      <c r="B21" s="156"/>
      <c r="C21" s="7">
        <f t="shared" ref="C21:L21" si="7">SUM(C18:C20)</f>
        <v>42902</v>
      </c>
      <c r="D21" s="7">
        <f t="shared" si="7"/>
        <v>68.48</v>
      </c>
      <c r="E21" s="7">
        <f t="shared" si="7"/>
        <v>1.3</v>
      </c>
      <c r="F21" s="7">
        <f t="shared" si="7"/>
        <v>960</v>
      </c>
      <c r="G21" s="7">
        <f t="shared" si="7"/>
        <v>49.92</v>
      </c>
      <c r="H21" s="7">
        <f t="shared" si="7"/>
        <v>14631.46</v>
      </c>
      <c r="I21" s="7">
        <f t="shared" si="7"/>
        <v>728.9849999999999</v>
      </c>
      <c r="J21" s="49">
        <f t="shared" si="7"/>
        <v>15360.445</v>
      </c>
      <c r="K21" s="7">
        <f t="shared" si="7"/>
        <v>27541.555</v>
      </c>
      <c r="L21" s="7">
        <f t="shared" si="7"/>
        <v>12096.711950549538</v>
      </c>
    </row>
    <row r="22" spans="1:13" ht="11.25" customHeight="1" x14ac:dyDescent="0.25">
      <c r="A22" s="42"/>
      <c r="B22" s="41"/>
      <c r="C22" s="39"/>
      <c r="D22" s="39"/>
      <c r="E22" s="39"/>
      <c r="F22" s="39"/>
      <c r="G22" s="39"/>
      <c r="H22" s="39"/>
      <c r="I22" s="39"/>
      <c r="J22" s="39"/>
      <c r="K22" s="39"/>
      <c r="L22" s="51"/>
    </row>
    <row r="23" spans="1:13" ht="11.25" customHeight="1" thickBot="1" x14ac:dyDescent="0.3">
      <c r="A23" s="38"/>
      <c r="B23" s="37"/>
      <c r="C23" s="35"/>
      <c r="D23" s="35"/>
      <c r="E23" s="35"/>
      <c r="F23" s="35"/>
      <c r="G23" s="35"/>
      <c r="H23" s="35"/>
      <c r="I23" s="35"/>
      <c r="J23" s="35"/>
      <c r="K23" s="35"/>
      <c r="L23" s="50"/>
    </row>
    <row r="24" spans="1:13" s="99" customFormat="1" ht="11.45" customHeight="1" x14ac:dyDescent="0.25">
      <c r="A24" s="13" t="s">
        <v>27</v>
      </c>
      <c r="B24" s="33">
        <v>55200000</v>
      </c>
      <c r="C24" s="9">
        <v>25000</v>
      </c>
      <c r="D24" s="10">
        <v>607.5</v>
      </c>
      <c r="E24" s="10">
        <v>11.54</v>
      </c>
      <c r="F24" s="10">
        <v>0</v>
      </c>
      <c r="G24" s="10">
        <v>0</v>
      </c>
      <c r="H24" s="9">
        <f>D24+F24+'12-10-20'!H24</f>
        <v>6221.25</v>
      </c>
      <c r="I24" s="9">
        <f>E24+G24+'12-10-20'!I24</f>
        <v>118.12</v>
      </c>
      <c r="J24" s="9">
        <f t="shared" ref="J24:J26" si="8">H24+I24</f>
        <v>6339.37</v>
      </c>
      <c r="K24" s="9">
        <f>C24-J24</f>
        <v>18660.63</v>
      </c>
      <c r="L24" s="9">
        <f t="shared" ref="L24:L26" si="9">C24-((J24/13)*26.0714285714285)</f>
        <v>12286.428296703332</v>
      </c>
      <c r="M24" s="118"/>
    </row>
    <row r="25" spans="1:13" s="99" customFormat="1" ht="11.45" hidden="1" customHeight="1" x14ac:dyDescent="0.25">
      <c r="A25" s="13" t="s">
        <v>26</v>
      </c>
      <c r="B25" s="100" t="s">
        <v>25</v>
      </c>
      <c r="C25" s="46">
        <v>0</v>
      </c>
      <c r="D25" s="45"/>
      <c r="E25" s="45"/>
      <c r="F25" s="45"/>
      <c r="G25" s="45"/>
      <c r="H25" s="9">
        <f>D25+F25+'12-10-20'!H25</f>
        <v>0</v>
      </c>
      <c r="I25" s="9">
        <f>E25+G25+'12-10-20'!I25</f>
        <v>-9.9999999999997868E-3</v>
      </c>
      <c r="J25" s="9">
        <f t="shared" si="8"/>
        <v>-9.9999999999997868E-3</v>
      </c>
      <c r="K25" s="75">
        <f t="shared" ref="K25:K26" si="10">C25-J25</f>
        <v>9.9999999999997868E-3</v>
      </c>
      <c r="L25" s="9">
        <f t="shared" si="9"/>
        <v>2.0054945054944571E-2</v>
      </c>
      <c r="M25" s="118"/>
    </row>
    <row r="26" spans="1:13" s="99" customFormat="1" ht="10.9" customHeight="1" x14ac:dyDescent="0.25">
      <c r="A26" s="28" t="s">
        <v>24</v>
      </c>
      <c r="B26" s="47" t="s">
        <v>23</v>
      </c>
      <c r="C26" s="46">
        <v>0</v>
      </c>
      <c r="D26" s="45">
        <v>0</v>
      </c>
      <c r="E26" s="45">
        <v>0</v>
      </c>
      <c r="F26" s="45">
        <v>0</v>
      </c>
      <c r="G26" s="45">
        <v>0</v>
      </c>
      <c r="H26" s="9">
        <f>D26+F26+'12-10-20'!H26</f>
        <v>0</v>
      </c>
      <c r="I26" s="9">
        <f>E26+G26+'12-10-20'!I26</f>
        <v>0</v>
      </c>
      <c r="J26" s="9">
        <f t="shared" si="8"/>
        <v>0</v>
      </c>
      <c r="K26" s="9">
        <f t="shared" si="10"/>
        <v>0</v>
      </c>
      <c r="L26" s="9">
        <f t="shared" si="9"/>
        <v>0</v>
      </c>
      <c r="M26" s="117"/>
    </row>
    <row r="27" spans="1:13" ht="24.75" customHeight="1" thickBot="1" x14ac:dyDescent="0.3">
      <c r="A27" s="157" t="s">
        <v>22</v>
      </c>
      <c r="B27" s="158"/>
      <c r="C27" s="43">
        <f>SUM(C24:C25)</f>
        <v>25000</v>
      </c>
      <c r="D27" s="43">
        <f t="shared" ref="D27:L27" si="11">SUM(D24:D26)</f>
        <v>607.5</v>
      </c>
      <c r="E27" s="43">
        <f t="shared" si="11"/>
        <v>11.54</v>
      </c>
      <c r="F27" s="43">
        <f t="shared" si="11"/>
        <v>0</v>
      </c>
      <c r="G27" s="43">
        <f t="shared" si="11"/>
        <v>0</v>
      </c>
      <c r="H27" s="43">
        <f t="shared" si="11"/>
        <v>6221.25</v>
      </c>
      <c r="I27" s="43">
        <f t="shared" si="11"/>
        <v>118.11</v>
      </c>
      <c r="J27" s="43">
        <f t="shared" si="11"/>
        <v>6339.36</v>
      </c>
      <c r="K27" s="43">
        <f t="shared" si="11"/>
        <v>18660.64</v>
      </c>
      <c r="L27" s="34">
        <f t="shared" si="11"/>
        <v>12286.448351648387</v>
      </c>
    </row>
    <row r="28" spans="1:13" ht="11.25" customHeight="1" x14ac:dyDescent="0.25">
      <c r="A28" s="42"/>
      <c r="B28" s="41"/>
      <c r="C28" s="39"/>
      <c r="D28" s="39"/>
      <c r="E28" s="39"/>
      <c r="F28" s="39"/>
      <c r="G28" s="39"/>
      <c r="H28" s="39"/>
      <c r="I28" s="39"/>
      <c r="J28" s="39"/>
      <c r="K28" s="39"/>
      <c r="L28" s="39"/>
    </row>
    <row r="29" spans="1:13" ht="11.25" customHeight="1" thickBot="1" x14ac:dyDescent="0.3">
      <c r="A29" s="38"/>
      <c r="B29" s="37"/>
      <c r="C29" s="35"/>
      <c r="D29" s="35"/>
      <c r="E29" s="35"/>
      <c r="F29" s="35"/>
      <c r="G29" s="35"/>
      <c r="H29" s="35"/>
      <c r="I29" s="35"/>
      <c r="J29" s="35"/>
      <c r="K29" s="35"/>
      <c r="L29" s="35"/>
    </row>
    <row r="30" spans="1:13" ht="21.6" customHeight="1" x14ac:dyDescent="0.25">
      <c r="A30" s="159" t="s">
        <v>21</v>
      </c>
      <c r="B30" s="159"/>
      <c r="C30" s="34">
        <f t="shared" ref="C30:L30" si="12">C15+C21+C27</f>
        <v>264081</v>
      </c>
      <c r="D30" s="34">
        <f t="shared" si="12"/>
        <v>4388.5</v>
      </c>
      <c r="E30" s="34">
        <f t="shared" si="12"/>
        <v>83.639999999999986</v>
      </c>
      <c r="F30" s="34">
        <f t="shared" si="12"/>
        <v>960</v>
      </c>
      <c r="G30" s="34">
        <f t="shared" si="12"/>
        <v>49.92</v>
      </c>
      <c r="H30" s="34">
        <f t="shared" si="12"/>
        <v>72136.51999999999</v>
      </c>
      <c r="I30" s="34">
        <f t="shared" si="12"/>
        <v>1822.1949999999995</v>
      </c>
      <c r="J30" s="34">
        <f t="shared" si="12"/>
        <v>73958.714999999997</v>
      </c>
      <c r="K30" s="34">
        <f t="shared" si="12"/>
        <v>190122.28499999997</v>
      </c>
      <c r="L30" s="34">
        <f t="shared" si="12"/>
        <v>115757.20343406634</v>
      </c>
    </row>
    <row r="31" spans="1:13" ht="10.9" customHeight="1" x14ac:dyDescent="0.25">
      <c r="A31" s="17"/>
      <c r="B31" s="16"/>
      <c r="C31" s="15"/>
      <c r="D31" s="15"/>
      <c r="E31" s="15"/>
      <c r="F31" s="15"/>
      <c r="G31" s="15"/>
      <c r="H31" s="15"/>
      <c r="I31" s="15"/>
      <c r="J31" s="15"/>
      <c r="K31" s="15"/>
      <c r="L31" s="15"/>
    </row>
    <row r="32" spans="1:13" ht="11.25" customHeight="1" x14ac:dyDescent="0.25">
      <c r="A32" s="17"/>
      <c r="B32" s="16"/>
      <c r="C32" s="15"/>
      <c r="D32" s="15"/>
      <c r="E32" s="15"/>
      <c r="F32" s="15"/>
      <c r="G32" s="15"/>
      <c r="H32" s="15"/>
      <c r="I32" s="15"/>
      <c r="J32" s="15"/>
      <c r="K32" s="15"/>
      <c r="L32" s="15"/>
    </row>
    <row r="33" spans="1:13" s="104" customFormat="1" ht="11.25" customHeight="1" x14ac:dyDescent="0.25">
      <c r="A33" s="28" t="s">
        <v>20</v>
      </c>
      <c r="B33" s="27" t="s">
        <v>19</v>
      </c>
      <c r="C33" s="9">
        <v>0</v>
      </c>
      <c r="D33" s="10">
        <v>0</v>
      </c>
      <c r="E33" s="10">
        <v>0</v>
      </c>
      <c r="F33" s="10">
        <v>0</v>
      </c>
      <c r="G33" s="10">
        <v>0</v>
      </c>
      <c r="H33" s="9">
        <f>D33+F33+'12-10-20'!H33</f>
        <v>0</v>
      </c>
      <c r="I33" s="9">
        <f>E33+G33+'12-10-20'!I33</f>
        <v>0</v>
      </c>
      <c r="J33" s="9">
        <f t="shared" ref="J33:J48" si="13">H33+I33</f>
        <v>0</v>
      </c>
      <c r="K33" s="9">
        <f>C33-J33</f>
        <v>0</v>
      </c>
      <c r="L33" s="9">
        <f t="shared" ref="L33:L50" si="14">C33-((J33/13)*26.0714285714285)</f>
        <v>0</v>
      </c>
      <c r="M33" s="119"/>
    </row>
    <row r="34" spans="1:13" s="104" customFormat="1" ht="12" customHeight="1" x14ac:dyDescent="0.25">
      <c r="A34" s="32" t="s">
        <v>123</v>
      </c>
      <c r="B34" s="33" t="s">
        <v>55</v>
      </c>
      <c r="C34" s="9">
        <f>2795.22+12000</f>
        <v>14795.22</v>
      </c>
      <c r="D34" s="10">
        <v>0</v>
      </c>
      <c r="E34" s="10">
        <v>0</v>
      </c>
      <c r="F34" s="130">
        <v>162</v>
      </c>
      <c r="G34" s="130">
        <v>8.42</v>
      </c>
      <c r="H34" s="9">
        <f>D34+F34+'12-10-20'!H34</f>
        <v>2774</v>
      </c>
      <c r="I34" s="9">
        <f>E34+G34+'12-10-20'!I34</f>
        <v>92.48</v>
      </c>
      <c r="J34" s="9">
        <f t="shared" si="13"/>
        <v>2866.48</v>
      </c>
      <c r="K34" s="9">
        <f>C34-J34</f>
        <v>11928.74</v>
      </c>
      <c r="L34" s="9">
        <f t="shared" si="14"/>
        <v>9046.510109890125</v>
      </c>
      <c r="M34" s="125"/>
    </row>
    <row r="35" spans="1:13" s="104" customFormat="1" ht="11.25" hidden="1" customHeight="1" x14ac:dyDescent="0.25">
      <c r="A35" s="32" t="s">
        <v>18</v>
      </c>
      <c r="B35" s="27" t="s">
        <v>17</v>
      </c>
      <c r="C35" s="105">
        <v>0</v>
      </c>
      <c r="D35" s="10"/>
      <c r="E35" s="10"/>
      <c r="F35" s="10"/>
      <c r="G35" s="10"/>
      <c r="H35" s="9">
        <f>D35+F35+'12-10-20'!H35</f>
        <v>0</v>
      </c>
      <c r="I35" s="9">
        <f>E35+G35+'12-10-20'!I35</f>
        <v>-1.0000000000005116E-2</v>
      </c>
      <c r="J35" s="9">
        <f t="shared" si="13"/>
        <v>-1.0000000000005116E-2</v>
      </c>
      <c r="K35" s="9">
        <f t="shared" ref="K35:K48" si="15">C35-J35</f>
        <v>1.0000000000005116E-2</v>
      </c>
      <c r="L35" s="9">
        <f t="shared" si="14"/>
        <v>2.005494505495526E-2</v>
      </c>
      <c r="M35" s="119"/>
    </row>
    <row r="36" spans="1:13" s="106" customFormat="1" ht="11.25" customHeight="1" x14ac:dyDescent="0.25">
      <c r="A36" s="28" t="s">
        <v>16</v>
      </c>
      <c r="B36" s="29" t="s">
        <v>15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f>D36+F36+'12-10-20'!H36</f>
        <v>0</v>
      </c>
      <c r="I36" s="9">
        <f>E36+G36+'12-10-20'!I36</f>
        <v>0</v>
      </c>
      <c r="J36" s="9">
        <f t="shared" si="13"/>
        <v>0</v>
      </c>
      <c r="K36" s="9">
        <f t="shared" si="15"/>
        <v>0</v>
      </c>
      <c r="L36" s="9">
        <f t="shared" si="14"/>
        <v>0</v>
      </c>
      <c r="M36" s="120"/>
    </row>
    <row r="37" spans="1:13" s="106" customFormat="1" ht="11.25" customHeight="1" x14ac:dyDescent="0.25">
      <c r="A37" s="28" t="s">
        <v>97</v>
      </c>
      <c r="B37" s="29" t="s">
        <v>13</v>
      </c>
      <c r="C37" s="9">
        <v>0</v>
      </c>
      <c r="D37" s="130">
        <v>50.13</v>
      </c>
      <c r="E37" s="130">
        <v>0.95</v>
      </c>
      <c r="F37" s="9">
        <v>0</v>
      </c>
      <c r="G37" s="9">
        <v>0</v>
      </c>
      <c r="H37" s="9">
        <f>D37+F37+'12-10-20'!H37</f>
        <v>807.84999999999991</v>
      </c>
      <c r="I37" s="9">
        <f>E37+G37+'12-10-20'!I37</f>
        <v>15.28</v>
      </c>
      <c r="J37" s="9">
        <f t="shared" si="13"/>
        <v>823.12999999999988</v>
      </c>
      <c r="K37" s="107">
        <f t="shared" si="15"/>
        <v>-823.12999999999988</v>
      </c>
      <c r="L37" s="9">
        <f t="shared" si="14"/>
        <v>-1650.7826923076875</v>
      </c>
      <c r="M37" s="116"/>
    </row>
    <row r="38" spans="1:13" s="106" customFormat="1" ht="11.25" customHeight="1" x14ac:dyDescent="0.25">
      <c r="A38" s="28" t="s">
        <v>12</v>
      </c>
      <c r="B38" s="29">
        <v>55110100</v>
      </c>
      <c r="C38" s="9">
        <f>2659+6100</f>
        <v>8759</v>
      </c>
      <c r="D38" s="9">
        <v>255</v>
      </c>
      <c r="E38" s="9">
        <v>4.84</v>
      </c>
      <c r="F38" s="9">
        <v>0</v>
      </c>
      <c r="G38" s="9">
        <v>0</v>
      </c>
      <c r="H38" s="9">
        <f>D38+F38+'12-10-20'!H38</f>
        <v>2250</v>
      </c>
      <c r="I38" s="9">
        <f>E38+G38+'12-10-20'!I38</f>
        <v>42.740000000000009</v>
      </c>
      <c r="J38" s="9">
        <f t="shared" si="13"/>
        <v>2292.7399999999998</v>
      </c>
      <c r="K38" s="9">
        <f t="shared" si="15"/>
        <v>6466.26</v>
      </c>
      <c r="L38" s="9">
        <f t="shared" si="14"/>
        <v>4160.9225274725404</v>
      </c>
      <c r="M38" s="124"/>
    </row>
    <row r="39" spans="1:13" s="106" customFormat="1" ht="11.45" customHeight="1" x14ac:dyDescent="0.25">
      <c r="A39" s="28" t="s">
        <v>11</v>
      </c>
      <c r="B39" s="27" t="s">
        <v>10</v>
      </c>
      <c r="C39" s="9">
        <v>0</v>
      </c>
      <c r="D39" s="10">
        <v>0</v>
      </c>
      <c r="E39" s="10">
        <v>0</v>
      </c>
      <c r="F39" s="10">
        <v>0</v>
      </c>
      <c r="G39" s="10">
        <v>0</v>
      </c>
      <c r="H39" s="9">
        <f>D39+F39+'12-10-20'!H39</f>
        <v>0</v>
      </c>
      <c r="I39" s="9">
        <f>E39+G39+'12-10-20'!I39</f>
        <v>0</v>
      </c>
      <c r="J39" s="9">
        <f t="shared" si="13"/>
        <v>0</v>
      </c>
      <c r="K39" s="9">
        <f t="shared" si="15"/>
        <v>0</v>
      </c>
      <c r="L39" s="9">
        <f t="shared" si="14"/>
        <v>0</v>
      </c>
      <c r="M39" s="126"/>
    </row>
    <row r="40" spans="1:13" s="106" customFormat="1" ht="11.45" customHeight="1" x14ac:dyDescent="0.25">
      <c r="A40" s="25" t="s">
        <v>68</v>
      </c>
      <c r="B40" s="108" t="s">
        <v>69</v>
      </c>
      <c r="C40" s="9">
        <v>1500</v>
      </c>
      <c r="D40" s="9">
        <v>983.91</v>
      </c>
      <c r="E40" s="9">
        <v>18.690000000000001</v>
      </c>
      <c r="F40" s="9">
        <v>0</v>
      </c>
      <c r="G40" s="9">
        <v>0</v>
      </c>
      <c r="H40" s="9">
        <f>D40+F40+'12-10-20'!H40</f>
        <v>2106.2599999999998</v>
      </c>
      <c r="I40" s="9">
        <f>E40+G40+'12-10-20'!I40</f>
        <v>39.807000000000002</v>
      </c>
      <c r="J40" s="9">
        <f t="shared" si="13"/>
        <v>2146.0669999999996</v>
      </c>
      <c r="K40" s="107">
        <f t="shared" si="15"/>
        <v>-646.06699999999955</v>
      </c>
      <c r="L40" s="9">
        <f t="shared" si="14"/>
        <v>-2803.925576923064</v>
      </c>
      <c r="M40" s="126"/>
    </row>
    <row r="41" spans="1:13" s="106" customFormat="1" ht="11.45" customHeight="1" x14ac:dyDescent="0.25">
      <c r="A41" s="25" t="s">
        <v>89</v>
      </c>
      <c r="B41" s="108" t="s">
        <v>88</v>
      </c>
      <c r="C41" s="9">
        <v>1200</v>
      </c>
      <c r="D41" s="9">
        <v>15.84</v>
      </c>
      <c r="E41" s="9">
        <v>0.3</v>
      </c>
      <c r="F41" s="9">
        <v>0</v>
      </c>
      <c r="G41" s="9">
        <v>0</v>
      </c>
      <c r="H41" s="9">
        <f>D41+F41+'12-10-20'!H41</f>
        <v>273.79999999999995</v>
      </c>
      <c r="I41" s="9">
        <f>E41+G41+'12-10-20'!I41</f>
        <v>5.169999999999999</v>
      </c>
      <c r="J41" s="9">
        <f t="shared" si="13"/>
        <v>278.96999999999997</v>
      </c>
      <c r="K41" s="9">
        <f>C41-J41</f>
        <v>921.03</v>
      </c>
      <c r="L41" s="9">
        <f t="shared" si="14"/>
        <v>640.52719780219945</v>
      </c>
      <c r="M41" s="120"/>
    </row>
    <row r="42" spans="1:13" s="98" customFormat="1" ht="11.45" customHeight="1" x14ac:dyDescent="0.25">
      <c r="A42" s="25" t="s">
        <v>61</v>
      </c>
      <c r="B42" s="108" t="s">
        <v>62</v>
      </c>
      <c r="C42" s="9">
        <v>9800</v>
      </c>
      <c r="D42" s="9">
        <v>135</v>
      </c>
      <c r="E42" s="9">
        <v>2.56</v>
      </c>
      <c r="F42" s="9">
        <v>0</v>
      </c>
      <c r="G42" s="9">
        <v>0</v>
      </c>
      <c r="H42" s="9">
        <f>D42+F42+'12-10-20'!H42</f>
        <v>8892</v>
      </c>
      <c r="I42" s="9">
        <f>E42+G42+'12-10-20'!I42</f>
        <v>407.34</v>
      </c>
      <c r="J42" s="9">
        <f>H42+I42</f>
        <v>9299.34</v>
      </c>
      <c r="K42" s="9">
        <f>C42-J42</f>
        <v>500.65999999999985</v>
      </c>
      <c r="L42" s="9">
        <f t="shared" si="14"/>
        <v>-8849.7752747252234</v>
      </c>
      <c r="M42" s="116"/>
    </row>
    <row r="43" spans="1:13" s="98" customFormat="1" ht="11.45" customHeight="1" x14ac:dyDescent="0.25">
      <c r="A43" s="25" t="s">
        <v>59</v>
      </c>
      <c r="B43" s="108" t="s">
        <v>60</v>
      </c>
      <c r="C43" s="9">
        <f>2453.12+2598.45</f>
        <v>5051.57</v>
      </c>
      <c r="D43" s="9">
        <v>563.25</v>
      </c>
      <c r="E43" s="9">
        <v>10.69</v>
      </c>
      <c r="F43" s="9">
        <v>0</v>
      </c>
      <c r="G43" s="9">
        <v>0</v>
      </c>
      <c r="H43" s="9">
        <f>D43+F43+'12-10-20'!H43</f>
        <v>4839.58</v>
      </c>
      <c r="I43" s="9">
        <f>E43+G43+'12-10-20'!I43</f>
        <v>91.88</v>
      </c>
      <c r="J43" s="9">
        <f>H43+I43</f>
        <v>4931.46</v>
      </c>
      <c r="K43" s="9">
        <f>C43-J43</f>
        <v>120.10999999999967</v>
      </c>
      <c r="L43" s="9">
        <f t="shared" si="14"/>
        <v>-4838.4459340659068</v>
      </c>
      <c r="M43" s="116"/>
    </row>
    <row r="44" spans="1:13" s="98" customFormat="1" ht="11.45" customHeight="1" x14ac:dyDescent="0.25">
      <c r="A44" s="25" t="s">
        <v>70</v>
      </c>
      <c r="B44" s="108" t="s">
        <v>71</v>
      </c>
      <c r="C44" s="9">
        <v>5600</v>
      </c>
      <c r="D44" s="9">
        <v>111.6</v>
      </c>
      <c r="E44" s="9">
        <v>2.12</v>
      </c>
      <c r="F44" s="9">
        <v>0</v>
      </c>
      <c r="G44" s="9">
        <v>0</v>
      </c>
      <c r="H44" s="9">
        <f>D44+F44+'12-10-20'!H44</f>
        <v>4041.7000000000003</v>
      </c>
      <c r="I44" s="9">
        <f>E44+G44+'12-10-20'!I44</f>
        <v>76.720000000000013</v>
      </c>
      <c r="J44" s="9">
        <f t="shared" ref="J44" si="16">H44+I44</f>
        <v>4118.42</v>
      </c>
      <c r="K44" s="9">
        <f t="shared" ref="K44" si="17">C44-J44</f>
        <v>1481.58</v>
      </c>
      <c r="L44" s="9">
        <f t="shared" si="14"/>
        <v>-2659.4686813186581</v>
      </c>
      <c r="M44" s="116"/>
    </row>
    <row r="45" spans="1:13" s="98" customFormat="1" ht="11.45" customHeight="1" x14ac:dyDescent="0.25">
      <c r="A45" s="25" t="s">
        <v>7</v>
      </c>
      <c r="B45" s="108" t="s">
        <v>6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f>D45+F45+'12-10-20'!H45</f>
        <v>0</v>
      </c>
      <c r="I45" s="9">
        <f>E45+G45+'12-10-20'!I45</f>
        <v>0</v>
      </c>
      <c r="J45" s="9">
        <f>H45+I45</f>
        <v>0</v>
      </c>
      <c r="K45" s="9">
        <f>C45-J45</f>
        <v>0</v>
      </c>
      <c r="L45" s="9">
        <f t="shared" si="14"/>
        <v>0</v>
      </c>
      <c r="M45" s="116"/>
    </row>
    <row r="46" spans="1:13" s="98" customFormat="1" ht="11.45" customHeight="1" x14ac:dyDescent="0.25">
      <c r="A46" s="25" t="s">
        <v>9</v>
      </c>
      <c r="B46" s="108" t="s">
        <v>8</v>
      </c>
      <c r="C46" s="9">
        <v>0</v>
      </c>
      <c r="D46" s="10">
        <v>0</v>
      </c>
      <c r="E46" s="10">
        <v>0</v>
      </c>
      <c r="F46" s="10">
        <v>0</v>
      </c>
      <c r="G46" s="10">
        <v>0</v>
      </c>
      <c r="H46" s="9">
        <f>D46+F46+'12-10-20'!H46</f>
        <v>0</v>
      </c>
      <c r="I46" s="9">
        <f>E46+G46+'12-10-20'!I46</f>
        <v>0</v>
      </c>
      <c r="J46" s="9">
        <f t="shared" si="13"/>
        <v>0</v>
      </c>
      <c r="K46" s="9">
        <f t="shared" si="15"/>
        <v>0</v>
      </c>
      <c r="L46" s="9">
        <f t="shared" si="14"/>
        <v>0</v>
      </c>
      <c r="M46" s="116"/>
    </row>
    <row r="47" spans="1:13" s="98" customFormat="1" ht="11.45" customHeight="1" x14ac:dyDescent="0.25">
      <c r="A47" s="25" t="s">
        <v>63</v>
      </c>
      <c r="B47" s="108" t="s">
        <v>66</v>
      </c>
      <c r="C47" s="9">
        <v>1784.19</v>
      </c>
      <c r="D47" s="10">
        <v>0</v>
      </c>
      <c r="E47" s="10">
        <v>0</v>
      </c>
      <c r="F47" s="10">
        <v>0</v>
      </c>
      <c r="G47" s="10">
        <v>0</v>
      </c>
      <c r="H47" s="9">
        <f>D47+F47+'12-10-20'!H47</f>
        <v>1504</v>
      </c>
      <c r="I47" s="9">
        <f>E47+G47+'12-10-20'!I47</f>
        <v>78.179999999999993</v>
      </c>
      <c r="J47" s="9">
        <f t="shared" si="13"/>
        <v>1582.18</v>
      </c>
      <c r="K47" s="9">
        <f t="shared" si="15"/>
        <v>202.01</v>
      </c>
      <c r="L47" s="9">
        <f t="shared" si="14"/>
        <v>-1388.8632967032881</v>
      </c>
      <c r="M47" s="116"/>
    </row>
    <row r="48" spans="1:13" s="98" customFormat="1" ht="11.45" hidden="1" customHeight="1" x14ac:dyDescent="0.25">
      <c r="A48" s="25" t="s">
        <v>64</v>
      </c>
      <c r="B48" s="108" t="s">
        <v>65</v>
      </c>
      <c r="C48" s="97"/>
      <c r="D48" s="10"/>
      <c r="E48" s="10"/>
      <c r="F48" s="10"/>
      <c r="G48" s="10"/>
      <c r="H48" s="9">
        <f>D48+F48+'12-10-20'!H48</f>
        <v>0</v>
      </c>
      <c r="I48" s="9">
        <f>E48+G48+'12-10-20'!I48</f>
        <v>0</v>
      </c>
      <c r="J48" s="9">
        <f t="shared" si="13"/>
        <v>0</v>
      </c>
      <c r="K48" s="9">
        <f t="shared" si="15"/>
        <v>0</v>
      </c>
      <c r="L48" s="9">
        <f t="shared" si="14"/>
        <v>0</v>
      </c>
      <c r="M48" s="116"/>
    </row>
    <row r="49" spans="1:13" s="110" customFormat="1" ht="11.25" customHeight="1" x14ac:dyDescent="0.25">
      <c r="A49" s="25" t="s">
        <v>57</v>
      </c>
      <c r="B49" s="108" t="s">
        <v>58</v>
      </c>
      <c r="C49" s="109">
        <v>5369</v>
      </c>
      <c r="D49" s="109">
        <v>47.51</v>
      </c>
      <c r="E49" s="109">
        <v>0.9</v>
      </c>
      <c r="F49" s="109">
        <v>0</v>
      </c>
      <c r="G49" s="109">
        <v>0</v>
      </c>
      <c r="H49" s="9">
        <f>D49+F49+'12-10-20'!H49</f>
        <v>911.37000000000012</v>
      </c>
      <c r="I49" s="9">
        <f>E49+G49+'12-10-20'!I49</f>
        <v>17.25</v>
      </c>
      <c r="J49" s="9">
        <f>H49+I49</f>
        <v>928.62000000000012</v>
      </c>
      <c r="K49" s="9">
        <f>C49-J49</f>
        <v>4440.38</v>
      </c>
      <c r="L49" s="9">
        <f t="shared" si="14"/>
        <v>3506.6576923076973</v>
      </c>
      <c r="M49" s="121"/>
    </row>
    <row r="50" spans="1:13" s="110" customFormat="1" ht="11.25" customHeight="1" x14ac:dyDescent="0.25">
      <c r="A50" s="25" t="s">
        <v>95</v>
      </c>
      <c r="B50" s="108" t="s">
        <v>94</v>
      </c>
      <c r="C50" s="109">
        <v>2000</v>
      </c>
      <c r="D50" s="109">
        <v>300</v>
      </c>
      <c r="E50" s="109">
        <v>5.7</v>
      </c>
      <c r="F50" s="109">
        <v>0</v>
      </c>
      <c r="G50" s="109">
        <v>0</v>
      </c>
      <c r="H50" s="9">
        <f>D50+F50+'12-10-20'!H50</f>
        <v>1311.5</v>
      </c>
      <c r="I50" s="9">
        <f>E50+G50+'12-10-20'!I50</f>
        <v>25.72</v>
      </c>
      <c r="J50" s="9">
        <f>H50+I50</f>
        <v>1337.22</v>
      </c>
      <c r="K50" s="9">
        <f>C50-J50</f>
        <v>662.78</v>
      </c>
      <c r="L50" s="9">
        <f t="shared" si="14"/>
        <v>-681.78736263735527</v>
      </c>
      <c r="M50" s="116"/>
    </row>
    <row r="51" spans="1:13" ht="21.6" customHeight="1" x14ac:dyDescent="0.25">
      <c r="A51" s="153" t="s">
        <v>5</v>
      </c>
      <c r="B51" s="154"/>
      <c r="C51" s="7">
        <f t="shared" ref="C51" si="18">SUM(C33:C49)</f>
        <v>53858.98</v>
      </c>
      <c r="D51" s="7">
        <f t="shared" ref="D51:L51" si="19">SUM(D33:D50)</f>
        <v>2462.2400000000002</v>
      </c>
      <c r="E51" s="7">
        <f t="shared" si="19"/>
        <v>46.75</v>
      </c>
      <c r="F51" s="7">
        <f t="shared" si="19"/>
        <v>162</v>
      </c>
      <c r="G51" s="7">
        <f t="shared" si="19"/>
        <v>8.42</v>
      </c>
      <c r="H51" s="7">
        <f t="shared" si="19"/>
        <v>29712.059999999998</v>
      </c>
      <c r="I51" s="7">
        <f t="shared" si="19"/>
        <v>892.55700000000002</v>
      </c>
      <c r="J51" s="7">
        <f t="shared" si="19"/>
        <v>30604.616999999995</v>
      </c>
      <c r="K51" s="7">
        <f t="shared" si="19"/>
        <v>25254.362999999998</v>
      </c>
      <c r="L51" s="7">
        <f t="shared" si="19"/>
        <v>-5518.411236263566</v>
      </c>
    </row>
    <row r="52" spans="1:13" ht="10.9" customHeight="1" x14ac:dyDescent="0.25">
      <c r="A52" s="17"/>
      <c r="B52" s="16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3" ht="10.9" customHeight="1" x14ac:dyDescent="0.25">
      <c r="A53" s="17"/>
      <c r="B53" s="16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3" s="92" customFormat="1" ht="10.9" customHeight="1" x14ac:dyDescent="0.25">
      <c r="A54" s="22" t="s">
        <v>4</v>
      </c>
      <c r="B54" s="29" t="s">
        <v>3</v>
      </c>
      <c r="C54" s="9">
        <v>62583</v>
      </c>
      <c r="D54" s="10">
        <v>439.08</v>
      </c>
      <c r="E54" s="10">
        <v>8.34</v>
      </c>
      <c r="F54" s="10">
        <v>0</v>
      </c>
      <c r="G54" s="10">
        <v>0</v>
      </c>
      <c r="H54" s="9">
        <f>D54+F54+'12-10-20'!H54</f>
        <v>10234.669999999998</v>
      </c>
      <c r="I54" s="9">
        <f>E54+G54+'12-10-20'!I54</f>
        <v>221.03200000000004</v>
      </c>
      <c r="J54" s="9">
        <f t="shared" ref="J54" si="20">H54+I54</f>
        <v>10455.701999999997</v>
      </c>
      <c r="K54" s="9">
        <f>C54-J54</f>
        <v>52127.298000000003</v>
      </c>
      <c r="L54" s="9">
        <f>C54-((J54/13)*26.0714285714285)</f>
        <v>41614.147087912148</v>
      </c>
      <c r="M54" s="115"/>
    </row>
    <row r="55" spans="1:13" ht="21.6" customHeight="1" x14ac:dyDescent="0.25">
      <c r="A55" s="20" t="s">
        <v>2</v>
      </c>
      <c r="B55" s="19"/>
      <c r="C55" s="18">
        <f t="shared" ref="C55:L55" si="21">C54</f>
        <v>62583</v>
      </c>
      <c r="D55" s="18">
        <f t="shared" si="21"/>
        <v>439.08</v>
      </c>
      <c r="E55" s="18">
        <f t="shared" si="21"/>
        <v>8.34</v>
      </c>
      <c r="F55" s="18">
        <f t="shared" si="21"/>
        <v>0</v>
      </c>
      <c r="G55" s="18">
        <f t="shared" si="21"/>
        <v>0</v>
      </c>
      <c r="H55" s="18">
        <f t="shared" si="21"/>
        <v>10234.669999999998</v>
      </c>
      <c r="I55" s="18">
        <f t="shared" si="21"/>
        <v>221.03200000000004</v>
      </c>
      <c r="J55" s="18">
        <f t="shared" si="21"/>
        <v>10455.701999999997</v>
      </c>
      <c r="K55" s="18">
        <f t="shared" si="21"/>
        <v>52127.298000000003</v>
      </c>
      <c r="L55" s="18">
        <f t="shared" si="21"/>
        <v>41614.147087912148</v>
      </c>
    </row>
    <row r="56" spans="1:13" ht="10.9" customHeight="1" x14ac:dyDescent="0.25">
      <c r="A56" s="17"/>
      <c r="B56" s="16"/>
      <c r="C56" s="15"/>
      <c r="D56" s="15"/>
      <c r="E56" s="15"/>
      <c r="F56" s="15"/>
      <c r="G56" s="15"/>
      <c r="H56" s="15"/>
      <c r="I56" s="15"/>
      <c r="J56" s="15"/>
      <c r="K56" s="15"/>
      <c r="L56" s="15"/>
    </row>
    <row r="57" spans="1:13" ht="10.9" customHeight="1" x14ac:dyDescent="0.25">
      <c r="A57" s="17"/>
      <c r="B57" s="16"/>
      <c r="C57" s="15"/>
      <c r="D57" s="15"/>
      <c r="E57" s="15"/>
      <c r="F57" s="15"/>
      <c r="G57" s="15"/>
      <c r="H57" s="15"/>
      <c r="I57" s="15"/>
      <c r="J57" s="15"/>
      <c r="K57" s="15"/>
      <c r="L57" s="15"/>
    </row>
    <row r="58" spans="1:13" s="92" customFormat="1" ht="10.9" customHeight="1" x14ac:dyDescent="0.25">
      <c r="A58" s="13" t="s">
        <v>1</v>
      </c>
      <c r="B58" s="33">
        <v>55180000</v>
      </c>
      <c r="C58" s="9">
        <v>37736</v>
      </c>
      <c r="D58" s="10">
        <v>0</v>
      </c>
      <c r="E58" s="10">
        <v>0</v>
      </c>
      <c r="F58" s="10">
        <v>438.6</v>
      </c>
      <c r="G58" s="10">
        <v>22.8</v>
      </c>
      <c r="H58" s="9">
        <f>D58+F58+'12-10-20'!H58</f>
        <v>5526.3600000000006</v>
      </c>
      <c r="I58" s="9">
        <f>E58+G58+'12-10-20'!I58</f>
        <v>287.28000000000003</v>
      </c>
      <c r="J58" s="9">
        <f t="shared" ref="J58" si="22">H58+I58</f>
        <v>5813.64</v>
      </c>
      <c r="K58" s="9">
        <f>C58-J58</f>
        <v>31922.36</v>
      </c>
      <c r="L58" s="9">
        <f>C58-((J58/13)*26.0714285714285)</f>
        <v>26076.776923076955</v>
      </c>
      <c r="M58" s="115"/>
    </row>
    <row r="59" spans="1:13" s="3" customFormat="1" ht="21.6" customHeight="1" x14ac:dyDescent="0.25">
      <c r="A59" s="153" t="s">
        <v>0</v>
      </c>
      <c r="B59" s="154"/>
      <c r="C59" s="7">
        <f t="shared" ref="C59:L59" si="23">SUM(C58)</f>
        <v>37736</v>
      </c>
      <c r="D59" s="7">
        <f t="shared" si="23"/>
        <v>0</v>
      </c>
      <c r="E59" s="7">
        <f t="shared" si="23"/>
        <v>0</v>
      </c>
      <c r="F59" s="7">
        <f t="shared" si="23"/>
        <v>438.6</v>
      </c>
      <c r="G59" s="7">
        <f t="shared" si="23"/>
        <v>22.8</v>
      </c>
      <c r="H59" s="7">
        <f t="shared" si="23"/>
        <v>5526.3600000000006</v>
      </c>
      <c r="I59" s="7">
        <f t="shared" si="23"/>
        <v>287.28000000000003</v>
      </c>
      <c r="J59" s="7">
        <f t="shared" si="23"/>
        <v>5813.64</v>
      </c>
      <c r="K59" s="7">
        <f t="shared" si="23"/>
        <v>31922.36</v>
      </c>
      <c r="L59" s="7">
        <f t="shared" si="23"/>
        <v>26076.776923076955</v>
      </c>
      <c r="M59" s="122"/>
    </row>
    <row r="60" spans="1:13" s="3" customFormat="1" ht="11.25" customHeight="1" x14ac:dyDescent="0.25">
      <c r="A60" s="6"/>
      <c r="B60" s="5"/>
      <c r="C60" s="4"/>
      <c r="D60" s="4"/>
      <c r="E60" s="4"/>
      <c r="F60" s="4"/>
      <c r="G60" s="4"/>
      <c r="H60" s="4"/>
      <c r="I60" s="4"/>
      <c r="J60" s="4"/>
      <c r="K60" s="4"/>
      <c r="L60" s="4"/>
      <c r="M60" s="122"/>
    </row>
    <row r="61" spans="1:13" s="2" customFormat="1" ht="10.5" customHeight="1" x14ac:dyDescent="0.25">
      <c r="A61" s="160" t="s">
        <v>72</v>
      </c>
      <c r="B61" s="160"/>
      <c r="C61" s="160"/>
      <c r="D61" s="160"/>
      <c r="E61" s="160"/>
      <c r="F61" s="160"/>
      <c r="G61" s="82">
        <v>12000</v>
      </c>
      <c r="M61" s="111"/>
    </row>
    <row r="62" spans="1:13" s="2" customFormat="1" ht="10.5" customHeight="1" x14ac:dyDescent="0.25">
      <c r="A62" s="160" t="s">
        <v>73</v>
      </c>
      <c r="B62" s="160"/>
      <c r="C62" s="160"/>
      <c r="D62" s="160"/>
      <c r="E62" s="160"/>
      <c r="F62" s="160"/>
      <c r="G62" s="82">
        <v>5600</v>
      </c>
      <c r="M62" s="111"/>
    </row>
    <row r="63" spans="1:13" ht="10.5" customHeight="1" x14ac:dyDescent="0.25">
      <c r="A63" s="160" t="s">
        <v>76</v>
      </c>
      <c r="B63" s="160"/>
      <c r="C63" s="160"/>
      <c r="D63" s="160"/>
      <c r="E63" s="160"/>
      <c r="F63" s="160"/>
      <c r="G63" s="82">
        <v>9800</v>
      </c>
    </row>
    <row r="64" spans="1:13" ht="10.5" customHeight="1" x14ac:dyDescent="0.25">
      <c r="A64" s="160" t="s">
        <v>75</v>
      </c>
      <c r="B64" s="160"/>
      <c r="C64" s="160"/>
      <c r="D64" s="160"/>
      <c r="E64" s="160"/>
      <c r="F64" s="160"/>
      <c r="G64" s="82">
        <v>1500</v>
      </c>
    </row>
    <row r="65" spans="1:13" ht="10.5" customHeight="1" x14ac:dyDescent="0.25">
      <c r="A65" s="160" t="s">
        <v>74</v>
      </c>
      <c r="B65" s="160"/>
      <c r="C65" s="160"/>
      <c r="D65" s="160"/>
      <c r="E65" s="160"/>
      <c r="F65" s="160"/>
      <c r="G65" s="82">
        <v>843.44</v>
      </c>
    </row>
    <row r="66" spans="1:13" ht="10.5" customHeight="1" x14ac:dyDescent="0.25">
      <c r="A66" s="160" t="s">
        <v>77</v>
      </c>
      <c r="B66" s="160"/>
      <c r="C66" s="160"/>
      <c r="D66" s="160"/>
      <c r="E66" s="160"/>
      <c r="F66" s="160"/>
      <c r="G66" s="82">
        <v>1784.19</v>
      </c>
    </row>
    <row r="67" spans="1:13" ht="10.5" customHeight="1" x14ac:dyDescent="0.25">
      <c r="A67" s="160" t="s">
        <v>78</v>
      </c>
      <c r="B67" s="160"/>
      <c r="C67" s="160"/>
      <c r="D67" s="160"/>
      <c r="E67" s="160"/>
      <c r="F67" s="160"/>
      <c r="G67" s="82">
        <v>2453.12</v>
      </c>
    </row>
    <row r="68" spans="1:13" s="2" customFormat="1" ht="10.5" customHeight="1" x14ac:dyDescent="0.25">
      <c r="A68" s="160" t="s">
        <v>84</v>
      </c>
      <c r="B68" s="160"/>
      <c r="C68" s="160"/>
      <c r="D68" s="160"/>
      <c r="E68" s="160"/>
      <c r="F68" s="160"/>
      <c r="G68" s="82">
        <v>2598.4499999999998</v>
      </c>
      <c r="M68" s="112"/>
    </row>
    <row r="69" spans="1:13" s="2" customFormat="1" ht="10.5" customHeight="1" x14ac:dyDescent="0.25">
      <c r="A69" s="160" t="s">
        <v>85</v>
      </c>
      <c r="B69" s="160"/>
      <c r="C69" s="160"/>
      <c r="D69" s="160"/>
      <c r="E69" s="160"/>
      <c r="F69" s="160"/>
      <c r="G69" s="82">
        <v>2659</v>
      </c>
      <c r="M69" s="112"/>
    </row>
    <row r="70" spans="1:13" s="2" customFormat="1" ht="10.5" customHeight="1" x14ac:dyDescent="0.25">
      <c r="A70" s="160" t="s">
        <v>90</v>
      </c>
      <c r="B70" s="160"/>
      <c r="C70" s="160"/>
      <c r="D70" s="160"/>
      <c r="E70" s="160"/>
      <c r="F70" s="160"/>
      <c r="G70" s="82">
        <v>1200</v>
      </c>
      <c r="M70" s="112"/>
    </row>
    <row r="71" spans="1:13" s="2" customFormat="1" ht="10.5" customHeight="1" x14ac:dyDescent="0.25">
      <c r="A71" s="160" t="s">
        <v>93</v>
      </c>
      <c r="B71" s="160"/>
      <c r="C71" s="160"/>
      <c r="D71" s="160"/>
      <c r="E71" s="160"/>
      <c r="F71" s="160"/>
      <c r="G71" s="82">
        <v>2109</v>
      </c>
      <c r="M71" s="111"/>
    </row>
    <row r="72" spans="1:13" s="2" customFormat="1" ht="10.5" customHeight="1" x14ac:dyDescent="0.25">
      <c r="A72" s="160" t="s">
        <v>100</v>
      </c>
      <c r="B72" s="160"/>
      <c r="C72" s="160"/>
      <c r="D72" s="160"/>
      <c r="E72" s="160"/>
      <c r="F72" s="160"/>
      <c r="G72" s="82">
        <v>6100</v>
      </c>
      <c r="M72" s="111"/>
    </row>
    <row r="73" spans="1:13" s="2" customFormat="1" ht="10.5" customHeight="1" x14ac:dyDescent="0.25">
      <c r="A73" s="160" t="s">
        <v>102</v>
      </c>
      <c r="B73" s="160"/>
      <c r="C73" s="160"/>
      <c r="D73" s="160"/>
      <c r="E73" s="160"/>
      <c r="F73" s="160"/>
      <c r="G73" s="82">
        <v>5369</v>
      </c>
      <c r="M73" s="112"/>
    </row>
    <row r="75" spans="1:13" x14ac:dyDescent="0.25">
      <c r="D75" s="111"/>
    </row>
    <row r="76" spans="1:13" x14ac:dyDescent="0.25">
      <c r="D76" s="111"/>
    </row>
    <row r="77" spans="1:13" x14ac:dyDescent="0.25">
      <c r="D77" s="111"/>
      <c r="E77" s="111"/>
      <c r="F77" s="111"/>
      <c r="G77" s="111"/>
    </row>
    <row r="78" spans="1:13" x14ac:dyDescent="0.25">
      <c r="D78" s="111"/>
      <c r="E78" s="111"/>
      <c r="F78" s="111"/>
      <c r="G78" s="111"/>
    </row>
    <row r="79" spans="1:13" x14ac:dyDescent="0.25">
      <c r="D79" s="111"/>
      <c r="E79" s="111"/>
      <c r="F79" s="111"/>
      <c r="G79" s="111"/>
    </row>
    <row r="80" spans="1:13" x14ac:dyDescent="0.25">
      <c r="D80" s="111"/>
      <c r="E80" s="111"/>
      <c r="F80" s="111"/>
      <c r="G80" s="111"/>
    </row>
    <row r="81" spans="4:7" x14ac:dyDescent="0.25">
      <c r="D81" s="111"/>
      <c r="E81" s="111"/>
      <c r="F81" s="111"/>
      <c r="G81" s="111"/>
    </row>
    <row r="82" spans="4:7" x14ac:dyDescent="0.25">
      <c r="D82" s="111"/>
      <c r="E82" s="111"/>
      <c r="F82" s="111"/>
      <c r="G82" s="111"/>
    </row>
    <row r="83" spans="4:7" x14ac:dyDescent="0.25">
      <c r="D83" s="111"/>
      <c r="E83" s="111"/>
      <c r="F83" s="111"/>
      <c r="G83" s="111"/>
    </row>
  </sheetData>
  <mergeCells count="19">
    <mergeCell ref="A15:B15"/>
    <mergeCell ref="A21:B21"/>
    <mergeCell ref="A27:B27"/>
    <mergeCell ref="A30:B30"/>
    <mergeCell ref="A51:B51"/>
    <mergeCell ref="A69:F69"/>
    <mergeCell ref="A70:F70"/>
    <mergeCell ref="A71:F71"/>
    <mergeCell ref="A59:B59"/>
    <mergeCell ref="A73:F73"/>
    <mergeCell ref="A72:F72"/>
    <mergeCell ref="A61:F61"/>
    <mergeCell ref="A62:F62"/>
    <mergeCell ref="A63:F63"/>
    <mergeCell ref="A64:F64"/>
    <mergeCell ref="A65:F65"/>
    <mergeCell ref="A66:F66"/>
    <mergeCell ref="A67:F67"/>
    <mergeCell ref="A68:F68"/>
  </mergeCells>
  <pageMargins left="0.25" right="0" top="0.4" bottom="0" header="0.3" footer="0"/>
  <pageSetup scale="86" fitToWidth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M83"/>
  <sheetViews>
    <sheetView zoomScale="160" zoomScaleNormal="160" workbookViewId="0">
      <pane ySplit="2" topLeftCell="A27" activePane="bottomLeft" state="frozen"/>
      <selection pane="bottomLeft" activeCell="F44" sqref="F44"/>
    </sheetView>
  </sheetViews>
  <sheetFormatPr defaultColWidth="28" defaultRowHeight="15" x14ac:dyDescent="0.25"/>
  <cols>
    <col min="1" max="1" width="34" style="1" bestFit="1" customWidth="1"/>
    <col min="2" max="2" width="19" style="1" bestFit="1" customWidth="1"/>
    <col min="3" max="3" width="11" style="77" customWidth="1"/>
    <col min="4" max="4" width="7.5703125" style="2" bestFit="1" customWidth="1"/>
    <col min="5" max="5" width="6.28515625" style="2" bestFit="1" customWidth="1"/>
    <col min="6" max="6" width="9" style="2" bestFit="1" customWidth="1"/>
    <col min="7" max="7" width="8.7109375" style="2" bestFit="1" customWidth="1"/>
    <col min="8" max="8" width="8.42578125" style="2" bestFit="1" customWidth="1"/>
    <col min="9" max="9" width="9.42578125" style="2" bestFit="1" customWidth="1"/>
    <col min="10" max="10" width="9.7109375" style="2" bestFit="1" customWidth="1"/>
    <col min="11" max="11" width="9.28515625" style="2" bestFit="1" customWidth="1"/>
    <col min="12" max="12" width="13.42578125" style="2" bestFit="1" customWidth="1"/>
    <col min="13" max="13" width="84.5703125" style="112" bestFit="1" customWidth="1"/>
    <col min="14" max="16384" width="28" style="1"/>
  </cols>
  <sheetData>
    <row r="1" spans="1:13" ht="11.25" customHeight="1" x14ac:dyDescent="0.25">
      <c r="A1" s="68"/>
      <c r="B1" s="67"/>
      <c r="C1" s="76"/>
      <c r="D1" s="66"/>
      <c r="E1" s="66"/>
      <c r="F1" s="66"/>
      <c r="G1" s="66"/>
      <c r="H1" s="66"/>
      <c r="I1" s="66"/>
      <c r="J1" s="66"/>
      <c r="K1" s="66"/>
      <c r="L1" s="65" t="s">
        <v>103</v>
      </c>
    </row>
    <row r="2" spans="1:13" s="61" customFormat="1" ht="23.25" x14ac:dyDescent="0.25">
      <c r="A2" s="64" t="s">
        <v>53</v>
      </c>
      <c r="B2" s="64" t="s">
        <v>52</v>
      </c>
      <c r="C2" s="63" t="s">
        <v>51</v>
      </c>
      <c r="D2" s="63" t="s">
        <v>50</v>
      </c>
      <c r="E2" s="63" t="s">
        <v>48</v>
      </c>
      <c r="F2" s="63" t="s">
        <v>49</v>
      </c>
      <c r="G2" s="63" t="s">
        <v>48</v>
      </c>
      <c r="H2" s="62" t="s">
        <v>47</v>
      </c>
      <c r="I2" s="62" t="s">
        <v>46</v>
      </c>
      <c r="J2" s="62" t="s">
        <v>45</v>
      </c>
      <c r="K2" s="62" t="s">
        <v>44</v>
      </c>
      <c r="L2" s="62" t="s">
        <v>43</v>
      </c>
      <c r="M2" s="113"/>
    </row>
    <row r="3" spans="1:13" s="101" customFormat="1" ht="11.25" customHeight="1" x14ac:dyDescent="0.25">
      <c r="A3" s="22" t="s">
        <v>42</v>
      </c>
      <c r="B3" s="29">
        <v>55010300</v>
      </c>
      <c r="C3" s="9">
        <v>0</v>
      </c>
      <c r="D3" s="9">
        <v>0</v>
      </c>
      <c r="E3" s="9">
        <v>0</v>
      </c>
      <c r="F3" s="9">
        <v>0</v>
      </c>
      <c r="G3" s="9">
        <v>0</v>
      </c>
      <c r="H3" s="9">
        <f>D3+F3+'12-24-20'!H3</f>
        <v>0</v>
      </c>
      <c r="I3" s="9">
        <f>E3+G3+'12-24-20'!I3</f>
        <v>0</v>
      </c>
      <c r="J3" s="9">
        <f t="shared" ref="J3:J14" si="0">H3+I3</f>
        <v>0</v>
      </c>
      <c r="K3" s="9">
        <f>C3-J3</f>
        <v>0</v>
      </c>
      <c r="L3" s="9">
        <f>C3-((J3/14)*26.0714285714285)</f>
        <v>0</v>
      </c>
      <c r="M3" s="114"/>
    </row>
    <row r="4" spans="1:13" s="101" customFormat="1" ht="11.25" customHeight="1" x14ac:dyDescent="0.25">
      <c r="A4" s="22" t="s">
        <v>41</v>
      </c>
      <c r="B4" s="29">
        <v>55010500</v>
      </c>
      <c r="C4" s="9">
        <v>3229</v>
      </c>
      <c r="D4" s="10">
        <v>0</v>
      </c>
      <c r="E4" s="10">
        <v>0</v>
      </c>
      <c r="F4" s="10">
        <v>0</v>
      </c>
      <c r="G4" s="10">
        <v>0</v>
      </c>
      <c r="H4" s="9">
        <f>D4+F4+'12-24-20'!H4</f>
        <v>0</v>
      </c>
      <c r="I4" s="9">
        <f>E4+G4+'12-24-20'!I4</f>
        <v>0</v>
      </c>
      <c r="J4" s="9">
        <f t="shared" si="0"/>
        <v>0</v>
      </c>
      <c r="K4" s="9">
        <f t="shared" ref="K4:K14" si="1">C4-J4</f>
        <v>3229</v>
      </c>
      <c r="L4" s="9">
        <f t="shared" ref="L4:L14" si="2">C4-((J4/14)*26.0714285714285)</f>
        <v>3229</v>
      </c>
      <c r="M4" s="114"/>
    </row>
    <row r="5" spans="1:13" s="92" customFormat="1" ht="11.25" customHeight="1" x14ac:dyDescent="0.25">
      <c r="A5" s="58" t="s">
        <v>40</v>
      </c>
      <c r="B5" s="102">
        <v>55020200</v>
      </c>
      <c r="C5" s="103">
        <v>24649</v>
      </c>
      <c r="D5" s="55">
        <v>33.94</v>
      </c>
      <c r="E5" s="55">
        <v>0.64</v>
      </c>
      <c r="F5" s="55">
        <v>400</v>
      </c>
      <c r="G5" s="55">
        <v>20.8</v>
      </c>
      <c r="H5" s="9">
        <f>D5+F5+'12-24-20'!H5</f>
        <v>7861.7300000000005</v>
      </c>
      <c r="I5" s="9">
        <f>E5+G5+'12-24-20'!I5</f>
        <v>162.46999999999997</v>
      </c>
      <c r="J5" s="9">
        <f t="shared" si="0"/>
        <v>8024.2000000000007</v>
      </c>
      <c r="K5" s="9">
        <f t="shared" si="1"/>
        <v>16624.8</v>
      </c>
      <c r="L5" s="9">
        <f t="shared" si="2"/>
        <v>9705.9744897959572</v>
      </c>
      <c r="M5" s="115"/>
    </row>
    <row r="6" spans="1:13" s="92" customFormat="1" ht="11.25" customHeight="1" x14ac:dyDescent="0.25">
      <c r="A6" s="22" t="s">
        <v>39</v>
      </c>
      <c r="B6" s="29">
        <v>55020300</v>
      </c>
      <c r="C6" s="9">
        <v>17974</v>
      </c>
      <c r="D6" s="10">
        <v>9.31</v>
      </c>
      <c r="E6" s="10">
        <v>0.17</v>
      </c>
      <c r="F6" s="10">
        <v>0</v>
      </c>
      <c r="G6" s="10">
        <v>0</v>
      </c>
      <c r="H6" s="9">
        <f>D6+F6+'12-24-20'!H6</f>
        <v>3410.28</v>
      </c>
      <c r="I6" s="9">
        <f>E6+G6+'12-24-20'!I6</f>
        <v>64.72</v>
      </c>
      <c r="J6" s="9">
        <f t="shared" si="0"/>
        <v>3475</v>
      </c>
      <c r="K6" s="9">
        <f t="shared" si="1"/>
        <v>14499</v>
      </c>
      <c r="L6" s="9">
        <f t="shared" si="2"/>
        <v>11502.698979591854</v>
      </c>
      <c r="M6" s="115"/>
    </row>
    <row r="7" spans="1:13" s="92" customFormat="1" ht="11.25" customHeight="1" x14ac:dyDescent="0.25">
      <c r="A7" s="22" t="s">
        <v>38</v>
      </c>
      <c r="B7" s="29">
        <v>55020400</v>
      </c>
      <c r="C7" s="9">
        <v>17974</v>
      </c>
      <c r="D7" s="10">
        <v>0</v>
      </c>
      <c r="E7" s="10">
        <v>0</v>
      </c>
      <c r="F7" s="10">
        <v>0</v>
      </c>
      <c r="G7" s="10">
        <v>0</v>
      </c>
      <c r="H7" s="9">
        <f>D7+F7+'12-24-20'!H7</f>
        <v>2955.6900000000005</v>
      </c>
      <c r="I7" s="9">
        <f>E7+G7+'12-24-20'!I7</f>
        <v>56.099999999999994</v>
      </c>
      <c r="J7" s="9">
        <f t="shared" si="0"/>
        <v>3011.7900000000004</v>
      </c>
      <c r="K7" s="9">
        <f t="shared" si="1"/>
        <v>14962.21</v>
      </c>
      <c r="L7" s="9">
        <f t="shared" si="2"/>
        <v>12365.309438775525</v>
      </c>
      <c r="M7" s="115"/>
    </row>
    <row r="8" spans="1:13" s="92" customFormat="1" ht="11.25" customHeight="1" x14ac:dyDescent="0.25">
      <c r="A8" s="22" t="s">
        <v>92</v>
      </c>
      <c r="B8" s="29">
        <v>55030100</v>
      </c>
      <c r="C8" s="9">
        <v>2109</v>
      </c>
      <c r="D8" s="9">
        <v>0</v>
      </c>
      <c r="E8" s="9">
        <v>0</v>
      </c>
      <c r="F8" s="9">
        <v>0</v>
      </c>
      <c r="G8" s="9">
        <v>0</v>
      </c>
      <c r="H8" s="9">
        <f>D8+F8+'12-24-20'!H8</f>
        <v>841.91000000000008</v>
      </c>
      <c r="I8" s="9">
        <f>E8+G8+'12-24-20'!I8</f>
        <v>15.939999999999998</v>
      </c>
      <c r="J8" s="9">
        <f t="shared" si="0"/>
        <v>857.85000000000014</v>
      </c>
      <c r="K8" s="9">
        <f t="shared" si="1"/>
        <v>1251.1499999999999</v>
      </c>
      <c r="L8" s="9">
        <f t="shared" si="2"/>
        <v>511.47321428571854</v>
      </c>
      <c r="M8" s="115"/>
    </row>
    <row r="9" spans="1:13" s="92" customFormat="1" ht="11.25" customHeight="1" x14ac:dyDescent="0.25">
      <c r="A9" s="54" t="s">
        <v>37</v>
      </c>
      <c r="B9" s="29">
        <v>55030200</v>
      </c>
      <c r="C9" s="9">
        <v>24330</v>
      </c>
      <c r="D9" s="10">
        <v>0</v>
      </c>
      <c r="E9" s="10">
        <v>0</v>
      </c>
      <c r="F9" s="10">
        <v>0</v>
      </c>
      <c r="G9" s="10">
        <v>0</v>
      </c>
      <c r="H9" s="9">
        <f>D9+F9+'12-24-20'!H9</f>
        <v>5086.6200000000008</v>
      </c>
      <c r="I9" s="9">
        <f>E9+G9+'12-24-20'!I9</f>
        <v>96.870000000000019</v>
      </c>
      <c r="J9" s="9">
        <f t="shared" si="0"/>
        <v>5183.4900000000007</v>
      </c>
      <c r="K9" s="9">
        <f t="shared" si="1"/>
        <v>19146.509999999998</v>
      </c>
      <c r="L9" s="9">
        <f t="shared" si="2"/>
        <v>14677.072193877577</v>
      </c>
      <c r="M9" s="123"/>
    </row>
    <row r="10" spans="1:13" s="92" customFormat="1" ht="11.25" customHeight="1" x14ac:dyDescent="0.25">
      <c r="A10" s="22" t="s">
        <v>36</v>
      </c>
      <c r="B10" s="29">
        <v>55050200</v>
      </c>
      <c r="C10" s="9">
        <v>34000</v>
      </c>
      <c r="D10" s="10">
        <v>42.73</v>
      </c>
      <c r="E10" s="10">
        <v>0.8</v>
      </c>
      <c r="F10" s="10">
        <v>587.5</v>
      </c>
      <c r="G10" s="10">
        <v>30.55</v>
      </c>
      <c r="H10" s="9">
        <f>D10+F10+'12-24-20'!H10</f>
        <v>12880.880000000001</v>
      </c>
      <c r="I10" s="9">
        <f>E10+G10+'12-24-20'!I10</f>
        <v>264.02</v>
      </c>
      <c r="J10" s="9">
        <f t="shared" si="0"/>
        <v>13144.900000000001</v>
      </c>
      <c r="K10" s="9">
        <f t="shared" si="1"/>
        <v>20855.099999999999</v>
      </c>
      <c r="L10" s="9">
        <f t="shared" si="2"/>
        <v>9520.9770408163931</v>
      </c>
      <c r="M10" s="123"/>
    </row>
    <row r="11" spans="1:13" s="92" customFormat="1" ht="11.25" hidden="1" customHeight="1" x14ac:dyDescent="0.25">
      <c r="A11" s="22" t="s">
        <v>80</v>
      </c>
      <c r="B11" s="29">
        <v>55050300</v>
      </c>
      <c r="C11" s="97"/>
      <c r="D11" s="9"/>
      <c r="E11" s="9"/>
      <c r="F11" s="9"/>
      <c r="G11" s="9"/>
      <c r="H11" s="9">
        <f>D11+F11+'12-24-20'!H11</f>
        <v>-310</v>
      </c>
      <c r="I11" s="9">
        <f>E11+G11+'12-24-20'!I11</f>
        <v>-5.8900000000000006</v>
      </c>
      <c r="J11" s="9">
        <f t="shared" si="0"/>
        <v>-315.89</v>
      </c>
      <c r="K11" s="9">
        <f t="shared" si="1"/>
        <v>315.89</v>
      </c>
      <c r="L11" s="9">
        <f t="shared" si="2"/>
        <v>588.26454081632494</v>
      </c>
      <c r="M11" s="116"/>
    </row>
    <row r="12" spans="1:13" s="98" customFormat="1" ht="11.25" customHeight="1" x14ac:dyDescent="0.25">
      <c r="A12" s="22" t="s">
        <v>35</v>
      </c>
      <c r="B12" s="29">
        <v>55070100</v>
      </c>
      <c r="C12" s="9">
        <v>42741</v>
      </c>
      <c r="D12" s="10">
        <v>188.3</v>
      </c>
      <c r="E12" s="10">
        <v>3.57</v>
      </c>
      <c r="F12" s="10">
        <v>331.25</v>
      </c>
      <c r="G12" s="10">
        <v>17.22</v>
      </c>
      <c r="H12" s="9">
        <f>D12+F12+'12-24-20'!H12</f>
        <v>10650.369999999999</v>
      </c>
      <c r="I12" s="9">
        <f>E12+G12+'12-24-20'!I12</f>
        <v>214.23999999999998</v>
      </c>
      <c r="J12" s="9">
        <f t="shared" si="0"/>
        <v>10864.609999999999</v>
      </c>
      <c r="K12" s="9">
        <f t="shared" si="1"/>
        <v>31876.39</v>
      </c>
      <c r="L12" s="9">
        <f t="shared" si="2"/>
        <v>22508.435459183733</v>
      </c>
      <c r="M12" s="124"/>
    </row>
    <row r="13" spans="1:13" s="92" customFormat="1" ht="11.25" customHeight="1" x14ac:dyDescent="0.25">
      <c r="A13" s="22" t="s">
        <v>34</v>
      </c>
      <c r="B13" s="29">
        <v>55080100</v>
      </c>
      <c r="C13" s="9">
        <v>23173</v>
      </c>
      <c r="D13" s="10">
        <v>138.19999999999999</v>
      </c>
      <c r="E13" s="10">
        <v>2.62</v>
      </c>
      <c r="F13" s="10">
        <v>0</v>
      </c>
      <c r="G13" s="10">
        <v>0</v>
      </c>
      <c r="H13" s="9">
        <f>D13+F13+'12-24-20'!H13</f>
        <v>9445.4700000000012</v>
      </c>
      <c r="I13" s="9">
        <f>E13+G13+'12-24-20'!I13</f>
        <v>179.39</v>
      </c>
      <c r="J13" s="9">
        <f t="shared" si="0"/>
        <v>9624.86</v>
      </c>
      <c r="K13" s="9">
        <f t="shared" si="1"/>
        <v>13548.14</v>
      </c>
      <c r="L13" s="9">
        <f t="shared" si="2"/>
        <v>5249.1535714286219</v>
      </c>
      <c r="M13" s="123"/>
    </row>
    <row r="14" spans="1:13" s="99" customFormat="1" ht="11.25" customHeight="1" x14ac:dyDescent="0.25">
      <c r="A14" s="53" t="s">
        <v>33</v>
      </c>
      <c r="B14" s="33">
        <v>55190000</v>
      </c>
      <c r="C14" s="9">
        <v>6000</v>
      </c>
      <c r="D14" s="10">
        <v>0</v>
      </c>
      <c r="E14" s="10">
        <v>0</v>
      </c>
      <c r="F14" s="10">
        <v>0</v>
      </c>
      <c r="G14" s="10">
        <v>0</v>
      </c>
      <c r="H14" s="9">
        <f>D14+F14+'12-24-20'!H14</f>
        <v>192.09</v>
      </c>
      <c r="I14" s="9">
        <f>E14+G14+'12-24-20'!I14</f>
        <v>3.6100000000000003</v>
      </c>
      <c r="J14" s="9">
        <f t="shared" si="0"/>
        <v>195.70000000000002</v>
      </c>
      <c r="K14" s="9">
        <f t="shared" si="1"/>
        <v>5804.3</v>
      </c>
      <c r="L14" s="9">
        <f t="shared" si="2"/>
        <v>5635.5586734693889</v>
      </c>
      <c r="M14" s="117"/>
    </row>
    <row r="15" spans="1:13" ht="21.6" customHeight="1" thickBot="1" x14ac:dyDescent="0.3">
      <c r="A15" s="155" t="s">
        <v>32</v>
      </c>
      <c r="B15" s="156"/>
      <c r="C15" s="49">
        <f t="shared" ref="C15:L15" si="3">SUM(C3:C14)</f>
        <v>196179</v>
      </c>
      <c r="D15" s="7">
        <f t="shared" si="3"/>
        <v>412.47999999999996</v>
      </c>
      <c r="E15" s="7">
        <f t="shared" si="3"/>
        <v>7.8</v>
      </c>
      <c r="F15" s="7">
        <f t="shared" si="3"/>
        <v>1318.75</v>
      </c>
      <c r="G15" s="7">
        <f t="shared" si="3"/>
        <v>68.569999999999993</v>
      </c>
      <c r="H15" s="7">
        <f t="shared" si="3"/>
        <v>53015.039999999994</v>
      </c>
      <c r="I15" s="7">
        <f t="shared" si="3"/>
        <v>1051.4699999999998</v>
      </c>
      <c r="J15" s="49">
        <f t="shared" si="3"/>
        <v>54066.51</v>
      </c>
      <c r="K15" s="49">
        <f t="shared" si="3"/>
        <v>142112.49</v>
      </c>
      <c r="L15" s="7">
        <f t="shared" si="3"/>
        <v>95493.917602041081</v>
      </c>
    </row>
    <row r="16" spans="1:13" ht="11.25" customHeight="1" x14ac:dyDescent="0.25">
      <c r="A16" s="52"/>
      <c r="B16" s="41"/>
      <c r="C16" s="39"/>
      <c r="D16" s="39"/>
      <c r="E16" s="39"/>
      <c r="F16" s="39"/>
      <c r="G16" s="39"/>
      <c r="H16" s="39"/>
      <c r="I16" s="39"/>
      <c r="J16" s="39"/>
      <c r="K16" s="39"/>
      <c r="L16" s="51"/>
    </row>
    <row r="17" spans="1:13" ht="11.25" customHeight="1" thickBot="1" x14ac:dyDescent="0.3">
      <c r="A17" s="38"/>
      <c r="B17" s="37"/>
      <c r="C17" s="35"/>
      <c r="D17" s="35"/>
      <c r="E17" s="35"/>
      <c r="F17" s="35"/>
      <c r="G17" s="35"/>
      <c r="H17" s="35"/>
      <c r="I17" s="35"/>
      <c r="J17" s="35"/>
      <c r="K17" s="35"/>
      <c r="L17" s="50"/>
    </row>
    <row r="18" spans="1:13" s="92" customFormat="1" ht="11.45" customHeight="1" x14ac:dyDescent="0.25">
      <c r="A18" s="13" t="s">
        <v>31</v>
      </c>
      <c r="B18" s="33">
        <v>55090100</v>
      </c>
      <c r="C18" s="9">
        <v>26923</v>
      </c>
      <c r="D18" s="10">
        <v>0</v>
      </c>
      <c r="E18" s="10">
        <v>0</v>
      </c>
      <c r="F18" s="10">
        <v>360</v>
      </c>
      <c r="G18" s="10">
        <v>18.72</v>
      </c>
      <c r="H18" s="9">
        <f>D18+F18+'12-24-20'!H18</f>
        <v>14055</v>
      </c>
      <c r="I18" s="9">
        <f>E18+G18+'12-24-20'!I18</f>
        <v>730.83999999999992</v>
      </c>
      <c r="J18" s="9">
        <f t="shared" ref="J18:J20" si="4">H18+I18</f>
        <v>14785.84</v>
      </c>
      <c r="K18" s="9">
        <f>C18-J18</f>
        <v>12137.16</v>
      </c>
      <c r="L18" s="9">
        <f t="shared" ref="L18:L20" si="5">C18-((J18/14)*26.0714285714285)</f>
        <v>-611.85510204073944</v>
      </c>
      <c r="M18" s="115"/>
    </row>
    <row r="19" spans="1:13" s="92" customFormat="1" ht="11.45" customHeight="1" x14ac:dyDescent="0.25">
      <c r="A19" s="22" t="s">
        <v>30</v>
      </c>
      <c r="B19" s="29">
        <v>55160100</v>
      </c>
      <c r="C19" s="9">
        <f>16062-2109</f>
        <v>13953</v>
      </c>
      <c r="D19" s="9">
        <v>0</v>
      </c>
      <c r="E19" s="9">
        <v>0</v>
      </c>
      <c r="F19" s="10">
        <v>0</v>
      </c>
      <c r="G19" s="10">
        <v>0</v>
      </c>
      <c r="H19" s="9">
        <f>D19+F19+'12-24-20'!H19</f>
        <v>0</v>
      </c>
      <c r="I19" s="9">
        <f>E19+G19+'12-24-20'!I19</f>
        <v>0</v>
      </c>
      <c r="J19" s="9">
        <f t="shared" si="4"/>
        <v>0</v>
      </c>
      <c r="K19" s="9">
        <f t="shared" ref="K19:K20" si="6">C19-J19</f>
        <v>13953</v>
      </c>
      <c r="L19" s="9">
        <f t="shared" si="5"/>
        <v>13953</v>
      </c>
      <c r="M19" s="115"/>
    </row>
    <row r="20" spans="1:13" s="92" customFormat="1" ht="11.45" customHeight="1" x14ac:dyDescent="0.25">
      <c r="A20" s="13" t="s">
        <v>29</v>
      </c>
      <c r="B20" s="33">
        <v>55100100</v>
      </c>
      <c r="C20" s="9">
        <v>2026</v>
      </c>
      <c r="D20" s="10">
        <v>0</v>
      </c>
      <c r="E20" s="10">
        <v>0</v>
      </c>
      <c r="F20" s="10">
        <v>0</v>
      </c>
      <c r="G20" s="10">
        <v>0</v>
      </c>
      <c r="H20" s="9">
        <f>D20+F20+'12-24-20'!H20</f>
        <v>936.46</v>
      </c>
      <c r="I20" s="9">
        <f>E20+G20+'12-24-20'!I20</f>
        <v>16.864999999999998</v>
      </c>
      <c r="J20" s="9">
        <f t="shared" si="4"/>
        <v>953.32500000000005</v>
      </c>
      <c r="K20" s="9">
        <f t="shared" si="6"/>
        <v>1072.675</v>
      </c>
      <c r="L20" s="9">
        <f t="shared" si="5"/>
        <v>250.67538265306621</v>
      </c>
      <c r="M20" s="115"/>
    </row>
    <row r="21" spans="1:13" ht="21.6" customHeight="1" thickBot="1" x14ac:dyDescent="0.3">
      <c r="A21" s="155" t="s">
        <v>28</v>
      </c>
      <c r="B21" s="156"/>
      <c r="C21" s="7">
        <f t="shared" ref="C21:L21" si="7">SUM(C18:C20)</f>
        <v>42902</v>
      </c>
      <c r="D21" s="7">
        <f t="shared" si="7"/>
        <v>0</v>
      </c>
      <c r="E21" s="7">
        <f t="shared" si="7"/>
        <v>0</v>
      </c>
      <c r="F21" s="7">
        <f t="shared" si="7"/>
        <v>360</v>
      </c>
      <c r="G21" s="7">
        <f t="shared" si="7"/>
        <v>18.72</v>
      </c>
      <c r="H21" s="7">
        <f t="shared" si="7"/>
        <v>14991.46</v>
      </c>
      <c r="I21" s="7">
        <f t="shared" si="7"/>
        <v>747.70499999999993</v>
      </c>
      <c r="J21" s="49">
        <f t="shared" si="7"/>
        <v>15739.165000000001</v>
      </c>
      <c r="K21" s="7">
        <f t="shared" si="7"/>
        <v>27162.834999999999</v>
      </c>
      <c r="L21" s="7">
        <f t="shared" si="7"/>
        <v>13591.820280612326</v>
      </c>
    </row>
    <row r="22" spans="1:13" ht="11.25" customHeight="1" x14ac:dyDescent="0.25">
      <c r="A22" s="42"/>
      <c r="B22" s="41"/>
      <c r="C22" s="39"/>
      <c r="D22" s="39"/>
      <c r="E22" s="39"/>
      <c r="F22" s="39"/>
      <c r="G22" s="39"/>
      <c r="H22" s="39"/>
      <c r="I22" s="39"/>
      <c r="J22" s="39"/>
      <c r="K22" s="39"/>
      <c r="L22" s="51"/>
    </row>
    <row r="23" spans="1:13" ht="11.25" customHeight="1" thickBot="1" x14ac:dyDescent="0.3">
      <c r="A23" s="38"/>
      <c r="B23" s="37"/>
      <c r="C23" s="35"/>
      <c r="D23" s="35"/>
      <c r="E23" s="35"/>
      <c r="F23" s="35"/>
      <c r="G23" s="35"/>
      <c r="H23" s="35"/>
      <c r="I23" s="35"/>
      <c r="J23" s="35"/>
      <c r="K23" s="35"/>
      <c r="L23" s="50"/>
    </row>
    <row r="24" spans="1:13" s="99" customFormat="1" ht="11.45" customHeight="1" x14ac:dyDescent="0.25">
      <c r="A24" s="13" t="s">
        <v>27</v>
      </c>
      <c r="B24" s="33">
        <v>55200000</v>
      </c>
      <c r="C24" s="9">
        <v>25000</v>
      </c>
      <c r="D24" s="10">
        <v>0</v>
      </c>
      <c r="E24" s="10">
        <v>0</v>
      </c>
      <c r="F24" s="10">
        <v>0</v>
      </c>
      <c r="G24" s="10">
        <v>0</v>
      </c>
      <c r="H24" s="9">
        <f>D24+F24+'12-24-20'!H24</f>
        <v>6221.25</v>
      </c>
      <c r="I24" s="9">
        <f>E24+G24+'12-24-20'!I24</f>
        <v>118.12</v>
      </c>
      <c r="J24" s="9">
        <f t="shared" ref="J24:J26" si="8">H24+I24</f>
        <v>6339.37</v>
      </c>
      <c r="K24" s="9">
        <f>C24-J24</f>
        <v>18660.63</v>
      </c>
      <c r="L24" s="9">
        <f t="shared" ref="L24:L26" si="9">C24-((J24/14)*26.0714285714285)</f>
        <v>13194.540561224523</v>
      </c>
      <c r="M24" s="118"/>
    </row>
    <row r="25" spans="1:13" s="99" customFormat="1" ht="11.45" hidden="1" customHeight="1" x14ac:dyDescent="0.25">
      <c r="A25" s="13" t="s">
        <v>26</v>
      </c>
      <c r="B25" s="100" t="s">
        <v>25</v>
      </c>
      <c r="C25" s="46">
        <v>0</v>
      </c>
      <c r="D25" s="45"/>
      <c r="E25" s="45"/>
      <c r="F25" s="45"/>
      <c r="G25" s="45"/>
      <c r="H25" s="9">
        <f>D25+F25+'12-24-20'!H25</f>
        <v>0</v>
      </c>
      <c r="I25" s="9">
        <f>E25+G25+'12-24-20'!I25</f>
        <v>-9.9999999999997868E-3</v>
      </c>
      <c r="J25" s="9">
        <f t="shared" si="8"/>
        <v>-9.9999999999997868E-3</v>
      </c>
      <c r="K25" s="75">
        <f t="shared" ref="K25:K26" si="10">C25-J25</f>
        <v>9.9999999999997868E-3</v>
      </c>
      <c r="L25" s="9">
        <f t="shared" si="9"/>
        <v>1.862244897959139E-2</v>
      </c>
      <c r="M25" s="118"/>
    </row>
    <row r="26" spans="1:13" s="99" customFormat="1" ht="10.9" customHeight="1" x14ac:dyDescent="0.25">
      <c r="A26" s="28" t="s">
        <v>24</v>
      </c>
      <c r="B26" s="47" t="s">
        <v>23</v>
      </c>
      <c r="C26" s="46">
        <v>0</v>
      </c>
      <c r="D26" s="45">
        <v>0</v>
      </c>
      <c r="E26" s="45">
        <v>0</v>
      </c>
      <c r="F26" s="45">
        <v>0</v>
      </c>
      <c r="G26" s="45">
        <v>0</v>
      </c>
      <c r="H26" s="9">
        <f>D26+F26+'12-24-20'!H26</f>
        <v>0</v>
      </c>
      <c r="I26" s="9">
        <f>E26+G26+'12-24-20'!I26</f>
        <v>0</v>
      </c>
      <c r="J26" s="9">
        <f t="shared" si="8"/>
        <v>0</v>
      </c>
      <c r="K26" s="9">
        <f t="shared" si="10"/>
        <v>0</v>
      </c>
      <c r="L26" s="9">
        <f t="shared" si="9"/>
        <v>0</v>
      </c>
      <c r="M26" s="117"/>
    </row>
    <row r="27" spans="1:13" ht="24.75" customHeight="1" thickBot="1" x14ac:dyDescent="0.3">
      <c r="A27" s="157" t="s">
        <v>22</v>
      </c>
      <c r="B27" s="158"/>
      <c r="C27" s="43">
        <f>SUM(C24:C25)</f>
        <v>25000</v>
      </c>
      <c r="D27" s="43">
        <f t="shared" ref="D27:L27" si="11">SUM(D24:D26)</f>
        <v>0</v>
      </c>
      <c r="E27" s="43">
        <f t="shared" si="11"/>
        <v>0</v>
      </c>
      <c r="F27" s="43">
        <f t="shared" si="11"/>
        <v>0</v>
      </c>
      <c r="G27" s="43">
        <f t="shared" si="11"/>
        <v>0</v>
      </c>
      <c r="H27" s="43">
        <f t="shared" si="11"/>
        <v>6221.25</v>
      </c>
      <c r="I27" s="43">
        <f t="shared" si="11"/>
        <v>118.11</v>
      </c>
      <c r="J27" s="43">
        <f t="shared" si="11"/>
        <v>6339.36</v>
      </c>
      <c r="K27" s="43">
        <f t="shared" si="11"/>
        <v>18660.64</v>
      </c>
      <c r="L27" s="34">
        <f t="shared" si="11"/>
        <v>13194.559183673502</v>
      </c>
    </row>
    <row r="28" spans="1:13" ht="11.25" customHeight="1" x14ac:dyDescent="0.25">
      <c r="A28" s="42"/>
      <c r="B28" s="41"/>
      <c r="C28" s="39"/>
      <c r="D28" s="39"/>
      <c r="E28" s="39"/>
      <c r="F28" s="39"/>
      <c r="G28" s="39"/>
      <c r="H28" s="39"/>
      <c r="I28" s="39"/>
      <c r="J28" s="39"/>
      <c r="K28" s="39"/>
      <c r="L28" s="39"/>
    </row>
    <row r="29" spans="1:13" ht="11.25" customHeight="1" thickBot="1" x14ac:dyDescent="0.3">
      <c r="A29" s="38"/>
      <c r="B29" s="37"/>
      <c r="C29" s="35"/>
      <c r="D29" s="35"/>
      <c r="E29" s="35"/>
      <c r="F29" s="35"/>
      <c r="G29" s="35"/>
      <c r="H29" s="35"/>
      <c r="I29" s="35"/>
      <c r="J29" s="35"/>
      <c r="K29" s="35"/>
      <c r="L29" s="35"/>
    </row>
    <row r="30" spans="1:13" ht="21.6" customHeight="1" x14ac:dyDescent="0.25">
      <c r="A30" s="159" t="s">
        <v>21</v>
      </c>
      <c r="B30" s="159"/>
      <c r="C30" s="34">
        <f t="shared" ref="C30:L30" si="12">C15+C21+C27</f>
        <v>264081</v>
      </c>
      <c r="D30" s="34">
        <f t="shared" si="12"/>
        <v>412.47999999999996</v>
      </c>
      <c r="E30" s="34">
        <f t="shared" si="12"/>
        <v>7.8</v>
      </c>
      <c r="F30" s="34">
        <f t="shared" si="12"/>
        <v>1678.75</v>
      </c>
      <c r="G30" s="34">
        <f t="shared" si="12"/>
        <v>87.289999999999992</v>
      </c>
      <c r="H30" s="34">
        <f t="shared" si="12"/>
        <v>74227.75</v>
      </c>
      <c r="I30" s="34">
        <f t="shared" si="12"/>
        <v>1917.2849999999996</v>
      </c>
      <c r="J30" s="34">
        <f t="shared" si="12"/>
        <v>76145.035000000003</v>
      </c>
      <c r="K30" s="34">
        <f t="shared" si="12"/>
        <v>187935.96499999997</v>
      </c>
      <c r="L30" s="34">
        <f t="shared" si="12"/>
        <v>122280.29706632691</v>
      </c>
    </row>
    <row r="31" spans="1:13" ht="10.9" customHeight="1" x14ac:dyDescent="0.25">
      <c r="A31" s="17"/>
      <c r="B31" s="16"/>
      <c r="C31" s="15"/>
      <c r="D31" s="15"/>
      <c r="E31" s="15"/>
      <c r="F31" s="15"/>
      <c r="G31" s="15"/>
      <c r="H31" s="15"/>
      <c r="I31" s="15"/>
      <c r="J31" s="15"/>
      <c r="K31" s="15"/>
      <c r="L31" s="15"/>
    </row>
    <row r="32" spans="1:13" ht="11.25" customHeight="1" x14ac:dyDescent="0.25">
      <c r="A32" s="17"/>
      <c r="B32" s="16"/>
      <c r="C32" s="15"/>
      <c r="D32" s="15"/>
      <c r="E32" s="15"/>
      <c r="F32" s="15"/>
      <c r="G32" s="15"/>
      <c r="H32" s="15"/>
      <c r="I32" s="15"/>
      <c r="J32" s="15"/>
      <c r="K32" s="15"/>
      <c r="L32" s="15"/>
    </row>
    <row r="33" spans="1:13" s="104" customFormat="1" ht="11.25" customHeight="1" x14ac:dyDescent="0.25">
      <c r="A33" s="28" t="s">
        <v>20</v>
      </c>
      <c r="B33" s="27" t="s">
        <v>19</v>
      </c>
      <c r="C33" s="9">
        <v>0</v>
      </c>
      <c r="D33" s="10">
        <v>0</v>
      </c>
      <c r="E33" s="10">
        <v>0</v>
      </c>
      <c r="F33" s="10">
        <v>0</v>
      </c>
      <c r="G33" s="10">
        <v>0</v>
      </c>
      <c r="H33" s="9">
        <f>D33+F33+'12-24-20'!H33</f>
        <v>0</v>
      </c>
      <c r="I33" s="9">
        <f>E33+G33+'12-24-20'!I33</f>
        <v>0</v>
      </c>
      <c r="J33" s="9">
        <f t="shared" ref="J33:J48" si="13">H33+I33</f>
        <v>0</v>
      </c>
      <c r="K33" s="9">
        <f>C33-J33</f>
        <v>0</v>
      </c>
      <c r="L33" s="9">
        <f t="shared" ref="L33:L50" si="14">C33-((J33/14)*26.0714285714285)</f>
        <v>0</v>
      </c>
      <c r="M33" s="119"/>
    </row>
    <row r="34" spans="1:13" s="104" customFormat="1" ht="12" customHeight="1" x14ac:dyDescent="0.25">
      <c r="A34" s="32" t="s">
        <v>123</v>
      </c>
      <c r="B34" s="33" t="s">
        <v>55</v>
      </c>
      <c r="C34" s="9">
        <f>2795.22+12000</f>
        <v>14795.22</v>
      </c>
      <c r="D34" s="10">
        <v>0</v>
      </c>
      <c r="E34" s="10">
        <v>0</v>
      </c>
      <c r="F34" s="130">
        <v>228</v>
      </c>
      <c r="G34" s="130">
        <v>11.85</v>
      </c>
      <c r="H34" s="9">
        <f>D34+F34+'12-24-20'!H34</f>
        <v>3002</v>
      </c>
      <c r="I34" s="9">
        <f>E34+G34+'12-24-20'!I34</f>
        <v>104.33</v>
      </c>
      <c r="J34" s="9">
        <f t="shared" si="13"/>
        <v>3106.33</v>
      </c>
      <c r="K34" s="9">
        <f>C34-J34</f>
        <v>11688.89</v>
      </c>
      <c r="L34" s="9">
        <f t="shared" si="14"/>
        <v>9010.472806122465</v>
      </c>
      <c r="M34" s="125"/>
    </row>
    <row r="35" spans="1:13" s="104" customFormat="1" ht="11.25" hidden="1" customHeight="1" x14ac:dyDescent="0.25">
      <c r="A35" s="32" t="s">
        <v>18</v>
      </c>
      <c r="B35" s="27" t="s">
        <v>17</v>
      </c>
      <c r="C35" s="105">
        <v>0</v>
      </c>
      <c r="D35" s="10"/>
      <c r="E35" s="10"/>
      <c r="F35" s="10"/>
      <c r="G35" s="10"/>
      <c r="H35" s="9">
        <f>D35+F35+'12-24-20'!H35</f>
        <v>0</v>
      </c>
      <c r="I35" s="9">
        <f>E35+G35+'12-24-20'!I35</f>
        <v>-1.0000000000005116E-2</v>
      </c>
      <c r="J35" s="9">
        <f t="shared" si="13"/>
        <v>-1.0000000000005116E-2</v>
      </c>
      <c r="K35" s="9">
        <f t="shared" ref="K35:K48" si="15">C35-J35</f>
        <v>1.0000000000005116E-2</v>
      </c>
      <c r="L35" s="9">
        <f t="shared" si="14"/>
        <v>1.862244897960131E-2</v>
      </c>
      <c r="M35" s="119"/>
    </row>
    <row r="36" spans="1:13" s="106" customFormat="1" ht="11.25" customHeight="1" x14ac:dyDescent="0.25">
      <c r="A36" s="28" t="s">
        <v>16</v>
      </c>
      <c r="B36" s="29" t="s">
        <v>15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f>D36+F36+'12-24-20'!H36</f>
        <v>0</v>
      </c>
      <c r="I36" s="9">
        <f>E36+G36+'12-24-20'!I36</f>
        <v>0</v>
      </c>
      <c r="J36" s="9">
        <f t="shared" si="13"/>
        <v>0</v>
      </c>
      <c r="K36" s="9">
        <f t="shared" si="15"/>
        <v>0</v>
      </c>
      <c r="L36" s="9">
        <f t="shared" si="14"/>
        <v>0</v>
      </c>
      <c r="M36" s="120"/>
    </row>
    <row r="37" spans="1:13" s="106" customFormat="1" ht="11.25" customHeight="1" x14ac:dyDescent="0.25">
      <c r="A37" s="28" t="s">
        <v>97</v>
      </c>
      <c r="B37" s="29" t="s">
        <v>13</v>
      </c>
      <c r="C37" s="9">
        <v>0</v>
      </c>
      <c r="D37" s="130">
        <v>0</v>
      </c>
      <c r="E37" s="130">
        <v>0</v>
      </c>
      <c r="F37" s="9">
        <v>0</v>
      </c>
      <c r="G37" s="9">
        <v>0</v>
      </c>
      <c r="H37" s="9">
        <f>D37+F37+'12-24-20'!H37</f>
        <v>807.84999999999991</v>
      </c>
      <c r="I37" s="9">
        <f>E37+G37+'12-24-20'!I37</f>
        <v>15.28</v>
      </c>
      <c r="J37" s="9">
        <f t="shared" si="13"/>
        <v>823.12999999999988</v>
      </c>
      <c r="K37" s="107">
        <f t="shared" si="15"/>
        <v>-823.12999999999988</v>
      </c>
      <c r="L37" s="9">
        <f t="shared" si="14"/>
        <v>-1532.8696428571384</v>
      </c>
      <c r="M37" s="116"/>
    </row>
    <row r="38" spans="1:13" s="106" customFormat="1" ht="11.25" customHeight="1" x14ac:dyDescent="0.25">
      <c r="A38" s="28" t="s">
        <v>12</v>
      </c>
      <c r="B38" s="29">
        <v>55110100</v>
      </c>
      <c r="C38" s="9">
        <f>2659+6100</f>
        <v>8759</v>
      </c>
      <c r="D38" s="9">
        <v>0</v>
      </c>
      <c r="E38" s="9">
        <v>0</v>
      </c>
      <c r="F38" s="9">
        <v>0</v>
      </c>
      <c r="G38" s="9">
        <v>0</v>
      </c>
      <c r="H38" s="9">
        <f>D38+F38+'12-24-20'!H38</f>
        <v>2250</v>
      </c>
      <c r="I38" s="9">
        <f>E38+G38+'12-24-20'!I38</f>
        <v>42.740000000000009</v>
      </c>
      <c r="J38" s="9">
        <f t="shared" si="13"/>
        <v>2292.7399999999998</v>
      </c>
      <c r="K38" s="9">
        <f t="shared" si="15"/>
        <v>6466.26</v>
      </c>
      <c r="L38" s="9">
        <f t="shared" si="14"/>
        <v>4489.3566326530736</v>
      </c>
      <c r="M38" s="124"/>
    </row>
    <row r="39" spans="1:13" s="106" customFormat="1" ht="11.45" customHeight="1" x14ac:dyDescent="0.25">
      <c r="A39" s="28" t="s">
        <v>11</v>
      </c>
      <c r="B39" s="27" t="s">
        <v>10</v>
      </c>
      <c r="C39" s="9">
        <v>0</v>
      </c>
      <c r="D39" s="10">
        <v>0</v>
      </c>
      <c r="E39" s="10">
        <v>0</v>
      </c>
      <c r="F39" s="10">
        <v>0</v>
      </c>
      <c r="G39" s="10">
        <v>0</v>
      </c>
      <c r="H39" s="9">
        <f>D39+F39+'12-24-20'!H39</f>
        <v>0</v>
      </c>
      <c r="I39" s="9">
        <f>E39+G39+'12-24-20'!I39</f>
        <v>0</v>
      </c>
      <c r="J39" s="9">
        <f t="shared" si="13"/>
        <v>0</v>
      </c>
      <c r="K39" s="9">
        <f t="shared" si="15"/>
        <v>0</v>
      </c>
      <c r="L39" s="9">
        <f t="shared" si="14"/>
        <v>0</v>
      </c>
      <c r="M39" s="126"/>
    </row>
    <row r="40" spans="1:13" s="106" customFormat="1" ht="11.45" customHeight="1" x14ac:dyDescent="0.25">
      <c r="A40" s="25" t="s">
        <v>68</v>
      </c>
      <c r="B40" s="108" t="s">
        <v>69</v>
      </c>
      <c r="C40" s="9">
        <v>1500</v>
      </c>
      <c r="D40" s="9">
        <v>83.79</v>
      </c>
      <c r="E40" s="9">
        <v>1.59</v>
      </c>
      <c r="F40" s="9">
        <v>0</v>
      </c>
      <c r="G40" s="9">
        <v>0</v>
      </c>
      <c r="H40" s="9">
        <f>D40+F40+'12-24-20'!H40</f>
        <v>2190.0499999999997</v>
      </c>
      <c r="I40" s="9">
        <f>E40+G40+'12-24-20'!I40</f>
        <v>41.397000000000006</v>
      </c>
      <c r="J40" s="9">
        <f t="shared" si="13"/>
        <v>2231.4469999999997</v>
      </c>
      <c r="K40" s="107">
        <f t="shared" si="15"/>
        <v>-731.44699999999966</v>
      </c>
      <c r="L40" s="9">
        <f t="shared" si="14"/>
        <v>-2655.5007908163143</v>
      </c>
      <c r="M40" s="126"/>
    </row>
    <row r="41" spans="1:13" s="106" customFormat="1" ht="11.45" customHeight="1" x14ac:dyDescent="0.25">
      <c r="A41" s="25" t="s">
        <v>89</v>
      </c>
      <c r="B41" s="108" t="s">
        <v>88</v>
      </c>
      <c r="C41" s="9">
        <v>1200</v>
      </c>
      <c r="D41" s="9">
        <v>0</v>
      </c>
      <c r="E41" s="9">
        <v>0</v>
      </c>
      <c r="F41" s="9">
        <v>0</v>
      </c>
      <c r="G41" s="9">
        <v>0</v>
      </c>
      <c r="H41" s="9">
        <f>D41+F41+'12-24-20'!H41</f>
        <v>273.79999999999995</v>
      </c>
      <c r="I41" s="9">
        <f>E41+G41+'12-24-20'!I41</f>
        <v>5.169999999999999</v>
      </c>
      <c r="J41" s="9">
        <f t="shared" si="13"/>
        <v>278.96999999999997</v>
      </c>
      <c r="K41" s="9">
        <f>C41-J41</f>
        <v>921.03</v>
      </c>
      <c r="L41" s="9">
        <f t="shared" si="14"/>
        <v>680.48954081632803</v>
      </c>
      <c r="M41" s="120"/>
    </row>
    <row r="42" spans="1:13" s="98" customFormat="1" ht="11.45" customHeight="1" x14ac:dyDescent="0.25">
      <c r="A42" s="25" t="s">
        <v>61</v>
      </c>
      <c r="B42" s="108" t="s">
        <v>62</v>
      </c>
      <c r="C42" s="9">
        <v>9800</v>
      </c>
      <c r="D42" s="9">
        <v>0</v>
      </c>
      <c r="E42" s="9">
        <v>0</v>
      </c>
      <c r="F42" s="9">
        <v>0</v>
      </c>
      <c r="G42" s="9">
        <v>0</v>
      </c>
      <c r="H42" s="9">
        <f>D42+F42+'12-24-20'!H42</f>
        <v>8892</v>
      </c>
      <c r="I42" s="9">
        <f>E42+G42+'12-24-20'!I42</f>
        <v>407.34</v>
      </c>
      <c r="J42" s="9">
        <f>H42+I42</f>
        <v>9299.34</v>
      </c>
      <c r="K42" s="9">
        <f>C42-J42</f>
        <v>500.65999999999985</v>
      </c>
      <c r="L42" s="9">
        <f t="shared" si="14"/>
        <v>-7517.6484693877064</v>
      </c>
      <c r="M42" s="116"/>
    </row>
    <row r="43" spans="1:13" s="98" customFormat="1" ht="11.45" customHeight="1" x14ac:dyDescent="0.25">
      <c r="A43" s="25" t="s">
        <v>59</v>
      </c>
      <c r="B43" s="108" t="s">
        <v>60</v>
      </c>
      <c r="C43" s="9">
        <f>2453.12+2598.45</f>
        <v>5051.57</v>
      </c>
      <c r="D43" s="9">
        <v>132</v>
      </c>
      <c r="E43" s="9">
        <v>2.5</v>
      </c>
      <c r="F43" s="9">
        <v>0</v>
      </c>
      <c r="G43" s="9">
        <v>0</v>
      </c>
      <c r="H43" s="9">
        <f>D43+F43+'12-24-20'!H43</f>
        <v>4971.58</v>
      </c>
      <c r="I43" s="9">
        <f>E43+G43+'12-24-20'!I43</f>
        <v>94.38</v>
      </c>
      <c r="J43" s="9">
        <f>H43+I43</f>
        <v>5065.96</v>
      </c>
      <c r="K43" s="107">
        <f>C43-J43</f>
        <v>-14.390000000000327</v>
      </c>
      <c r="L43" s="9">
        <f t="shared" si="14"/>
        <v>-4382.4881632652796</v>
      </c>
      <c r="M43" s="116"/>
    </row>
    <row r="44" spans="1:13" s="98" customFormat="1" ht="11.45" customHeight="1" x14ac:dyDescent="0.25">
      <c r="A44" s="25" t="s">
        <v>70</v>
      </c>
      <c r="B44" s="108" t="s">
        <v>71</v>
      </c>
      <c r="C44" s="9">
        <v>5600</v>
      </c>
      <c r="D44" s="9">
        <v>0</v>
      </c>
      <c r="E44" s="9">
        <v>0</v>
      </c>
      <c r="F44" s="9">
        <v>0</v>
      </c>
      <c r="G44" s="9">
        <v>0</v>
      </c>
      <c r="H44" s="9">
        <f>D44+F44+'12-24-20'!H44</f>
        <v>4041.7000000000003</v>
      </c>
      <c r="I44" s="9">
        <f>E44+G44+'12-24-20'!I44</f>
        <v>76.720000000000013</v>
      </c>
      <c r="J44" s="9">
        <f t="shared" ref="J44" si="16">H44+I44</f>
        <v>4118.42</v>
      </c>
      <c r="K44" s="9">
        <f t="shared" ref="K44" si="17">C44-J44</f>
        <v>1481.58</v>
      </c>
      <c r="L44" s="9">
        <f t="shared" si="14"/>
        <v>-2069.5066326530396</v>
      </c>
      <c r="M44" s="116"/>
    </row>
    <row r="45" spans="1:13" s="98" customFormat="1" ht="11.45" customHeight="1" x14ac:dyDescent="0.25">
      <c r="A45" s="25" t="s">
        <v>7</v>
      </c>
      <c r="B45" s="108" t="s">
        <v>6</v>
      </c>
      <c r="C45" s="9">
        <v>0</v>
      </c>
      <c r="D45" s="9">
        <v>67.5</v>
      </c>
      <c r="E45" s="9">
        <v>1.28</v>
      </c>
      <c r="F45" s="9">
        <v>0</v>
      </c>
      <c r="G45" s="9">
        <v>0</v>
      </c>
      <c r="H45" s="9">
        <f>D45+F45+'12-24-20'!H45</f>
        <v>67.5</v>
      </c>
      <c r="I45" s="9">
        <f>E45+G45+'12-24-20'!I45</f>
        <v>1.28</v>
      </c>
      <c r="J45" s="9">
        <f>H45+I45</f>
        <v>68.78</v>
      </c>
      <c r="K45" s="107">
        <f>C45-J45</f>
        <v>-68.78</v>
      </c>
      <c r="L45" s="9">
        <f t="shared" si="14"/>
        <v>-128.0852040816323</v>
      </c>
      <c r="M45" s="116"/>
    </row>
    <row r="46" spans="1:13" s="98" customFormat="1" ht="11.45" customHeight="1" x14ac:dyDescent="0.25">
      <c r="A46" s="25" t="s">
        <v>9</v>
      </c>
      <c r="B46" s="108" t="s">
        <v>8</v>
      </c>
      <c r="C46" s="9">
        <v>0</v>
      </c>
      <c r="D46" s="10">
        <v>0</v>
      </c>
      <c r="E46" s="10">
        <v>0</v>
      </c>
      <c r="F46" s="10">
        <v>0</v>
      </c>
      <c r="G46" s="10">
        <v>0</v>
      </c>
      <c r="H46" s="9">
        <f>D46+F46+'12-24-20'!H46</f>
        <v>0</v>
      </c>
      <c r="I46" s="9">
        <f>E46+G46+'12-24-20'!I46</f>
        <v>0</v>
      </c>
      <c r="J46" s="9">
        <f t="shared" si="13"/>
        <v>0</v>
      </c>
      <c r="K46" s="9">
        <f t="shared" si="15"/>
        <v>0</v>
      </c>
      <c r="L46" s="9">
        <f t="shared" si="14"/>
        <v>0</v>
      </c>
      <c r="M46" s="116"/>
    </row>
    <row r="47" spans="1:13" s="98" customFormat="1" ht="11.45" customHeight="1" x14ac:dyDescent="0.25">
      <c r="A47" s="25" t="s">
        <v>63</v>
      </c>
      <c r="B47" s="108" t="s">
        <v>66</v>
      </c>
      <c r="C47" s="9">
        <v>1784.19</v>
      </c>
      <c r="D47" s="10">
        <v>0</v>
      </c>
      <c r="E47" s="10">
        <v>0</v>
      </c>
      <c r="F47" s="10">
        <v>0</v>
      </c>
      <c r="G47" s="10">
        <v>0</v>
      </c>
      <c r="H47" s="9">
        <f>D47+F47+'12-24-20'!H47</f>
        <v>1504</v>
      </c>
      <c r="I47" s="9">
        <f>E47+G47+'12-24-20'!I47</f>
        <v>78.179999999999993</v>
      </c>
      <c r="J47" s="9">
        <f t="shared" si="13"/>
        <v>1582.18</v>
      </c>
      <c r="K47" s="9">
        <f t="shared" si="15"/>
        <v>202.01</v>
      </c>
      <c r="L47" s="9">
        <f t="shared" si="14"/>
        <v>-1162.2166326530528</v>
      </c>
      <c r="M47" s="116"/>
    </row>
    <row r="48" spans="1:13" s="98" customFormat="1" ht="11.45" hidden="1" customHeight="1" x14ac:dyDescent="0.25">
      <c r="A48" s="25" t="s">
        <v>64</v>
      </c>
      <c r="B48" s="108" t="s">
        <v>65</v>
      </c>
      <c r="C48" s="97"/>
      <c r="D48" s="10"/>
      <c r="E48" s="10"/>
      <c r="F48" s="10"/>
      <c r="G48" s="10"/>
      <c r="H48" s="9">
        <f>D48+F48+'12-24-20'!H48</f>
        <v>0</v>
      </c>
      <c r="I48" s="9">
        <f>E48+G48+'12-24-20'!I48</f>
        <v>0</v>
      </c>
      <c r="J48" s="9">
        <f t="shared" si="13"/>
        <v>0</v>
      </c>
      <c r="K48" s="9">
        <f t="shared" si="15"/>
        <v>0</v>
      </c>
      <c r="L48" s="9">
        <f t="shared" si="14"/>
        <v>0</v>
      </c>
      <c r="M48" s="116"/>
    </row>
    <row r="49" spans="1:13" s="110" customFormat="1" ht="11.25" customHeight="1" x14ac:dyDescent="0.25">
      <c r="A49" s="25" t="s">
        <v>57</v>
      </c>
      <c r="B49" s="108" t="s">
        <v>58</v>
      </c>
      <c r="C49" s="109">
        <v>5369</v>
      </c>
      <c r="D49" s="109">
        <v>0</v>
      </c>
      <c r="E49" s="109">
        <v>0</v>
      </c>
      <c r="F49" s="109">
        <v>0</v>
      </c>
      <c r="G49" s="109">
        <v>0</v>
      </c>
      <c r="H49" s="9">
        <f>D49+F49+'12-24-20'!H49</f>
        <v>911.37000000000012</v>
      </c>
      <c r="I49" s="9">
        <f>E49+G49+'12-24-20'!I49</f>
        <v>17.25</v>
      </c>
      <c r="J49" s="9">
        <f>H49+I49</f>
        <v>928.62000000000012</v>
      </c>
      <c r="K49" s="9">
        <f>C49-J49</f>
        <v>4440.38</v>
      </c>
      <c r="L49" s="9">
        <f t="shared" si="14"/>
        <v>3639.6821428571475</v>
      </c>
      <c r="M49" s="121"/>
    </row>
    <row r="50" spans="1:13" s="110" customFormat="1" ht="11.25" customHeight="1" x14ac:dyDescent="0.25">
      <c r="A50" s="25" t="s">
        <v>95</v>
      </c>
      <c r="B50" s="108" t="s">
        <v>94</v>
      </c>
      <c r="C50" s="109">
        <v>2000</v>
      </c>
      <c r="D50" s="109">
        <v>0</v>
      </c>
      <c r="E50" s="109">
        <v>0</v>
      </c>
      <c r="F50" s="109">
        <v>0</v>
      </c>
      <c r="G50" s="109">
        <v>0</v>
      </c>
      <c r="H50" s="9">
        <f>D50+F50+'12-24-20'!H50</f>
        <v>1311.5</v>
      </c>
      <c r="I50" s="9">
        <f>E50+G50+'12-24-20'!I50</f>
        <v>25.72</v>
      </c>
      <c r="J50" s="9">
        <f>H50+I50</f>
        <v>1337.22</v>
      </c>
      <c r="K50" s="9">
        <f>C50-J50</f>
        <v>662.78</v>
      </c>
      <c r="L50" s="9">
        <f t="shared" si="14"/>
        <v>-490.23112244897266</v>
      </c>
      <c r="M50" s="116"/>
    </row>
    <row r="51" spans="1:13" ht="21.6" customHeight="1" x14ac:dyDescent="0.25">
      <c r="A51" s="153" t="s">
        <v>5</v>
      </c>
      <c r="B51" s="154"/>
      <c r="C51" s="7">
        <f t="shared" ref="C51" si="18">SUM(C33:C49)</f>
        <v>53858.98</v>
      </c>
      <c r="D51" s="7">
        <f t="shared" ref="D51:L51" si="19">SUM(D33:D50)</f>
        <v>283.29000000000002</v>
      </c>
      <c r="E51" s="7">
        <f t="shared" si="19"/>
        <v>5.37</v>
      </c>
      <c r="F51" s="7">
        <f t="shared" si="19"/>
        <v>228</v>
      </c>
      <c r="G51" s="7">
        <f t="shared" si="19"/>
        <v>11.85</v>
      </c>
      <c r="H51" s="7">
        <f t="shared" si="19"/>
        <v>30223.35</v>
      </c>
      <c r="I51" s="7">
        <f t="shared" si="19"/>
        <v>909.77699999999993</v>
      </c>
      <c r="J51" s="7">
        <f t="shared" si="19"/>
        <v>31133.126999999997</v>
      </c>
      <c r="K51" s="7">
        <f t="shared" si="19"/>
        <v>24725.852999999996</v>
      </c>
      <c r="L51" s="7">
        <f t="shared" si="19"/>
        <v>-2118.5269132651406</v>
      </c>
    </row>
    <row r="52" spans="1:13" ht="10.9" customHeight="1" x14ac:dyDescent="0.25">
      <c r="A52" s="17"/>
      <c r="B52" s="16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3" ht="10.9" customHeight="1" x14ac:dyDescent="0.25">
      <c r="A53" s="17"/>
      <c r="B53" s="16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3" s="92" customFormat="1" ht="10.9" customHeight="1" x14ac:dyDescent="0.25">
      <c r="A54" s="22" t="s">
        <v>4</v>
      </c>
      <c r="B54" s="29" t="s">
        <v>3</v>
      </c>
      <c r="C54" s="9">
        <v>62583</v>
      </c>
      <c r="D54" s="10">
        <v>79.67</v>
      </c>
      <c r="E54" s="10">
        <v>1.51</v>
      </c>
      <c r="F54" s="10">
        <v>0</v>
      </c>
      <c r="G54" s="10">
        <v>0</v>
      </c>
      <c r="H54" s="9">
        <f>D54+F54+'12-24-20'!H54</f>
        <v>10314.339999999998</v>
      </c>
      <c r="I54" s="9">
        <f>E54+G54+'12-24-20'!I54</f>
        <v>222.54200000000003</v>
      </c>
      <c r="J54" s="9">
        <f t="shared" ref="J54" si="20">H54+I54</f>
        <v>10536.881999999998</v>
      </c>
      <c r="K54" s="9">
        <f>C54-J54</f>
        <v>52046.118000000002</v>
      </c>
      <c r="L54" s="9">
        <f>C54-((J54/14)*26.0714285714285)</f>
        <v>42960.745255102098</v>
      </c>
      <c r="M54" s="115"/>
    </row>
    <row r="55" spans="1:13" ht="21.6" customHeight="1" x14ac:dyDescent="0.25">
      <c r="A55" s="20" t="s">
        <v>2</v>
      </c>
      <c r="B55" s="19"/>
      <c r="C55" s="18">
        <f t="shared" ref="C55:L55" si="21">C54</f>
        <v>62583</v>
      </c>
      <c r="D55" s="18">
        <f t="shared" si="21"/>
        <v>79.67</v>
      </c>
      <c r="E55" s="18">
        <f t="shared" si="21"/>
        <v>1.51</v>
      </c>
      <c r="F55" s="18">
        <f t="shared" si="21"/>
        <v>0</v>
      </c>
      <c r="G55" s="18">
        <f t="shared" si="21"/>
        <v>0</v>
      </c>
      <c r="H55" s="18">
        <f t="shared" si="21"/>
        <v>10314.339999999998</v>
      </c>
      <c r="I55" s="18">
        <f t="shared" si="21"/>
        <v>222.54200000000003</v>
      </c>
      <c r="J55" s="18">
        <f t="shared" si="21"/>
        <v>10536.881999999998</v>
      </c>
      <c r="K55" s="18">
        <f t="shared" si="21"/>
        <v>52046.118000000002</v>
      </c>
      <c r="L55" s="18">
        <f t="shared" si="21"/>
        <v>42960.745255102098</v>
      </c>
    </row>
    <row r="56" spans="1:13" ht="10.9" customHeight="1" x14ac:dyDescent="0.25">
      <c r="A56" s="17"/>
      <c r="B56" s="16"/>
      <c r="C56" s="15"/>
      <c r="D56" s="15"/>
      <c r="E56" s="15"/>
      <c r="F56" s="15"/>
      <c r="G56" s="15"/>
      <c r="H56" s="15"/>
      <c r="I56" s="15"/>
      <c r="J56" s="15"/>
      <c r="K56" s="15"/>
      <c r="L56" s="15"/>
    </row>
    <row r="57" spans="1:13" ht="10.9" customHeight="1" x14ac:dyDescent="0.25">
      <c r="A57" s="17"/>
      <c r="B57" s="16"/>
      <c r="C57" s="15"/>
      <c r="D57" s="15"/>
      <c r="E57" s="15"/>
      <c r="F57" s="15"/>
      <c r="G57" s="15"/>
      <c r="H57" s="15"/>
      <c r="I57" s="15"/>
      <c r="J57" s="15"/>
      <c r="K57" s="15"/>
      <c r="L57" s="15"/>
    </row>
    <row r="58" spans="1:13" s="92" customFormat="1" ht="10.9" customHeight="1" x14ac:dyDescent="0.25">
      <c r="A58" s="13" t="s">
        <v>1</v>
      </c>
      <c r="B58" s="33">
        <v>55180000</v>
      </c>
      <c r="C58" s="9">
        <v>37736</v>
      </c>
      <c r="D58" s="10">
        <v>0</v>
      </c>
      <c r="E58" s="10">
        <v>0</v>
      </c>
      <c r="F58" s="10">
        <v>219.3</v>
      </c>
      <c r="G58" s="10">
        <v>11.4</v>
      </c>
      <c r="H58" s="9">
        <f>D58+F58+'12-24-20'!H58</f>
        <v>5745.6600000000008</v>
      </c>
      <c r="I58" s="9">
        <f>E58+G58+'12-24-20'!I58</f>
        <v>298.68</v>
      </c>
      <c r="J58" s="9">
        <f t="shared" ref="J58" si="22">H58+I58</f>
        <v>6044.3400000000011</v>
      </c>
      <c r="K58" s="9">
        <f>C58-J58</f>
        <v>31691.66</v>
      </c>
      <c r="L58" s="9">
        <f>C58-((J58/14)*26.0714285714285)</f>
        <v>26479.958673469417</v>
      </c>
      <c r="M58" s="115"/>
    </row>
    <row r="59" spans="1:13" s="3" customFormat="1" ht="21.6" customHeight="1" x14ac:dyDescent="0.25">
      <c r="A59" s="153" t="s">
        <v>0</v>
      </c>
      <c r="B59" s="154"/>
      <c r="C59" s="7">
        <f t="shared" ref="C59:L59" si="23">SUM(C58)</f>
        <v>37736</v>
      </c>
      <c r="D59" s="7">
        <f t="shared" si="23"/>
        <v>0</v>
      </c>
      <c r="E59" s="7">
        <f t="shared" si="23"/>
        <v>0</v>
      </c>
      <c r="F59" s="7">
        <f t="shared" si="23"/>
        <v>219.3</v>
      </c>
      <c r="G59" s="7">
        <f t="shared" si="23"/>
        <v>11.4</v>
      </c>
      <c r="H59" s="7">
        <f t="shared" si="23"/>
        <v>5745.6600000000008</v>
      </c>
      <c r="I59" s="7">
        <f t="shared" si="23"/>
        <v>298.68</v>
      </c>
      <c r="J59" s="7">
        <f t="shared" si="23"/>
        <v>6044.3400000000011</v>
      </c>
      <c r="K59" s="7">
        <f t="shared" si="23"/>
        <v>31691.66</v>
      </c>
      <c r="L59" s="7">
        <f t="shared" si="23"/>
        <v>26479.958673469417</v>
      </c>
      <c r="M59" s="122"/>
    </row>
    <row r="60" spans="1:13" s="3" customFormat="1" ht="11.25" customHeight="1" x14ac:dyDescent="0.25">
      <c r="A60" s="6"/>
      <c r="B60" s="5"/>
      <c r="C60" s="4"/>
      <c r="D60" s="4"/>
      <c r="E60" s="4"/>
      <c r="F60" s="4"/>
      <c r="G60" s="4"/>
      <c r="H60" s="4"/>
      <c r="I60" s="4"/>
      <c r="J60" s="4"/>
      <c r="K60" s="4"/>
      <c r="L60" s="4"/>
      <c r="M60" s="122"/>
    </row>
    <row r="61" spans="1:13" s="2" customFormat="1" ht="10.5" customHeight="1" x14ac:dyDescent="0.25">
      <c r="A61" s="160" t="s">
        <v>72</v>
      </c>
      <c r="B61" s="160"/>
      <c r="C61" s="160"/>
      <c r="D61" s="160"/>
      <c r="E61" s="160"/>
      <c r="F61" s="160"/>
      <c r="G61" s="82">
        <v>12000</v>
      </c>
      <c r="M61" s="111"/>
    </row>
    <row r="62" spans="1:13" s="2" customFormat="1" ht="10.5" customHeight="1" x14ac:dyDescent="0.25">
      <c r="A62" s="160" t="s">
        <v>73</v>
      </c>
      <c r="B62" s="160"/>
      <c r="C62" s="160"/>
      <c r="D62" s="160"/>
      <c r="E62" s="160"/>
      <c r="F62" s="160"/>
      <c r="G62" s="82">
        <v>5600</v>
      </c>
      <c r="M62" s="111"/>
    </row>
    <row r="63" spans="1:13" ht="10.5" customHeight="1" x14ac:dyDescent="0.25">
      <c r="A63" s="160" t="s">
        <v>76</v>
      </c>
      <c r="B63" s="160"/>
      <c r="C63" s="160"/>
      <c r="D63" s="160"/>
      <c r="E63" s="160"/>
      <c r="F63" s="160"/>
      <c r="G63" s="82">
        <v>9800</v>
      </c>
    </row>
    <row r="64" spans="1:13" ht="10.5" customHeight="1" x14ac:dyDescent="0.25">
      <c r="A64" s="160" t="s">
        <v>75</v>
      </c>
      <c r="B64" s="160"/>
      <c r="C64" s="160"/>
      <c r="D64" s="160"/>
      <c r="E64" s="160"/>
      <c r="F64" s="160"/>
      <c r="G64" s="82">
        <v>1500</v>
      </c>
    </row>
    <row r="65" spans="1:13" ht="10.5" customHeight="1" x14ac:dyDescent="0.25">
      <c r="A65" s="160" t="s">
        <v>74</v>
      </c>
      <c r="B65" s="160"/>
      <c r="C65" s="160"/>
      <c r="D65" s="160"/>
      <c r="E65" s="160"/>
      <c r="F65" s="160"/>
      <c r="G65" s="82">
        <v>843.44</v>
      </c>
    </row>
    <row r="66" spans="1:13" ht="10.5" customHeight="1" x14ac:dyDescent="0.25">
      <c r="A66" s="160" t="s">
        <v>77</v>
      </c>
      <c r="B66" s="160"/>
      <c r="C66" s="160"/>
      <c r="D66" s="160"/>
      <c r="E66" s="160"/>
      <c r="F66" s="160"/>
      <c r="G66" s="82">
        <v>1784.19</v>
      </c>
    </row>
    <row r="67" spans="1:13" ht="10.5" customHeight="1" x14ac:dyDescent="0.25">
      <c r="A67" s="160" t="s">
        <v>78</v>
      </c>
      <c r="B67" s="160"/>
      <c r="C67" s="160"/>
      <c r="D67" s="160"/>
      <c r="E67" s="160"/>
      <c r="F67" s="160"/>
      <c r="G67" s="82">
        <v>2453.12</v>
      </c>
    </row>
    <row r="68" spans="1:13" s="2" customFormat="1" ht="10.5" customHeight="1" x14ac:dyDescent="0.25">
      <c r="A68" s="160" t="s">
        <v>84</v>
      </c>
      <c r="B68" s="160"/>
      <c r="C68" s="160"/>
      <c r="D68" s="160"/>
      <c r="E68" s="160"/>
      <c r="F68" s="160"/>
      <c r="G68" s="82">
        <v>2598.4499999999998</v>
      </c>
      <c r="M68" s="112"/>
    </row>
    <row r="69" spans="1:13" s="2" customFormat="1" ht="10.5" customHeight="1" x14ac:dyDescent="0.25">
      <c r="A69" s="160" t="s">
        <v>85</v>
      </c>
      <c r="B69" s="160"/>
      <c r="C69" s="160"/>
      <c r="D69" s="160"/>
      <c r="E69" s="160"/>
      <c r="F69" s="160"/>
      <c r="G69" s="82">
        <v>2659</v>
      </c>
      <c r="M69" s="112"/>
    </row>
    <row r="70" spans="1:13" s="2" customFormat="1" ht="10.5" customHeight="1" x14ac:dyDescent="0.25">
      <c r="A70" s="160" t="s">
        <v>90</v>
      </c>
      <c r="B70" s="160"/>
      <c r="C70" s="160"/>
      <c r="D70" s="160"/>
      <c r="E70" s="160"/>
      <c r="F70" s="160"/>
      <c r="G70" s="82">
        <v>1200</v>
      </c>
      <c r="M70" s="112"/>
    </row>
    <row r="71" spans="1:13" s="2" customFormat="1" ht="10.5" customHeight="1" x14ac:dyDescent="0.25">
      <c r="A71" s="160" t="s">
        <v>93</v>
      </c>
      <c r="B71" s="160"/>
      <c r="C71" s="160"/>
      <c r="D71" s="160"/>
      <c r="E71" s="160"/>
      <c r="F71" s="160"/>
      <c r="G71" s="82">
        <v>2109</v>
      </c>
      <c r="M71" s="111"/>
    </row>
    <row r="72" spans="1:13" s="2" customFormat="1" ht="10.5" customHeight="1" x14ac:dyDescent="0.25">
      <c r="A72" s="160" t="s">
        <v>100</v>
      </c>
      <c r="B72" s="160"/>
      <c r="C72" s="160"/>
      <c r="D72" s="160"/>
      <c r="E72" s="160"/>
      <c r="F72" s="160"/>
      <c r="G72" s="82">
        <v>6100</v>
      </c>
      <c r="M72" s="111"/>
    </row>
    <row r="73" spans="1:13" s="2" customFormat="1" ht="10.5" customHeight="1" x14ac:dyDescent="0.25">
      <c r="A73" s="160" t="s">
        <v>102</v>
      </c>
      <c r="B73" s="160"/>
      <c r="C73" s="160"/>
      <c r="D73" s="160"/>
      <c r="E73" s="160"/>
      <c r="F73" s="160"/>
      <c r="G73" s="82">
        <v>5369</v>
      </c>
      <c r="M73" s="112"/>
    </row>
    <row r="75" spans="1:13" x14ac:dyDescent="0.25">
      <c r="D75" s="111"/>
    </row>
    <row r="76" spans="1:13" x14ac:dyDescent="0.25">
      <c r="D76" s="111"/>
    </row>
    <row r="77" spans="1:13" x14ac:dyDescent="0.25">
      <c r="D77" s="111"/>
      <c r="E77" s="111"/>
      <c r="F77" s="111"/>
      <c r="G77" s="111"/>
    </row>
    <row r="78" spans="1:13" x14ac:dyDescent="0.25">
      <c r="D78" s="111"/>
      <c r="E78" s="111"/>
      <c r="F78" s="111"/>
      <c r="G78" s="111"/>
    </row>
    <row r="79" spans="1:13" x14ac:dyDescent="0.25">
      <c r="D79" s="111"/>
      <c r="E79" s="111"/>
      <c r="F79" s="111"/>
      <c r="G79" s="111"/>
    </row>
    <row r="80" spans="1:13" x14ac:dyDescent="0.25">
      <c r="D80" s="111"/>
      <c r="E80" s="111"/>
      <c r="F80" s="111"/>
      <c r="G80" s="111"/>
    </row>
    <row r="81" spans="4:7" x14ac:dyDescent="0.25">
      <c r="D81" s="111"/>
      <c r="E81" s="111"/>
      <c r="F81" s="111"/>
      <c r="G81" s="111"/>
    </row>
    <row r="82" spans="4:7" x14ac:dyDescent="0.25">
      <c r="D82" s="111"/>
      <c r="E82" s="111"/>
      <c r="F82" s="111"/>
      <c r="G82" s="111"/>
    </row>
    <row r="83" spans="4:7" x14ac:dyDescent="0.25">
      <c r="D83" s="111"/>
      <c r="E83" s="111"/>
      <c r="F83" s="111"/>
      <c r="G83" s="111"/>
    </row>
  </sheetData>
  <mergeCells count="19">
    <mergeCell ref="A73:F73"/>
    <mergeCell ref="A67:F67"/>
    <mergeCell ref="A68:F68"/>
    <mergeCell ref="A69:F69"/>
    <mergeCell ref="A70:F70"/>
    <mergeCell ref="A71:F71"/>
    <mergeCell ref="A72:F72"/>
    <mergeCell ref="A66:F66"/>
    <mergeCell ref="A15:B15"/>
    <mergeCell ref="A21:B21"/>
    <mergeCell ref="A27:B27"/>
    <mergeCell ref="A30:B30"/>
    <mergeCell ref="A51:B51"/>
    <mergeCell ref="A59:B59"/>
    <mergeCell ref="A61:F61"/>
    <mergeCell ref="A62:F62"/>
    <mergeCell ref="A63:F63"/>
    <mergeCell ref="A64:F64"/>
    <mergeCell ref="A65:F65"/>
  </mergeCells>
  <pageMargins left="0.25" right="0" top="0.4" bottom="0" header="0.3" footer="0"/>
  <pageSetup scale="86" fitToWidth="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M83"/>
  <sheetViews>
    <sheetView zoomScale="145" zoomScaleNormal="145" workbookViewId="0">
      <pane ySplit="2" topLeftCell="A18" activePane="bottomLeft" state="frozen"/>
      <selection pane="bottomLeft" activeCell="J42" sqref="J42"/>
    </sheetView>
  </sheetViews>
  <sheetFormatPr defaultColWidth="28" defaultRowHeight="15" x14ac:dyDescent="0.25"/>
  <cols>
    <col min="1" max="1" width="34" style="1" bestFit="1" customWidth="1"/>
    <col min="2" max="2" width="19" style="1" bestFit="1" customWidth="1"/>
    <col min="3" max="3" width="11" style="77" customWidth="1"/>
    <col min="4" max="4" width="7.5703125" style="2" bestFit="1" customWidth="1"/>
    <col min="5" max="5" width="6.28515625" style="2" bestFit="1" customWidth="1"/>
    <col min="6" max="6" width="9" style="2" bestFit="1" customWidth="1"/>
    <col min="7" max="7" width="8.7109375" style="2" bestFit="1" customWidth="1"/>
    <col min="8" max="8" width="8.42578125" style="2" bestFit="1" customWidth="1"/>
    <col min="9" max="9" width="9.42578125" style="2" bestFit="1" customWidth="1"/>
    <col min="10" max="10" width="9.7109375" style="2" bestFit="1" customWidth="1"/>
    <col min="11" max="11" width="9.28515625" style="2" bestFit="1" customWidth="1"/>
    <col min="12" max="12" width="13.42578125" style="2" bestFit="1" customWidth="1"/>
    <col min="13" max="13" width="84.5703125" style="112" bestFit="1" customWidth="1"/>
    <col min="14" max="16384" width="28" style="1"/>
  </cols>
  <sheetData>
    <row r="1" spans="1:13" ht="11.25" customHeight="1" x14ac:dyDescent="0.25">
      <c r="A1" s="68"/>
      <c r="B1" s="67"/>
      <c r="C1" s="76"/>
      <c r="D1" s="66"/>
      <c r="E1" s="66"/>
      <c r="F1" s="66"/>
      <c r="G1" s="66"/>
      <c r="H1" s="66"/>
      <c r="I1" s="66"/>
      <c r="J1" s="66"/>
      <c r="K1" s="66"/>
      <c r="L1" s="65" t="s">
        <v>104</v>
      </c>
    </row>
    <row r="2" spans="1:13" s="61" customFormat="1" ht="23.25" x14ac:dyDescent="0.25">
      <c r="A2" s="64" t="s">
        <v>53</v>
      </c>
      <c r="B2" s="64" t="s">
        <v>52</v>
      </c>
      <c r="C2" s="63" t="s">
        <v>51</v>
      </c>
      <c r="D2" s="63" t="s">
        <v>50</v>
      </c>
      <c r="E2" s="63" t="s">
        <v>48</v>
      </c>
      <c r="F2" s="63" t="s">
        <v>49</v>
      </c>
      <c r="G2" s="63" t="s">
        <v>48</v>
      </c>
      <c r="H2" s="62" t="s">
        <v>47</v>
      </c>
      <c r="I2" s="62" t="s">
        <v>46</v>
      </c>
      <c r="J2" s="62" t="s">
        <v>45</v>
      </c>
      <c r="K2" s="62" t="s">
        <v>44</v>
      </c>
      <c r="L2" s="62" t="s">
        <v>43</v>
      </c>
      <c r="M2" s="113"/>
    </row>
    <row r="3" spans="1:13" s="101" customFormat="1" ht="11.25" customHeight="1" x14ac:dyDescent="0.25">
      <c r="A3" s="22" t="s">
        <v>42</v>
      </c>
      <c r="B3" s="29">
        <v>55010300</v>
      </c>
      <c r="C3" s="9">
        <v>0</v>
      </c>
      <c r="D3" s="9">
        <v>0</v>
      </c>
      <c r="E3" s="9">
        <v>0</v>
      </c>
      <c r="F3" s="9">
        <v>0</v>
      </c>
      <c r="G3" s="9">
        <v>0</v>
      </c>
      <c r="H3" s="9">
        <f>D3+F3+'01-07-21'!H3</f>
        <v>0</v>
      </c>
      <c r="I3" s="9">
        <f>E3+G3+'01-07-21'!I3</f>
        <v>0</v>
      </c>
      <c r="J3" s="9">
        <f t="shared" ref="J3:J14" si="0">H3+I3</f>
        <v>0</v>
      </c>
      <c r="K3" s="9">
        <f>C3-J3</f>
        <v>0</v>
      </c>
      <c r="L3" s="9">
        <f>C3-((J3/15)*26.0714285714285)</f>
        <v>0</v>
      </c>
      <c r="M3" s="114"/>
    </row>
    <row r="4" spans="1:13" s="101" customFormat="1" ht="11.25" customHeight="1" x14ac:dyDescent="0.25">
      <c r="A4" s="22" t="s">
        <v>41</v>
      </c>
      <c r="B4" s="29">
        <v>55010500</v>
      </c>
      <c r="C4" s="9">
        <v>3229</v>
      </c>
      <c r="D4" s="10">
        <v>0</v>
      </c>
      <c r="E4" s="10">
        <v>0</v>
      </c>
      <c r="F4" s="10">
        <v>0</v>
      </c>
      <c r="G4" s="10">
        <v>0</v>
      </c>
      <c r="H4" s="9">
        <f>D4+F4+'01-07-21'!H4</f>
        <v>0</v>
      </c>
      <c r="I4" s="9">
        <f>E4+G4+'01-07-21'!I4</f>
        <v>0</v>
      </c>
      <c r="J4" s="9">
        <f t="shared" si="0"/>
        <v>0</v>
      </c>
      <c r="K4" s="9">
        <f t="shared" ref="K4:K14" si="1">C4-J4</f>
        <v>3229</v>
      </c>
      <c r="L4" s="9">
        <f t="shared" ref="L4:L14" si="2">C4-((J4/15)*26.0714285714285)</f>
        <v>3229</v>
      </c>
      <c r="M4" s="114"/>
    </row>
    <row r="5" spans="1:13" s="92" customFormat="1" ht="11.25" customHeight="1" x14ac:dyDescent="0.25">
      <c r="A5" s="58" t="s">
        <v>40</v>
      </c>
      <c r="B5" s="102">
        <v>55020200</v>
      </c>
      <c r="C5" s="103">
        <v>24649</v>
      </c>
      <c r="D5" s="55">
        <v>756.82</v>
      </c>
      <c r="E5" s="55">
        <v>14.37</v>
      </c>
      <c r="F5" s="55">
        <v>340.63</v>
      </c>
      <c r="G5" s="55">
        <v>48.91</v>
      </c>
      <c r="H5" s="9">
        <f>D5+F5+'01-07-21'!H5</f>
        <v>8959.18</v>
      </c>
      <c r="I5" s="9">
        <f>E5+G5+'01-07-21'!I5</f>
        <v>225.74999999999997</v>
      </c>
      <c r="J5" s="9">
        <f t="shared" si="0"/>
        <v>9184.93</v>
      </c>
      <c r="K5" s="9">
        <f t="shared" si="1"/>
        <v>15464.07</v>
      </c>
      <c r="L5" s="9">
        <f t="shared" si="2"/>
        <v>8684.71690476195</v>
      </c>
      <c r="M5" s="115"/>
    </row>
    <row r="6" spans="1:13" s="92" customFormat="1" ht="11.25" customHeight="1" x14ac:dyDescent="0.25">
      <c r="A6" s="22" t="s">
        <v>39</v>
      </c>
      <c r="B6" s="29">
        <v>55020300</v>
      </c>
      <c r="C6" s="9">
        <v>17974</v>
      </c>
      <c r="D6" s="10">
        <v>283.26</v>
      </c>
      <c r="E6" s="10">
        <v>5.38</v>
      </c>
      <c r="F6" s="10">
        <v>875</v>
      </c>
      <c r="G6" s="10">
        <v>45.5</v>
      </c>
      <c r="H6" s="9">
        <f>D6+F6+'01-07-21'!H6</f>
        <v>4568.54</v>
      </c>
      <c r="I6" s="9">
        <f>E6+G6+'01-07-21'!I6</f>
        <v>115.6</v>
      </c>
      <c r="J6" s="9">
        <f t="shared" si="0"/>
        <v>4684.1400000000003</v>
      </c>
      <c r="K6" s="9">
        <f t="shared" si="1"/>
        <v>13289.86</v>
      </c>
      <c r="L6" s="9">
        <f t="shared" si="2"/>
        <v>9832.5185714285944</v>
      </c>
      <c r="M6" s="115"/>
    </row>
    <row r="7" spans="1:13" s="92" customFormat="1" ht="11.25" customHeight="1" x14ac:dyDescent="0.25">
      <c r="A7" s="22" t="s">
        <v>38</v>
      </c>
      <c r="B7" s="29">
        <v>55020400</v>
      </c>
      <c r="C7" s="9">
        <v>17974</v>
      </c>
      <c r="D7" s="10">
        <v>267.79000000000002</v>
      </c>
      <c r="E7" s="10">
        <v>5.08</v>
      </c>
      <c r="F7" s="10">
        <v>0</v>
      </c>
      <c r="G7" s="10">
        <v>0</v>
      </c>
      <c r="H7" s="9">
        <f>D7+F7+'01-07-21'!H7</f>
        <v>3223.4800000000005</v>
      </c>
      <c r="I7" s="9">
        <f>E7+G7+'01-07-21'!I7</f>
        <v>61.179999999999993</v>
      </c>
      <c r="J7" s="9">
        <f t="shared" si="0"/>
        <v>3284.6600000000003</v>
      </c>
      <c r="K7" s="9">
        <f t="shared" si="1"/>
        <v>14689.34</v>
      </c>
      <c r="L7" s="9">
        <f t="shared" si="2"/>
        <v>12264.948095238111</v>
      </c>
      <c r="M7" s="115"/>
    </row>
    <row r="8" spans="1:13" s="92" customFormat="1" ht="11.25" customHeight="1" x14ac:dyDescent="0.25">
      <c r="A8" s="22" t="s">
        <v>92</v>
      </c>
      <c r="B8" s="29">
        <v>55030100</v>
      </c>
      <c r="C8" s="9">
        <v>2109</v>
      </c>
      <c r="D8" s="9">
        <v>0</v>
      </c>
      <c r="E8" s="9">
        <v>0</v>
      </c>
      <c r="F8" s="9">
        <v>0</v>
      </c>
      <c r="G8" s="9">
        <v>0</v>
      </c>
      <c r="H8" s="9">
        <f>D8+F8+'01-07-21'!H8</f>
        <v>841.91000000000008</v>
      </c>
      <c r="I8" s="9">
        <f>E8+G8+'01-07-21'!I8</f>
        <v>15.939999999999998</v>
      </c>
      <c r="J8" s="9">
        <f t="shared" si="0"/>
        <v>857.85000000000014</v>
      </c>
      <c r="K8" s="9">
        <f t="shared" si="1"/>
        <v>1251.1499999999999</v>
      </c>
      <c r="L8" s="9">
        <f t="shared" si="2"/>
        <v>617.97500000000377</v>
      </c>
      <c r="M8" s="115"/>
    </row>
    <row r="9" spans="1:13" s="92" customFormat="1" ht="11.25" customHeight="1" x14ac:dyDescent="0.25">
      <c r="A9" s="54" t="s">
        <v>37</v>
      </c>
      <c r="B9" s="29">
        <v>55030200</v>
      </c>
      <c r="C9" s="9">
        <v>24330</v>
      </c>
      <c r="D9" s="10">
        <v>232.36</v>
      </c>
      <c r="E9" s="10">
        <v>4.41</v>
      </c>
      <c r="F9" s="10">
        <v>0</v>
      </c>
      <c r="G9" s="10">
        <v>0</v>
      </c>
      <c r="H9" s="9">
        <f>D9+F9+'01-07-21'!H9</f>
        <v>5318.9800000000005</v>
      </c>
      <c r="I9" s="9">
        <f>E9+G9+'01-07-21'!I9</f>
        <v>101.28000000000002</v>
      </c>
      <c r="J9" s="9">
        <f t="shared" si="0"/>
        <v>5420.26</v>
      </c>
      <c r="K9" s="9">
        <f t="shared" si="1"/>
        <v>18909.739999999998</v>
      </c>
      <c r="L9" s="9">
        <f t="shared" si="2"/>
        <v>14909.071904761931</v>
      </c>
      <c r="M9" s="123"/>
    </row>
    <row r="10" spans="1:13" s="92" customFormat="1" ht="11.25" customHeight="1" x14ac:dyDescent="0.25">
      <c r="A10" s="22" t="s">
        <v>36</v>
      </c>
      <c r="B10" s="29">
        <v>55050200</v>
      </c>
      <c r="C10" s="9">
        <v>34000</v>
      </c>
      <c r="D10" s="10">
        <v>917.2</v>
      </c>
      <c r="E10" s="10">
        <v>17.420000000000002</v>
      </c>
      <c r="F10" s="10">
        <v>1984.38</v>
      </c>
      <c r="G10" s="10">
        <v>103.18</v>
      </c>
      <c r="H10" s="9">
        <f>D10+F10+'01-07-21'!H10</f>
        <v>15782.460000000001</v>
      </c>
      <c r="I10" s="9">
        <f>E10+G10+'01-07-21'!I10</f>
        <v>384.62</v>
      </c>
      <c r="J10" s="9">
        <f t="shared" si="0"/>
        <v>16167.080000000002</v>
      </c>
      <c r="K10" s="9">
        <f t="shared" si="1"/>
        <v>17832.919999999998</v>
      </c>
      <c r="L10" s="9">
        <f t="shared" si="2"/>
        <v>5900.0752380953127</v>
      </c>
      <c r="M10" s="123"/>
    </row>
    <row r="11" spans="1:13" s="92" customFormat="1" ht="11.25" hidden="1" customHeight="1" x14ac:dyDescent="0.25">
      <c r="A11" s="22" t="s">
        <v>80</v>
      </c>
      <c r="B11" s="29">
        <v>55050300</v>
      </c>
      <c r="C11" s="97"/>
      <c r="D11" s="9"/>
      <c r="E11" s="9"/>
      <c r="F11" s="9"/>
      <c r="G11" s="9"/>
      <c r="H11" s="9">
        <f>D11+F11+'01-07-21'!H11</f>
        <v>-310</v>
      </c>
      <c r="I11" s="9">
        <f>E11+G11+'01-07-21'!I11</f>
        <v>-5.8900000000000006</v>
      </c>
      <c r="J11" s="9">
        <f t="shared" si="0"/>
        <v>-315.89</v>
      </c>
      <c r="K11" s="9">
        <f t="shared" si="1"/>
        <v>315.89</v>
      </c>
      <c r="L11" s="9">
        <f t="shared" si="2"/>
        <v>549.04690476190319</v>
      </c>
      <c r="M11" s="116"/>
    </row>
    <row r="12" spans="1:13" s="98" customFormat="1" ht="11.25" customHeight="1" x14ac:dyDescent="0.25">
      <c r="A12" s="22" t="s">
        <v>35</v>
      </c>
      <c r="B12" s="29">
        <v>55070100</v>
      </c>
      <c r="C12" s="9">
        <v>42741</v>
      </c>
      <c r="D12" s="10">
        <v>924.9</v>
      </c>
      <c r="E12" s="10">
        <v>17.57</v>
      </c>
      <c r="F12" s="10">
        <v>968.75</v>
      </c>
      <c r="G12" s="10">
        <v>50.37</v>
      </c>
      <c r="H12" s="9">
        <f>D12+F12+'01-07-21'!H12</f>
        <v>12544.019999999999</v>
      </c>
      <c r="I12" s="9">
        <f>E12+G12+'01-07-21'!I12</f>
        <v>282.17999999999995</v>
      </c>
      <c r="J12" s="9">
        <f t="shared" si="0"/>
        <v>12826.199999999999</v>
      </c>
      <c r="K12" s="9">
        <f t="shared" si="1"/>
        <v>29914.800000000003</v>
      </c>
      <c r="L12" s="9">
        <f t="shared" si="2"/>
        <v>20447.842857142921</v>
      </c>
      <c r="M12" s="124"/>
    </row>
    <row r="13" spans="1:13" s="92" customFormat="1" ht="11.25" customHeight="1" x14ac:dyDescent="0.25">
      <c r="A13" s="22" t="s">
        <v>34</v>
      </c>
      <c r="B13" s="29">
        <v>55080100</v>
      </c>
      <c r="C13" s="9">
        <v>23173</v>
      </c>
      <c r="D13" s="10">
        <v>772.15</v>
      </c>
      <c r="E13" s="10">
        <v>14.67</v>
      </c>
      <c r="F13" s="10">
        <v>0</v>
      </c>
      <c r="G13" s="10">
        <v>0</v>
      </c>
      <c r="H13" s="9">
        <f>D13+F13+'01-07-21'!H13</f>
        <v>10217.620000000001</v>
      </c>
      <c r="I13" s="9">
        <f>E13+G13+'01-07-21'!I13</f>
        <v>194.05999999999997</v>
      </c>
      <c r="J13" s="9">
        <f t="shared" si="0"/>
        <v>10411.68</v>
      </c>
      <c r="K13" s="9">
        <f t="shared" si="1"/>
        <v>12761.32</v>
      </c>
      <c r="L13" s="9">
        <f t="shared" si="2"/>
        <v>5076.5085714286215</v>
      </c>
      <c r="M13" s="123"/>
    </row>
    <row r="14" spans="1:13" s="99" customFormat="1" ht="11.25" customHeight="1" x14ac:dyDescent="0.25">
      <c r="A14" s="53" t="s">
        <v>33</v>
      </c>
      <c r="B14" s="33">
        <v>55190000</v>
      </c>
      <c r="C14" s="9">
        <v>6000</v>
      </c>
      <c r="D14" s="10">
        <v>105.34</v>
      </c>
      <c r="E14" s="10">
        <v>2</v>
      </c>
      <c r="F14" s="10">
        <v>0</v>
      </c>
      <c r="G14" s="10">
        <v>0</v>
      </c>
      <c r="H14" s="9">
        <f>D14+F14+'01-07-21'!H14</f>
        <v>297.43</v>
      </c>
      <c r="I14" s="9">
        <f>E14+G14+'01-07-21'!I14</f>
        <v>5.61</v>
      </c>
      <c r="J14" s="9">
        <f t="shared" si="0"/>
        <v>303.04000000000002</v>
      </c>
      <c r="K14" s="9">
        <f t="shared" si="1"/>
        <v>5696.96</v>
      </c>
      <c r="L14" s="9">
        <f t="shared" si="2"/>
        <v>5473.28761904762</v>
      </c>
      <c r="M14" s="117"/>
    </row>
    <row r="15" spans="1:13" ht="21.6" customHeight="1" thickBot="1" x14ac:dyDescent="0.3">
      <c r="A15" s="155" t="s">
        <v>32</v>
      </c>
      <c r="B15" s="156"/>
      <c r="C15" s="49">
        <f t="shared" ref="C15:L15" si="3">SUM(C3:C14)</f>
        <v>196179</v>
      </c>
      <c r="D15" s="7">
        <f t="shared" si="3"/>
        <v>4259.8200000000006</v>
      </c>
      <c r="E15" s="7">
        <f t="shared" si="3"/>
        <v>80.899999999999991</v>
      </c>
      <c r="F15" s="7">
        <f t="shared" si="3"/>
        <v>4168.76</v>
      </c>
      <c r="G15" s="7">
        <f t="shared" si="3"/>
        <v>247.96</v>
      </c>
      <c r="H15" s="7">
        <f t="shared" si="3"/>
        <v>61443.62</v>
      </c>
      <c r="I15" s="7">
        <f t="shared" si="3"/>
        <v>1380.3299999999997</v>
      </c>
      <c r="J15" s="49">
        <f t="shared" si="3"/>
        <v>62823.95</v>
      </c>
      <c r="K15" s="49">
        <f t="shared" si="3"/>
        <v>133355.04999999999</v>
      </c>
      <c r="L15" s="7">
        <f t="shared" si="3"/>
        <v>86984.991666666989</v>
      </c>
    </row>
    <row r="16" spans="1:13" ht="11.25" customHeight="1" x14ac:dyDescent="0.25">
      <c r="A16" s="52"/>
      <c r="B16" s="41"/>
      <c r="C16" s="39"/>
      <c r="D16" s="39"/>
      <c r="E16" s="39"/>
      <c r="F16" s="39"/>
      <c r="G16" s="39"/>
      <c r="H16" s="39"/>
      <c r="I16" s="39"/>
      <c r="J16" s="39"/>
      <c r="K16" s="39"/>
      <c r="L16" s="51"/>
    </row>
    <row r="17" spans="1:13" ht="11.25" customHeight="1" thickBot="1" x14ac:dyDescent="0.3">
      <c r="A17" s="38"/>
      <c r="B17" s="37"/>
      <c r="C17" s="35"/>
      <c r="D17" s="35"/>
      <c r="E17" s="35"/>
      <c r="F17" s="35"/>
      <c r="G17" s="35"/>
      <c r="H17" s="35"/>
      <c r="I17" s="35"/>
      <c r="J17" s="35"/>
      <c r="K17" s="35"/>
      <c r="L17" s="50"/>
    </row>
    <row r="18" spans="1:13" s="92" customFormat="1" ht="11.45" customHeight="1" x14ac:dyDescent="0.25">
      <c r="A18" s="13" t="s">
        <v>31</v>
      </c>
      <c r="B18" s="33">
        <v>55090100</v>
      </c>
      <c r="C18" s="9">
        <v>26923</v>
      </c>
      <c r="D18" s="10">
        <v>0</v>
      </c>
      <c r="E18" s="10">
        <v>0</v>
      </c>
      <c r="F18" s="10">
        <v>1080</v>
      </c>
      <c r="G18" s="10">
        <v>56.16</v>
      </c>
      <c r="H18" s="9">
        <f>D18+F18+'01-07-21'!H18</f>
        <v>15135</v>
      </c>
      <c r="I18" s="9">
        <f>E18+G18+'01-07-21'!I18</f>
        <v>786.99999999999989</v>
      </c>
      <c r="J18" s="9">
        <f t="shared" ref="J18:J20" si="4">H18+I18</f>
        <v>15922</v>
      </c>
      <c r="K18" s="9">
        <f>C18-J18</f>
        <v>11001</v>
      </c>
      <c r="L18" s="9">
        <f t="shared" ref="L18:L20" si="5">C18-((J18/15)*26.0714285714285)</f>
        <v>-750.95238095230525</v>
      </c>
      <c r="M18" s="115"/>
    </row>
    <row r="19" spans="1:13" s="92" customFormat="1" ht="11.45" customHeight="1" x14ac:dyDescent="0.25">
      <c r="A19" s="22" t="s">
        <v>30</v>
      </c>
      <c r="B19" s="29">
        <v>55160100</v>
      </c>
      <c r="C19" s="9">
        <f>16062-2109</f>
        <v>13953</v>
      </c>
      <c r="D19" s="9">
        <v>0</v>
      </c>
      <c r="E19" s="9">
        <v>0</v>
      </c>
      <c r="F19" s="10">
        <v>0</v>
      </c>
      <c r="G19" s="10">
        <v>0</v>
      </c>
      <c r="H19" s="9">
        <f>D19+F19+'01-07-21'!H19</f>
        <v>0</v>
      </c>
      <c r="I19" s="9">
        <f>E19+G19+'01-07-21'!I19</f>
        <v>0</v>
      </c>
      <c r="J19" s="9">
        <f t="shared" si="4"/>
        <v>0</v>
      </c>
      <c r="K19" s="9">
        <f t="shared" ref="K19:K20" si="6">C19-J19</f>
        <v>13953</v>
      </c>
      <c r="L19" s="9">
        <f t="shared" si="5"/>
        <v>13953</v>
      </c>
      <c r="M19" s="115"/>
    </row>
    <row r="20" spans="1:13" s="92" customFormat="1" ht="11.45" customHeight="1" x14ac:dyDescent="0.25">
      <c r="A20" s="13" t="s">
        <v>29</v>
      </c>
      <c r="B20" s="33">
        <v>55100100</v>
      </c>
      <c r="C20" s="9">
        <v>2026</v>
      </c>
      <c r="D20" s="10">
        <v>0</v>
      </c>
      <c r="E20" s="10">
        <v>0</v>
      </c>
      <c r="F20" s="10">
        <v>0</v>
      </c>
      <c r="G20" s="10">
        <v>0</v>
      </c>
      <c r="H20" s="9">
        <f>D20+F20+'01-07-21'!H20</f>
        <v>936.46</v>
      </c>
      <c r="I20" s="9">
        <f>E20+G20+'01-07-21'!I20</f>
        <v>16.864999999999998</v>
      </c>
      <c r="J20" s="9">
        <f t="shared" si="4"/>
        <v>953.32500000000005</v>
      </c>
      <c r="K20" s="9">
        <f t="shared" si="6"/>
        <v>1072.675</v>
      </c>
      <c r="L20" s="9">
        <f t="shared" si="5"/>
        <v>369.0303571428617</v>
      </c>
      <c r="M20" s="115"/>
    </row>
    <row r="21" spans="1:13" ht="21.6" customHeight="1" thickBot="1" x14ac:dyDescent="0.3">
      <c r="A21" s="155" t="s">
        <v>28</v>
      </c>
      <c r="B21" s="156"/>
      <c r="C21" s="7">
        <f t="shared" ref="C21:L21" si="7">SUM(C18:C20)</f>
        <v>42902</v>
      </c>
      <c r="D21" s="7">
        <f t="shared" si="7"/>
        <v>0</v>
      </c>
      <c r="E21" s="7">
        <f t="shared" si="7"/>
        <v>0</v>
      </c>
      <c r="F21" s="7">
        <f t="shared" si="7"/>
        <v>1080</v>
      </c>
      <c r="G21" s="7">
        <f t="shared" si="7"/>
        <v>56.16</v>
      </c>
      <c r="H21" s="7">
        <f t="shared" si="7"/>
        <v>16071.46</v>
      </c>
      <c r="I21" s="7">
        <f t="shared" si="7"/>
        <v>803.8649999999999</v>
      </c>
      <c r="J21" s="49">
        <f t="shared" si="7"/>
        <v>16875.325000000001</v>
      </c>
      <c r="K21" s="7">
        <f t="shared" si="7"/>
        <v>26026.674999999999</v>
      </c>
      <c r="L21" s="7">
        <f t="shared" si="7"/>
        <v>13571.077976190556</v>
      </c>
    </row>
    <row r="22" spans="1:13" ht="11.25" customHeight="1" x14ac:dyDescent="0.25">
      <c r="A22" s="42"/>
      <c r="B22" s="41"/>
      <c r="C22" s="39"/>
      <c r="D22" s="39"/>
      <c r="E22" s="39"/>
      <c r="F22" s="39"/>
      <c r="G22" s="39"/>
      <c r="H22" s="39"/>
      <c r="I22" s="39"/>
      <c r="J22" s="39"/>
      <c r="K22" s="39"/>
      <c r="L22" s="51"/>
    </row>
    <row r="23" spans="1:13" ht="11.25" customHeight="1" thickBot="1" x14ac:dyDescent="0.3">
      <c r="A23" s="38"/>
      <c r="B23" s="37"/>
      <c r="C23" s="35"/>
      <c r="D23" s="35"/>
      <c r="E23" s="35"/>
      <c r="F23" s="35"/>
      <c r="G23" s="35"/>
      <c r="H23" s="35"/>
      <c r="I23" s="35"/>
      <c r="J23" s="35"/>
      <c r="K23" s="35"/>
      <c r="L23" s="50"/>
    </row>
    <row r="24" spans="1:13" s="99" customFormat="1" ht="11.45" customHeight="1" x14ac:dyDescent="0.25">
      <c r="A24" s="13" t="s">
        <v>27</v>
      </c>
      <c r="B24" s="33">
        <v>55200000</v>
      </c>
      <c r="C24" s="9">
        <v>25000</v>
      </c>
      <c r="D24" s="10">
        <v>0</v>
      </c>
      <c r="E24" s="10">
        <v>0</v>
      </c>
      <c r="F24" s="10">
        <v>0</v>
      </c>
      <c r="G24" s="10">
        <v>0</v>
      </c>
      <c r="H24" s="9">
        <f>D24+F24+'01-07-21'!H24</f>
        <v>6221.25</v>
      </c>
      <c r="I24" s="9">
        <f>E24+G24+'01-07-21'!I24</f>
        <v>118.12</v>
      </c>
      <c r="J24" s="9">
        <f t="shared" ref="J24:J26" si="8">H24+I24</f>
        <v>6339.37</v>
      </c>
      <c r="K24" s="9">
        <f>C24-J24</f>
        <v>18660.63</v>
      </c>
      <c r="L24" s="9">
        <f t="shared" ref="L24:L26" si="9">C24-((J24/15)*26.0714285714285)</f>
        <v>13981.571190476221</v>
      </c>
      <c r="M24" s="118"/>
    </row>
    <row r="25" spans="1:13" s="99" customFormat="1" ht="11.45" hidden="1" customHeight="1" x14ac:dyDescent="0.25">
      <c r="A25" s="13" t="s">
        <v>26</v>
      </c>
      <c r="B25" s="100" t="s">
        <v>25</v>
      </c>
      <c r="C25" s="46">
        <v>0</v>
      </c>
      <c r="D25" s="45"/>
      <c r="E25" s="45"/>
      <c r="F25" s="45"/>
      <c r="G25" s="45"/>
      <c r="H25" s="9">
        <f>D25+F25+'01-07-21'!H25</f>
        <v>0</v>
      </c>
      <c r="I25" s="9">
        <f>E25+G25+'01-07-21'!I25</f>
        <v>-9.9999999999997868E-3</v>
      </c>
      <c r="J25" s="9">
        <f t="shared" si="8"/>
        <v>-9.9999999999997868E-3</v>
      </c>
      <c r="K25" s="75">
        <f t="shared" ref="K25:K26" si="10">C25-J25</f>
        <v>9.9999999999997868E-3</v>
      </c>
      <c r="L25" s="9">
        <f t="shared" si="9"/>
        <v>1.7380952380951963E-2</v>
      </c>
      <c r="M25" s="118"/>
    </row>
    <row r="26" spans="1:13" s="99" customFormat="1" ht="10.9" customHeight="1" x14ac:dyDescent="0.25">
      <c r="A26" s="28" t="s">
        <v>24</v>
      </c>
      <c r="B26" s="47" t="s">
        <v>23</v>
      </c>
      <c r="C26" s="46">
        <v>0</v>
      </c>
      <c r="D26" s="45">
        <v>0</v>
      </c>
      <c r="E26" s="45">
        <v>0</v>
      </c>
      <c r="F26" s="45">
        <v>0</v>
      </c>
      <c r="G26" s="45">
        <v>0</v>
      </c>
      <c r="H26" s="9">
        <f>D26+F26+'01-07-21'!H26</f>
        <v>0</v>
      </c>
      <c r="I26" s="9">
        <f>E26+G26+'01-07-21'!I26</f>
        <v>0</v>
      </c>
      <c r="J26" s="9">
        <f t="shared" si="8"/>
        <v>0</v>
      </c>
      <c r="K26" s="9">
        <f t="shared" si="10"/>
        <v>0</v>
      </c>
      <c r="L26" s="9">
        <f t="shared" si="9"/>
        <v>0</v>
      </c>
      <c r="M26" s="117"/>
    </row>
    <row r="27" spans="1:13" ht="24.75" customHeight="1" thickBot="1" x14ac:dyDescent="0.3">
      <c r="A27" s="157" t="s">
        <v>22</v>
      </c>
      <c r="B27" s="158"/>
      <c r="C27" s="43">
        <f>SUM(C24:C25)</f>
        <v>25000</v>
      </c>
      <c r="D27" s="43">
        <f t="shared" ref="D27:L27" si="11">SUM(D24:D26)</f>
        <v>0</v>
      </c>
      <c r="E27" s="43">
        <f t="shared" si="11"/>
        <v>0</v>
      </c>
      <c r="F27" s="43">
        <f t="shared" si="11"/>
        <v>0</v>
      </c>
      <c r="G27" s="43">
        <f t="shared" si="11"/>
        <v>0</v>
      </c>
      <c r="H27" s="43">
        <f t="shared" si="11"/>
        <v>6221.25</v>
      </c>
      <c r="I27" s="43">
        <f t="shared" si="11"/>
        <v>118.11</v>
      </c>
      <c r="J27" s="43">
        <f t="shared" si="11"/>
        <v>6339.36</v>
      </c>
      <c r="K27" s="43">
        <f t="shared" si="11"/>
        <v>18660.64</v>
      </c>
      <c r="L27" s="34">
        <f t="shared" si="11"/>
        <v>13981.588571428601</v>
      </c>
    </row>
    <row r="28" spans="1:13" ht="11.25" customHeight="1" x14ac:dyDescent="0.25">
      <c r="A28" s="42"/>
      <c r="B28" s="41"/>
      <c r="C28" s="39"/>
      <c r="D28" s="39"/>
      <c r="E28" s="39"/>
      <c r="F28" s="39"/>
      <c r="G28" s="39"/>
      <c r="H28" s="39"/>
      <c r="I28" s="39"/>
      <c r="J28" s="39"/>
      <c r="K28" s="39"/>
      <c r="L28" s="39"/>
    </row>
    <row r="29" spans="1:13" ht="11.25" customHeight="1" thickBot="1" x14ac:dyDescent="0.3">
      <c r="A29" s="38"/>
      <c r="B29" s="37"/>
      <c r="C29" s="35"/>
      <c r="D29" s="35"/>
      <c r="E29" s="35"/>
      <c r="F29" s="35"/>
      <c r="G29" s="35"/>
      <c r="H29" s="35"/>
      <c r="I29" s="35"/>
      <c r="J29" s="35"/>
      <c r="K29" s="35"/>
      <c r="L29" s="35"/>
    </row>
    <row r="30" spans="1:13" ht="21.6" customHeight="1" x14ac:dyDescent="0.25">
      <c r="A30" s="159" t="s">
        <v>21</v>
      </c>
      <c r="B30" s="159"/>
      <c r="C30" s="34">
        <f t="shared" ref="C30:L30" si="12">C15+C21+C27</f>
        <v>264081</v>
      </c>
      <c r="D30" s="34">
        <f t="shared" si="12"/>
        <v>4259.8200000000006</v>
      </c>
      <c r="E30" s="34">
        <f t="shared" si="12"/>
        <v>80.899999999999991</v>
      </c>
      <c r="F30" s="34">
        <f t="shared" si="12"/>
        <v>5248.76</v>
      </c>
      <c r="G30" s="34">
        <f t="shared" si="12"/>
        <v>304.12</v>
      </c>
      <c r="H30" s="34">
        <f t="shared" si="12"/>
        <v>83736.33</v>
      </c>
      <c r="I30" s="34">
        <f t="shared" si="12"/>
        <v>2302.3049999999998</v>
      </c>
      <c r="J30" s="34">
        <f t="shared" si="12"/>
        <v>86038.634999999995</v>
      </c>
      <c r="K30" s="34">
        <f t="shared" si="12"/>
        <v>178042.36499999999</v>
      </c>
      <c r="L30" s="34">
        <f t="shared" si="12"/>
        <v>114537.65821428614</v>
      </c>
    </row>
    <row r="31" spans="1:13" ht="10.9" customHeight="1" x14ac:dyDescent="0.25">
      <c r="A31" s="17"/>
      <c r="B31" s="16"/>
      <c r="C31" s="15"/>
      <c r="D31" s="15"/>
      <c r="E31" s="15"/>
      <c r="F31" s="15"/>
      <c r="G31" s="15"/>
      <c r="H31" s="15"/>
      <c r="I31" s="15"/>
      <c r="J31" s="15"/>
      <c r="K31" s="15"/>
      <c r="L31" s="15"/>
    </row>
    <row r="32" spans="1:13" ht="11.25" customHeight="1" x14ac:dyDescent="0.25">
      <c r="A32" s="17"/>
      <c r="B32" s="16"/>
      <c r="C32" s="15"/>
      <c r="D32" s="15"/>
      <c r="E32" s="15"/>
      <c r="F32" s="15"/>
      <c r="G32" s="15"/>
      <c r="H32" s="15"/>
      <c r="I32" s="15"/>
      <c r="J32" s="15"/>
      <c r="K32" s="15"/>
      <c r="L32" s="15"/>
    </row>
    <row r="33" spans="1:13" s="104" customFormat="1" ht="11.25" customHeight="1" x14ac:dyDescent="0.25">
      <c r="A33" s="28" t="s">
        <v>20</v>
      </c>
      <c r="B33" s="27" t="s">
        <v>19</v>
      </c>
      <c r="C33" s="9">
        <v>0</v>
      </c>
      <c r="D33" s="10">
        <v>0</v>
      </c>
      <c r="E33" s="10">
        <v>0</v>
      </c>
      <c r="F33" s="10">
        <v>0</v>
      </c>
      <c r="G33" s="10">
        <v>0</v>
      </c>
      <c r="H33" s="9">
        <f>D33+F33+'01-07-21'!H33</f>
        <v>0</v>
      </c>
      <c r="I33" s="9">
        <f>E33+G33+'01-07-21'!I33</f>
        <v>0</v>
      </c>
      <c r="J33" s="9">
        <f t="shared" ref="J33:J48" si="13">H33+I33</f>
        <v>0</v>
      </c>
      <c r="K33" s="9">
        <f>C33-J33</f>
        <v>0</v>
      </c>
      <c r="L33" s="9">
        <f t="shared" ref="L33:L50" si="14">C33-((J33/15)*26.0714285714285)</f>
        <v>0</v>
      </c>
      <c r="M33" s="119"/>
    </row>
    <row r="34" spans="1:13" s="104" customFormat="1" ht="12" customHeight="1" x14ac:dyDescent="0.25">
      <c r="A34" s="32" t="s">
        <v>123</v>
      </c>
      <c r="B34" s="33" t="s">
        <v>55</v>
      </c>
      <c r="C34" s="9">
        <f>2795.22+12000</f>
        <v>14795.22</v>
      </c>
      <c r="D34" s="10">
        <v>0</v>
      </c>
      <c r="E34" s="10">
        <v>0</v>
      </c>
      <c r="F34" s="130">
        <v>816</v>
      </c>
      <c r="G34" s="130">
        <v>42.43</v>
      </c>
      <c r="H34" s="9">
        <f>D34+F34+'01-07-21'!H34</f>
        <v>3818</v>
      </c>
      <c r="I34" s="9">
        <f>E34+G34+'01-07-21'!I34</f>
        <v>146.76</v>
      </c>
      <c r="J34" s="9">
        <f t="shared" si="13"/>
        <v>3964.76</v>
      </c>
      <c r="K34" s="9">
        <f>C34-J34</f>
        <v>10830.46</v>
      </c>
      <c r="L34" s="9">
        <f t="shared" si="14"/>
        <v>7904.0895238095418</v>
      </c>
      <c r="M34" s="125"/>
    </row>
    <row r="35" spans="1:13" s="104" customFormat="1" ht="11.25" hidden="1" customHeight="1" x14ac:dyDescent="0.25">
      <c r="A35" s="32" t="s">
        <v>18</v>
      </c>
      <c r="B35" s="27" t="s">
        <v>17</v>
      </c>
      <c r="C35" s="105">
        <v>0</v>
      </c>
      <c r="D35" s="10"/>
      <c r="E35" s="10"/>
      <c r="F35" s="10"/>
      <c r="G35" s="10"/>
      <c r="H35" s="9">
        <f>D35+F35+'01-07-21'!H35</f>
        <v>0</v>
      </c>
      <c r="I35" s="9">
        <f>E35+G35+'01-07-21'!I35</f>
        <v>-1.0000000000005116E-2</v>
      </c>
      <c r="J35" s="9">
        <f t="shared" si="13"/>
        <v>-1.0000000000005116E-2</v>
      </c>
      <c r="K35" s="9">
        <f t="shared" ref="K35:K48" si="15">C35-J35</f>
        <v>1.0000000000005116E-2</v>
      </c>
      <c r="L35" s="9">
        <f t="shared" si="14"/>
        <v>1.7380952380961226E-2</v>
      </c>
      <c r="M35" s="119"/>
    </row>
    <row r="36" spans="1:13" s="106" customFormat="1" ht="11.25" customHeight="1" x14ac:dyDescent="0.25">
      <c r="A36" s="28" t="s">
        <v>16</v>
      </c>
      <c r="B36" s="29" t="s">
        <v>15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f>D36+F36+'01-07-21'!H36</f>
        <v>0</v>
      </c>
      <c r="I36" s="9">
        <f>E36+G36+'01-07-21'!I36</f>
        <v>0</v>
      </c>
      <c r="J36" s="9">
        <f t="shared" si="13"/>
        <v>0</v>
      </c>
      <c r="K36" s="9">
        <f t="shared" si="15"/>
        <v>0</v>
      </c>
      <c r="L36" s="9">
        <f t="shared" si="14"/>
        <v>0</v>
      </c>
      <c r="M36" s="120"/>
    </row>
    <row r="37" spans="1:13" s="106" customFormat="1" ht="11.25" customHeight="1" x14ac:dyDescent="0.25">
      <c r="A37" s="28" t="s">
        <v>97</v>
      </c>
      <c r="B37" s="29" t="s">
        <v>13</v>
      </c>
      <c r="C37" s="9">
        <v>0</v>
      </c>
      <c r="D37" s="130">
        <v>83.56</v>
      </c>
      <c r="E37" s="130">
        <v>1.58</v>
      </c>
      <c r="F37" s="9">
        <v>0</v>
      </c>
      <c r="G37" s="9">
        <v>0</v>
      </c>
      <c r="H37" s="9">
        <f>D37+F37+'01-07-21'!H37</f>
        <v>891.40999999999985</v>
      </c>
      <c r="I37" s="9">
        <f>E37+G37+'01-07-21'!I37</f>
        <v>16.86</v>
      </c>
      <c r="J37" s="9">
        <f t="shared" si="13"/>
        <v>908.26999999999987</v>
      </c>
      <c r="K37" s="107">
        <f t="shared" si="15"/>
        <v>-908.26999999999987</v>
      </c>
      <c r="L37" s="9">
        <f t="shared" si="14"/>
        <v>-1578.6597619047573</v>
      </c>
      <c r="M37" s="116"/>
    </row>
    <row r="38" spans="1:13" s="106" customFormat="1" ht="11.25" customHeight="1" x14ac:dyDescent="0.25">
      <c r="A38" s="28" t="s">
        <v>12</v>
      </c>
      <c r="B38" s="29">
        <v>55110100</v>
      </c>
      <c r="C38" s="9">
        <f>2659+6100</f>
        <v>8759</v>
      </c>
      <c r="D38" s="9">
        <v>810</v>
      </c>
      <c r="E38" s="9">
        <v>15.39</v>
      </c>
      <c r="F38" s="9">
        <v>0</v>
      </c>
      <c r="G38" s="9">
        <v>0</v>
      </c>
      <c r="H38" s="9">
        <f>D38+F38+'01-07-21'!H38</f>
        <v>3060</v>
      </c>
      <c r="I38" s="9">
        <f>E38+G38+'01-07-21'!I38</f>
        <v>58.13000000000001</v>
      </c>
      <c r="J38" s="9">
        <f t="shared" si="13"/>
        <v>3118.13</v>
      </c>
      <c r="K38" s="9">
        <f t="shared" si="15"/>
        <v>5640.87</v>
      </c>
      <c r="L38" s="9">
        <f t="shared" si="14"/>
        <v>3339.3930952381097</v>
      </c>
      <c r="M38" s="124"/>
    </row>
    <row r="39" spans="1:13" s="106" customFormat="1" ht="11.45" customHeight="1" x14ac:dyDescent="0.25">
      <c r="A39" s="28" t="s">
        <v>11</v>
      </c>
      <c r="B39" s="27" t="s">
        <v>10</v>
      </c>
      <c r="C39" s="9">
        <v>0</v>
      </c>
      <c r="D39" s="10">
        <v>0</v>
      </c>
      <c r="E39" s="10">
        <v>0</v>
      </c>
      <c r="F39" s="10">
        <v>0</v>
      </c>
      <c r="G39" s="10">
        <v>0</v>
      </c>
      <c r="H39" s="9">
        <f>D39+F39+'01-07-21'!H39</f>
        <v>0</v>
      </c>
      <c r="I39" s="9">
        <f>E39+G39+'01-07-21'!I39</f>
        <v>0</v>
      </c>
      <c r="J39" s="9">
        <f t="shared" si="13"/>
        <v>0</v>
      </c>
      <c r="K39" s="9">
        <f t="shared" si="15"/>
        <v>0</v>
      </c>
      <c r="L39" s="9">
        <f t="shared" si="14"/>
        <v>0</v>
      </c>
      <c r="M39" s="126"/>
    </row>
    <row r="40" spans="1:13" s="106" customFormat="1" ht="11.45" customHeight="1" x14ac:dyDescent="0.25">
      <c r="A40" s="25" t="s">
        <v>105</v>
      </c>
      <c r="B40" s="108" t="s">
        <v>69</v>
      </c>
      <c r="C40" s="9">
        <v>1500</v>
      </c>
      <c r="D40" s="9">
        <v>0</v>
      </c>
      <c r="E40" s="9">
        <v>0</v>
      </c>
      <c r="F40" s="9">
        <v>0</v>
      </c>
      <c r="G40" s="9">
        <v>0</v>
      </c>
      <c r="H40" s="9">
        <f>D40+F40+'01-07-21'!H40</f>
        <v>2190.0499999999997</v>
      </c>
      <c r="I40" s="9">
        <f>E40+G40+'01-07-21'!I40</f>
        <v>41.397000000000006</v>
      </c>
      <c r="J40" s="9">
        <f t="shared" si="13"/>
        <v>2231.4469999999997</v>
      </c>
      <c r="K40" s="107">
        <f t="shared" si="15"/>
        <v>-731.44699999999966</v>
      </c>
      <c r="L40" s="9">
        <f t="shared" si="14"/>
        <v>-2378.4674047618932</v>
      </c>
      <c r="M40" s="126"/>
    </row>
    <row r="41" spans="1:13" s="106" customFormat="1" ht="11.45" customHeight="1" x14ac:dyDescent="0.25">
      <c r="A41" s="25" t="s">
        <v>89</v>
      </c>
      <c r="B41" s="108" t="s">
        <v>88</v>
      </c>
      <c r="C41" s="9">
        <v>1200</v>
      </c>
      <c r="D41" s="9">
        <v>0</v>
      </c>
      <c r="E41" s="9">
        <v>0</v>
      </c>
      <c r="F41" s="9">
        <v>0</v>
      </c>
      <c r="G41" s="9">
        <v>0</v>
      </c>
      <c r="H41" s="9">
        <f>D41+F41+'01-07-21'!H41</f>
        <v>273.79999999999995</v>
      </c>
      <c r="I41" s="9">
        <f>E41+G41+'01-07-21'!I41</f>
        <v>5.169999999999999</v>
      </c>
      <c r="J41" s="9">
        <f t="shared" si="13"/>
        <v>278.96999999999997</v>
      </c>
      <c r="K41" s="9">
        <f>C41-J41</f>
        <v>921.03</v>
      </c>
      <c r="L41" s="9">
        <f t="shared" si="14"/>
        <v>715.12357142857286</v>
      </c>
      <c r="M41" s="120"/>
    </row>
    <row r="42" spans="1:13" s="98" customFormat="1" ht="11.45" customHeight="1" x14ac:dyDescent="0.25">
      <c r="A42" s="25" t="s">
        <v>61</v>
      </c>
      <c r="B42" s="108" t="s">
        <v>62</v>
      </c>
      <c r="C42" s="9">
        <v>9800</v>
      </c>
      <c r="D42" s="9">
        <v>135</v>
      </c>
      <c r="E42" s="9">
        <v>2.56</v>
      </c>
      <c r="F42" s="9">
        <v>0</v>
      </c>
      <c r="G42" s="9">
        <v>0</v>
      </c>
      <c r="H42" s="9">
        <f>D42+F42+'01-07-21'!H42</f>
        <v>9027</v>
      </c>
      <c r="I42" s="9">
        <f>E42+G42+'01-07-21'!I42</f>
        <v>409.9</v>
      </c>
      <c r="J42" s="9">
        <f>H42+I42</f>
        <v>9436.9</v>
      </c>
      <c r="K42" s="9">
        <f>C42-J42</f>
        <v>363.10000000000036</v>
      </c>
      <c r="L42" s="9">
        <f t="shared" si="14"/>
        <v>-6602.2309523809054</v>
      </c>
      <c r="M42" s="116"/>
    </row>
    <row r="43" spans="1:13" s="98" customFormat="1" ht="11.45" customHeight="1" x14ac:dyDescent="0.25">
      <c r="A43" s="25" t="s">
        <v>59</v>
      </c>
      <c r="B43" s="108" t="s">
        <v>60</v>
      </c>
      <c r="C43" s="9">
        <f>2453.12+2598.45+16442.41</f>
        <v>21493.98</v>
      </c>
      <c r="D43" s="9">
        <v>171</v>
      </c>
      <c r="E43" s="9">
        <v>3.24</v>
      </c>
      <c r="F43" s="9">
        <v>0</v>
      </c>
      <c r="G43" s="9">
        <v>0</v>
      </c>
      <c r="H43" s="9">
        <f>D43+F43+'01-07-21'!H43</f>
        <v>5142.58</v>
      </c>
      <c r="I43" s="9">
        <f>E43+G43+'01-07-21'!I43</f>
        <v>97.61999999999999</v>
      </c>
      <c r="J43" s="9">
        <f>H43+I43</f>
        <v>5240.2</v>
      </c>
      <c r="K43" s="9">
        <f>C43-J43</f>
        <v>16253.779999999999</v>
      </c>
      <c r="L43" s="9">
        <f t="shared" si="14"/>
        <v>12386.01333333336</v>
      </c>
      <c r="M43" s="116"/>
    </row>
    <row r="44" spans="1:13" s="98" customFormat="1" ht="11.45" customHeight="1" x14ac:dyDescent="0.25">
      <c r="A44" s="25" t="s">
        <v>70</v>
      </c>
      <c r="B44" s="108" t="s">
        <v>71</v>
      </c>
      <c r="C44" s="9">
        <v>5600</v>
      </c>
      <c r="D44" s="9">
        <v>0</v>
      </c>
      <c r="E44" s="9">
        <v>0</v>
      </c>
      <c r="F44" s="9">
        <v>0</v>
      </c>
      <c r="G44" s="9">
        <v>0</v>
      </c>
      <c r="H44" s="9">
        <f>D44+F44+'01-07-21'!H44</f>
        <v>4041.7000000000003</v>
      </c>
      <c r="I44" s="9">
        <f>E44+G44+'01-07-21'!I44</f>
        <v>76.720000000000013</v>
      </c>
      <c r="J44" s="9">
        <f t="shared" ref="J44" si="16">H44+I44</f>
        <v>4118.42</v>
      </c>
      <c r="K44" s="9">
        <f t="shared" ref="K44" si="17">C44-J44</f>
        <v>1481.58</v>
      </c>
      <c r="L44" s="9">
        <f t="shared" si="14"/>
        <v>-1558.2061904761704</v>
      </c>
      <c r="M44" s="116"/>
    </row>
    <row r="45" spans="1:13" s="98" customFormat="1" ht="11.45" customHeight="1" x14ac:dyDescent="0.25">
      <c r="A45" s="25" t="s">
        <v>7</v>
      </c>
      <c r="B45" s="108" t="s">
        <v>6</v>
      </c>
      <c r="C45" s="9">
        <v>1609.56</v>
      </c>
      <c r="D45" s="9">
        <v>150</v>
      </c>
      <c r="E45" s="9">
        <v>2.85</v>
      </c>
      <c r="F45" s="9">
        <v>0</v>
      </c>
      <c r="G45" s="9">
        <v>0</v>
      </c>
      <c r="H45" s="9">
        <f>D45+F45+'01-07-21'!H45</f>
        <v>217.5</v>
      </c>
      <c r="I45" s="9">
        <f>E45+G45+'01-07-21'!I45</f>
        <v>4.13</v>
      </c>
      <c r="J45" s="9">
        <f>H45+I45</f>
        <v>221.63</v>
      </c>
      <c r="K45" s="9">
        <f>C45-J45</f>
        <v>1387.9299999999998</v>
      </c>
      <c r="L45" s="9">
        <f t="shared" si="14"/>
        <v>1224.3459523809533</v>
      </c>
      <c r="M45" s="116"/>
    </row>
    <row r="46" spans="1:13" s="98" customFormat="1" ht="11.45" customHeight="1" x14ac:dyDescent="0.25">
      <c r="A46" s="25" t="s">
        <v>9</v>
      </c>
      <c r="B46" s="108" t="s">
        <v>8</v>
      </c>
      <c r="C46" s="9">
        <v>0</v>
      </c>
      <c r="D46" s="10">
        <v>0</v>
      </c>
      <c r="E46" s="10">
        <v>0</v>
      </c>
      <c r="F46" s="10">
        <v>0</v>
      </c>
      <c r="G46" s="10">
        <v>0</v>
      </c>
      <c r="H46" s="9">
        <f>D46+F46+'01-07-21'!H46</f>
        <v>0</v>
      </c>
      <c r="I46" s="9">
        <f>E46+G46+'01-07-21'!I46</f>
        <v>0</v>
      </c>
      <c r="J46" s="9">
        <f t="shared" si="13"/>
        <v>0</v>
      </c>
      <c r="K46" s="9">
        <f t="shared" si="15"/>
        <v>0</v>
      </c>
      <c r="L46" s="9">
        <f t="shared" si="14"/>
        <v>0</v>
      </c>
      <c r="M46" s="116"/>
    </row>
    <row r="47" spans="1:13" s="98" customFormat="1" ht="11.45" customHeight="1" x14ac:dyDescent="0.25">
      <c r="A47" s="25" t="s">
        <v>63</v>
      </c>
      <c r="B47" s="108" t="s">
        <v>66</v>
      </c>
      <c r="C47" s="9">
        <v>1784.19</v>
      </c>
      <c r="D47" s="10">
        <v>0</v>
      </c>
      <c r="E47" s="10">
        <v>0</v>
      </c>
      <c r="F47" s="10">
        <v>0</v>
      </c>
      <c r="G47" s="10">
        <v>0</v>
      </c>
      <c r="H47" s="9">
        <f>D47+F47+'01-07-21'!H47</f>
        <v>1504</v>
      </c>
      <c r="I47" s="9">
        <f>E47+G47+'01-07-21'!I47</f>
        <v>78.179999999999993</v>
      </c>
      <c r="J47" s="9">
        <f t="shared" si="13"/>
        <v>1582.18</v>
      </c>
      <c r="K47" s="9">
        <f t="shared" si="15"/>
        <v>202.01</v>
      </c>
      <c r="L47" s="9">
        <f t="shared" si="14"/>
        <v>-965.78952380951614</v>
      </c>
      <c r="M47" s="116"/>
    </row>
    <row r="48" spans="1:13" s="98" customFormat="1" ht="11.45" hidden="1" customHeight="1" x14ac:dyDescent="0.25">
      <c r="A48" s="25" t="s">
        <v>64</v>
      </c>
      <c r="B48" s="108" t="s">
        <v>65</v>
      </c>
      <c r="C48" s="97"/>
      <c r="D48" s="10"/>
      <c r="E48" s="10"/>
      <c r="F48" s="10"/>
      <c r="G48" s="10"/>
      <c r="H48" s="9">
        <f>D48+F48+'01-07-21'!H48</f>
        <v>0</v>
      </c>
      <c r="I48" s="9">
        <f>E48+G48+'01-07-21'!I48</f>
        <v>0</v>
      </c>
      <c r="J48" s="9">
        <f t="shared" si="13"/>
        <v>0</v>
      </c>
      <c r="K48" s="9">
        <f t="shared" si="15"/>
        <v>0</v>
      </c>
      <c r="L48" s="9">
        <f t="shared" si="14"/>
        <v>0</v>
      </c>
      <c r="M48" s="116"/>
    </row>
    <row r="49" spans="1:13" s="110" customFormat="1" ht="11.25" customHeight="1" x14ac:dyDescent="0.25">
      <c r="A49" s="25" t="s">
        <v>57</v>
      </c>
      <c r="B49" s="108" t="s">
        <v>58</v>
      </c>
      <c r="C49" s="109">
        <v>5369</v>
      </c>
      <c r="D49" s="109">
        <v>18.82</v>
      </c>
      <c r="E49" s="109">
        <v>0.35</v>
      </c>
      <c r="F49" s="109">
        <v>0</v>
      </c>
      <c r="G49" s="109">
        <v>0</v>
      </c>
      <c r="H49" s="9">
        <f>D49+F49+'01-07-21'!H49</f>
        <v>930.19000000000017</v>
      </c>
      <c r="I49" s="9">
        <f>E49+G49+'01-07-21'!I49</f>
        <v>17.600000000000001</v>
      </c>
      <c r="J49" s="9">
        <f>H49+I49</f>
        <v>947.79000000000019</v>
      </c>
      <c r="K49" s="9">
        <f>C49-J49</f>
        <v>4421.21</v>
      </c>
      <c r="L49" s="9">
        <f t="shared" si="14"/>
        <v>3721.6507142857185</v>
      </c>
      <c r="M49" s="121"/>
    </row>
    <row r="50" spans="1:13" s="110" customFormat="1" ht="11.25" customHeight="1" x14ac:dyDescent="0.25">
      <c r="A50" s="25" t="s">
        <v>95</v>
      </c>
      <c r="B50" s="108" t="s">
        <v>94</v>
      </c>
      <c r="C50" s="109">
        <v>2000</v>
      </c>
      <c r="D50" s="109">
        <v>190</v>
      </c>
      <c r="E50" s="109">
        <v>3.61</v>
      </c>
      <c r="F50" s="109">
        <v>0</v>
      </c>
      <c r="G50" s="109">
        <v>0</v>
      </c>
      <c r="H50" s="9">
        <f>D50+F50+'01-07-21'!H50</f>
        <v>1501.5</v>
      </c>
      <c r="I50" s="9">
        <f>E50+G50+'01-07-21'!I50</f>
        <v>29.33</v>
      </c>
      <c r="J50" s="9">
        <f>H50+I50</f>
        <v>1530.83</v>
      </c>
      <c r="K50" s="9">
        <f>C50-J50</f>
        <v>469.17000000000007</v>
      </c>
      <c r="L50" s="9">
        <f t="shared" si="14"/>
        <v>-660.72833333332574</v>
      </c>
      <c r="M50" s="116"/>
    </row>
    <row r="51" spans="1:13" ht="21.6" customHeight="1" x14ac:dyDescent="0.25">
      <c r="A51" s="153" t="s">
        <v>5</v>
      </c>
      <c r="B51" s="154"/>
      <c r="C51" s="7">
        <f t="shared" ref="C51" si="18">SUM(C33:C49)</f>
        <v>71910.95</v>
      </c>
      <c r="D51" s="7">
        <f t="shared" ref="D51:L51" si="19">SUM(D33:D50)</f>
        <v>1558.3799999999999</v>
      </c>
      <c r="E51" s="7">
        <f t="shared" si="19"/>
        <v>29.58</v>
      </c>
      <c r="F51" s="7">
        <f t="shared" si="19"/>
        <v>816</v>
      </c>
      <c r="G51" s="7">
        <f t="shared" si="19"/>
        <v>42.43</v>
      </c>
      <c r="H51" s="7">
        <f t="shared" si="19"/>
        <v>32597.729999999996</v>
      </c>
      <c r="I51" s="7">
        <f t="shared" si="19"/>
        <v>981.78700000000003</v>
      </c>
      <c r="J51" s="7">
        <f t="shared" si="19"/>
        <v>33579.517</v>
      </c>
      <c r="K51" s="7">
        <f t="shared" si="19"/>
        <v>40331.432999999997</v>
      </c>
      <c r="L51" s="7">
        <f t="shared" si="19"/>
        <v>15546.551404762071</v>
      </c>
    </row>
    <row r="52" spans="1:13" ht="10.9" customHeight="1" x14ac:dyDescent="0.25">
      <c r="A52" s="17"/>
      <c r="B52" s="16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3" ht="10.9" customHeight="1" x14ac:dyDescent="0.25">
      <c r="A53" s="17"/>
      <c r="B53" s="16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3" s="92" customFormat="1" ht="10.9" customHeight="1" x14ac:dyDescent="0.25">
      <c r="A54" s="22" t="s">
        <v>4</v>
      </c>
      <c r="B54" s="29" t="s">
        <v>3</v>
      </c>
      <c r="C54" s="9">
        <v>62583</v>
      </c>
      <c r="D54" s="10">
        <v>583.99</v>
      </c>
      <c r="E54" s="10">
        <v>11.09</v>
      </c>
      <c r="F54" s="10">
        <v>0</v>
      </c>
      <c r="G54" s="10">
        <v>0</v>
      </c>
      <c r="H54" s="9">
        <f>D54+F54+'01-07-21'!H54</f>
        <v>10898.329999999998</v>
      </c>
      <c r="I54" s="9">
        <f>E54+G54+'01-07-21'!I54</f>
        <v>233.63200000000003</v>
      </c>
      <c r="J54" s="9">
        <f t="shared" ref="J54" si="20">H54+I54</f>
        <v>11131.961999999998</v>
      </c>
      <c r="K54" s="9">
        <f>C54-J54</f>
        <v>51451.038</v>
      </c>
      <c r="L54" s="9">
        <f>C54-((J54/15)*26.0714285714285)</f>
        <v>43234.589857142913</v>
      </c>
      <c r="M54" s="115"/>
    </row>
    <row r="55" spans="1:13" ht="21.6" customHeight="1" x14ac:dyDescent="0.25">
      <c r="A55" s="20" t="s">
        <v>2</v>
      </c>
      <c r="B55" s="19"/>
      <c r="C55" s="18">
        <f t="shared" ref="C55:L55" si="21">C54</f>
        <v>62583</v>
      </c>
      <c r="D55" s="18">
        <f t="shared" si="21"/>
        <v>583.99</v>
      </c>
      <c r="E55" s="18">
        <f t="shared" si="21"/>
        <v>11.09</v>
      </c>
      <c r="F55" s="18">
        <f t="shared" si="21"/>
        <v>0</v>
      </c>
      <c r="G55" s="18">
        <f t="shared" si="21"/>
        <v>0</v>
      </c>
      <c r="H55" s="18">
        <f t="shared" si="21"/>
        <v>10898.329999999998</v>
      </c>
      <c r="I55" s="18">
        <f t="shared" si="21"/>
        <v>233.63200000000003</v>
      </c>
      <c r="J55" s="18">
        <f t="shared" si="21"/>
        <v>11131.961999999998</v>
      </c>
      <c r="K55" s="18">
        <f t="shared" si="21"/>
        <v>51451.038</v>
      </c>
      <c r="L55" s="18">
        <f t="shared" si="21"/>
        <v>43234.589857142913</v>
      </c>
    </row>
    <row r="56" spans="1:13" ht="10.9" customHeight="1" x14ac:dyDescent="0.25">
      <c r="A56" s="17"/>
      <c r="B56" s="16"/>
      <c r="C56" s="15"/>
      <c r="D56" s="15"/>
      <c r="E56" s="15"/>
      <c r="F56" s="15"/>
      <c r="G56" s="15"/>
      <c r="H56" s="15"/>
      <c r="I56" s="15"/>
      <c r="J56" s="15"/>
      <c r="K56" s="15"/>
      <c r="L56" s="15"/>
    </row>
    <row r="57" spans="1:13" ht="10.9" customHeight="1" x14ac:dyDescent="0.25">
      <c r="A57" s="17"/>
      <c r="B57" s="16"/>
      <c r="C57" s="15"/>
      <c r="D57" s="15"/>
      <c r="E57" s="15"/>
      <c r="F57" s="15"/>
      <c r="G57" s="15"/>
      <c r="H57" s="15"/>
      <c r="I57" s="15"/>
      <c r="J57" s="15"/>
      <c r="K57" s="15"/>
      <c r="L57" s="15"/>
    </row>
    <row r="58" spans="1:13" s="92" customFormat="1" ht="10.9" customHeight="1" x14ac:dyDescent="0.25">
      <c r="A58" s="13" t="s">
        <v>1</v>
      </c>
      <c r="B58" s="33">
        <v>55180000</v>
      </c>
      <c r="C58" s="9">
        <v>37736</v>
      </c>
      <c r="D58" s="10">
        <v>0</v>
      </c>
      <c r="E58" s="10">
        <v>0</v>
      </c>
      <c r="F58" s="10">
        <v>438.6</v>
      </c>
      <c r="G58" s="10">
        <v>22.8</v>
      </c>
      <c r="H58" s="9">
        <f>D58+F58+'01-07-21'!H58</f>
        <v>6184.2600000000011</v>
      </c>
      <c r="I58" s="9">
        <f>E58+G58+'01-07-21'!I58</f>
        <v>321.48</v>
      </c>
      <c r="J58" s="9">
        <f t="shared" ref="J58" si="22">H58+I58</f>
        <v>6505.7400000000016</v>
      </c>
      <c r="K58" s="9">
        <f>C58-J58</f>
        <v>31230.26</v>
      </c>
      <c r="L58" s="9">
        <f>C58-((J58/15)*26.0714285714285)</f>
        <v>26428.404285714314</v>
      </c>
      <c r="M58" s="115"/>
    </row>
    <row r="59" spans="1:13" s="3" customFormat="1" ht="21.6" customHeight="1" x14ac:dyDescent="0.25">
      <c r="A59" s="153" t="s">
        <v>0</v>
      </c>
      <c r="B59" s="154"/>
      <c r="C59" s="7">
        <f t="shared" ref="C59:L59" si="23">SUM(C58)</f>
        <v>37736</v>
      </c>
      <c r="D59" s="7">
        <f t="shared" si="23"/>
        <v>0</v>
      </c>
      <c r="E59" s="7">
        <f t="shared" si="23"/>
        <v>0</v>
      </c>
      <c r="F59" s="7">
        <f t="shared" si="23"/>
        <v>438.6</v>
      </c>
      <c r="G59" s="7">
        <f t="shared" si="23"/>
        <v>22.8</v>
      </c>
      <c r="H59" s="7">
        <f t="shared" si="23"/>
        <v>6184.2600000000011</v>
      </c>
      <c r="I59" s="7">
        <f t="shared" si="23"/>
        <v>321.48</v>
      </c>
      <c r="J59" s="7">
        <f t="shared" si="23"/>
        <v>6505.7400000000016</v>
      </c>
      <c r="K59" s="7">
        <f t="shared" si="23"/>
        <v>31230.26</v>
      </c>
      <c r="L59" s="7">
        <f t="shared" si="23"/>
        <v>26428.404285714314</v>
      </c>
      <c r="M59" s="122"/>
    </row>
    <row r="60" spans="1:13" s="3" customFormat="1" ht="11.25" customHeight="1" x14ac:dyDescent="0.25">
      <c r="A60" s="6"/>
      <c r="B60" s="5"/>
      <c r="C60" s="4"/>
      <c r="D60" s="4"/>
      <c r="E60" s="4"/>
      <c r="F60" s="4"/>
      <c r="G60" s="4"/>
      <c r="H60" s="4"/>
      <c r="I60" s="4"/>
      <c r="J60" s="4"/>
      <c r="K60" s="4"/>
      <c r="L60" s="4"/>
      <c r="M60" s="122"/>
    </row>
    <row r="61" spans="1:13" s="2" customFormat="1" ht="10.5" customHeight="1" x14ac:dyDescent="0.25">
      <c r="A61" s="160" t="s">
        <v>72</v>
      </c>
      <c r="B61" s="160"/>
      <c r="C61" s="160"/>
      <c r="D61" s="160"/>
      <c r="E61" s="160"/>
      <c r="F61" s="160"/>
      <c r="G61" s="82">
        <v>12000</v>
      </c>
      <c r="M61" s="111"/>
    </row>
    <row r="62" spans="1:13" s="2" customFormat="1" ht="10.5" customHeight="1" x14ac:dyDescent="0.25">
      <c r="A62" s="160" t="s">
        <v>73</v>
      </c>
      <c r="B62" s="160"/>
      <c r="C62" s="160"/>
      <c r="D62" s="160"/>
      <c r="E62" s="160"/>
      <c r="F62" s="160"/>
      <c r="G62" s="82">
        <v>5600</v>
      </c>
      <c r="M62" s="111"/>
    </row>
    <row r="63" spans="1:13" ht="10.5" customHeight="1" x14ac:dyDescent="0.25">
      <c r="A63" s="160" t="s">
        <v>76</v>
      </c>
      <c r="B63" s="160"/>
      <c r="C63" s="160"/>
      <c r="D63" s="160"/>
      <c r="E63" s="160"/>
      <c r="F63" s="160"/>
      <c r="G63" s="82">
        <v>9800</v>
      </c>
    </row>
    <row r="64" spans="1:13" ht="10.5" customHeight="1" x14ac:dyDescent="0.25">
      <c r="A64" s="160" t="s">
        <v>75</v>
      </c>
      <c r="B64" s="160"/>
      <c r="C64" s="160"/>
      <c r="D64" s="160"/>
      <c r="E64" s="160"/>
      <c r="F64" s="160"/>
      <c r="G64" s="82">
        <v>1500</v>
      </c>
    </row>
    <row r="65" spans="1:13" ht="10.5" customHeight="1" x14ac:dyDescent="0.25">
      <c r="A65" s="160" t="s">
        <v>74</v>
      </c>
      <c r="B65" s="160"/>
      <c r="C65" s="160"/>
      <c r="D65" s="160"/>
      <c r="E65" s="160"/>
      <c r="F65" s="160"/>
      <c r="G65" s="82">
        <v>843.44</v>
      </c>
    </row>
    <row r="66" spans="1:13" ht="10.5" customHeight="1" x14ac:dyDescent="0.25">
      <c r="A66" s="160" t="s">
        <v>77</v>
      </c>
      <c r="B66" s="160"/>
      <c r="C66" s="160"/>
      <c r="D66" s="160"/>
      <c r="E66" s="160"/>
      <c r="F66" s="160"/>
      <c r="G66" s="82">
        <v>1784.19</v>
      </c>
    </row>
    <row r="67" spans="1:13" ht="10.5" customHeight="1" x14ac:dyDescent="0.25">
      <c r="A67" s="160" t="s">
        <v>78</v>
      </c>
      <c r="B67" s="160"/>
      <c r="C67" s="160"/>
      <c r="D67" s="160"/>
      <c r="E67" s="160"/>
      <c r="F67" s="160"/>
      <c r="G67" s="82">
        <v>2453.12</v>
      </c>
    </row>
    <row r="68" spans="1:13" s="2" customFormat="1" ht="10.5" customHeight="1" x14ac:dyDescent="0.25">
      <c r="A68" s="160" t="s">
        <v>84</v>
      </c>
      <c r="B68" s="160"/>
      <c r="C68" s="160"/>
      <c r="D68" s="160"/>
      <c r="E68" s="160"/>
      <c r="F68" s="160"/>
      <c r="G68" s="82">
        <v>2598.4499999999998</v>
      </c>
      <c r="M68" s="112"/>
    </row>
    <row r="69" spans="1:13" s="2" customFormat="1" ht="10.5" customHeight="1" x14ac:dyDescent="0.25">
      <c r="A69" s="160" t="s">
        <v>85</v>
      </c>
      <c r="B69" s="160"/>
      <c r="C69" s="160"/>
      <c r="D69" s="160"/>
      <c r="E69" s="160"/>
      <c r="F69" s="160"/>
      <c r="G69" s="82">
        <v>2659</v>
      </c>
      <c r="M69" s="112"/>
    </row>
    <row r="70" spans="1:13" s="2" customFormat="1" ht="10.5" customHeight="1" x14ac:dyDescent="0.25">
      <c r="A70" s="160" t="s">
        <v>90</v>
      </c>
      <c r="B70" s="160"/>
      <c r="C70" s="160"/>
      <c r="D70" s="160"/>
      <c r="E70" s="160"/>
      <c r="F70" s="160"/>
      <c r="G70" s="82">
        <v>1200</v>
      </c>
      <c r="M70" s="112"/>
    </row>
    <row r="71" spans="1:13" s="2" customFormat="1" ht="10.5" customHeight="1" x14ac:dyDescent="0.25">
      <c r="A71" s="160" t="s">
        <v>93</v>
      </c>
      <c r="B71" s="160"/>
      <c r="C71" s="160"/>
      <c r="D71" s="160"/>
      <c r="E71" s="160"/>
      <c r="F71" s="160"/>
      <c r="G71" s="82">
        <v>2109</v>
      </c>
      <c r="M71" s="111"/>
    </row>
    <row r="72" spans="1:13" s="2" customFormat="1" ht="10.5" customHeight="1" x14ac:dyDescent="0.25">
      <c r="A72" s="160" t="s">
        <v>100</v>
      </c>
      <c r="B72" s="160"/>
      <c r="C72" s="160"/>
      <c r="D72" s="160"/>
      <c r="E72" s="160"/>
      <c r="F72" s="160"/>
      <c r="G72" s="82">
        <v>6100</v>
      </c>
      <c r="M72" s="111"/>
    </row>
    <row r="73" spans="1:13" s="2" customFormat="1" ht="10.5" customHeight="1" x14ac:dyDescent="0.25">
      <c r="A73" s="160" t="s">
        <v>102</v>
      </c>
      <c r="B73" s="160"/>
      <c r="C73" s="160"/>
      <c r="D73" s="160"/>
      <c r="E73" s="160"/>
      <c r="F73" s="160"/>
      <c r="G73" s="82">
        <v>5369</v>
      </c>
      <c r="M73" s="112"/>
    </row>
    <row r="74" spans="1:13" ht="10.5" customHeight="1" x14ac:dyDescent="0.25">
      <c r="A74" s="160" t="s">
        <v>106</v>
      </c>
      <c r="B74" s="160"/>
      <c r="C74" s="160"/>
      <c r="D74" s="160"/>
      <c r="E74" s="160"/>
      <c r="F74" s="160"/>
      <c r="G74" s="82">
        <v>16442.41</v>
      </c>
    </row>
    <row r="75" spans="1:13" ht="10.5" customHeight="1" x14ac:dyDescent="0.25">
      <c r="A75" s="160" t="s">
        <v>107</v>
      </c>
      <c r="B75" s="160"/>
      <c r="C75" s="160"/>
      <c r="D75" s="160"/>
      <c r="E75" s="160"/>
      <c r="F75" s="160"/>
      <c r="G75" s="82">
        <v>1609.56</v>
      </c>
    </row>
    <row r="76" spans="1:13" x14ac:dyDescent="0.25">
      <c r="D76" s="111"/>
    </row>
    <row r="77" spans="1:13" x14ac:dyDescent="0.25">
      <c r="D77" s="111"/>
      <c r="E77" s="111"/>
      <c r="F77" s="111"/>
      <c r="G77" s="111"/>
    </row>
    <row r="78" spans="1:13" x14ac:dyDescent="0.25">
      <c r="D78" s="111"/>
      <c r="E78" s="111"/>
      <c r="F78" s="111"/>
      <c r="G78" s="111"/>
    </row>
    <row r="79" spans="1:13" x14ac:dyDescent="0.25">
      <c r="D79" s="111"/>
      <c r="E79" s="111"/>
      <c r="F79" s="111"/>
      <c r="G79" s="111"/>
    </row>
    <row r="80" spans="1:13" x14ac:dyDescent="0.25">
      <c r="D80" s="111"/>
      <c r="E80" s="111"/>
      <c r="F80" s="111"/>
      <c r="G80" s="111"/>
    </row>
    <row r="81" spans="4:7" x14ac:dyDescent="0.25">
      <c r="D81" s="111"/>
      <c r="E81" s="111"/>
      <c r="F81" s="111"/>
      <c r="G81" s="111"/>
    </row>
    <row r="82" spans="4:7" x14ac:dyDescent="0.25">
      <c r="D82" s="111"/>
      <c r="E82" s="111"/>
      <c r="F82" s="111"/>
      <c r="G82" s="111"/>
    </row>
    <row r="83" spans="4:7" x14ac:dyDescent="0.25">
      <c r="D83" s="111"/>
      <c r="E83" s="111"/>
      <c r="F83" s="111"/>
      <c r="G83" s="111"/>
    </row>
  </sheetData>
  <mergeCells count="21">
    <mergeCell ref="A75:F75"/>
    <mergeCell ref="A73:F73"/>
    <mergeCell ref="A74:F74"/>
    <mergeCell ref="A67:F67"/>
    <mergeCell ref="A68:F68"/>
    <mergeCell ref="A69:F69"/>
    <mergeCell ref="A70:F70"/>
    <mergeCell ref="A71:F71"/>
    <mergeCell ref="A72:F72"/>
    <mergeCell ref="A66:F66"/>
    <mergeCell ref="A15:B15"/>
    <mergeCell ref="A21:B21"/>
    <mergeCell ref="A27:B27"/>
    <mergeCell ref="A30:B30"/>
    <mergeCell ref="A51:B51"/>
    <mergeCell ref="A59:B59"/>
    <mergeCell ref="A61:F61"/>
    <mergeCell ref="A62:F62"/>
    <mergeCell ref="A63:F63"/>
    <mergeCell ref="A64:F64"/>
    <mergeCell ref="A65:F65"/>
  </mergeCells>
  <pageMargins left="0.25" right="0" top="0.4" bottom="0" header="0.3" footer="0"/>
  <pageSetup scale="86" fitToWidth="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M83"/>
  <sheetViews>
    <sheetView zoomScale="160" zoomScaleNormal="160" workbookViewId="0">
      <pane ySplit="2" topLeftCell="A21" activePane="bottomLeft" state="frozen"/>
      <selection pane="bottomLeft" activeCell="K37" sqref="K37"/>
    </sheetView>
  </sheetViews>
  <sheetFormatPr defaultColWidth="28" defaultRowHeight="15" x14ac:dyDescent="0.25"/>
  <cols>
    <col min="1" max="1" width="34" style="1" bestFit="1" customWidth="1"/>
    <col min="2" max="2" width="19" style="1" bestFit="1" customWidth="1"/>
    <col min="3" max="3" width="11" style="77" customWidth="1"/>
    <col min="4" max="4" width="8.140625" style="2" bestFit="1" customWidth="1"/>
    <col min="5" max="5" width="6.28515625" style="2" bestFit="1" customWidth="1"/>
    <col min="6" max="6" width="9" style="2" bestFit="1" customWidth="1"/>
    <col min="7" max="7" width="8.7109375" style="2" bestFit="1" customWidth="1"/>
    <col min="8" max="8" width="8.42578125" style="2" bestFit="1" customWidth="1"/>
    <col min="9" max="9" width="9.42578125" style="2" bestFit="1" customWidth="1"/>
    <col min="10" max="10" width="9.7109375" style="2" bestFit="1" customWidth="1"/>
    <col min="11" max="11" width="9.28515625" style="2" bestFit="1" customWidth="1"/>
    <col min="12" max="12" width="13.42578125" style="2" bestFit="1" customWidth="1"/>
    <col min="13" max="13" width="84.5703125" style="112" bestFit="1" customWidth="1"/>
    <col min="14" max="16384" width="28" style="1"/>
  </cols>
  <sheetData>
    <row r="1" spans="1:13" ht="11.25" customHeight="1" x14ac:dyDescent="0.25">
      <c r="A1" s="68"/>
      <c r="B1" s="67"/>
      <c r="C1" s="76"/>
      <c r="D1" s="66"/>
      <c r="E1" s="66"/>
      <c r="F1" s="66"/>
      <c r="G1" s="66"/>
      <c r="H1" s="66"/>
      <c r="I1" s="66"/>
      <c r="J1" s="66"/>
      <c r="K1" s="66"/>
      <c r="L1" s="65" t="s">
        <v>108</v>
      </c>
    </row>
    <row r="2" spans="1:13" s="61" customFormat="1" ht="23.25" x14ac:dyDescent="0.25">
      <c r="A2" s="64" t="s">
        <v>53</v>
      </c>
      <c r="B2" s="64" t="s">
        <v>52</v>
      </c>
      <c r="C2" s="63" t="s">
        <v>51</v>
      </c>
      <c r="D2" s="63" t="s">
        <v>50</v>
      </c>
      <c r="E2" s="63" t="s">
        <v>48</v>
      </c>
      <c r="F2" s="63" t="s">
        <v>49</v>
      </c>
      <c r="G2" s="63" t="s">
        <v>48</v>
      </c>
      <c r="H2" s="62" t="s">
        <v>47</v>
      </c>
      <c r="I2" s="62" t="s">
        <v>46</v>
      </c>
      <c r="J2" s="62" t="s">
        <v>45</v>
      </c>
      <c r="K2" s="62" t="s">
        <v>44</v>
      </c>
      <c r="L2" s="62" t="s">
        <v>43</v>
      </c>
      <c r="M2" s="113"/>
    </row>
    <row r="3" spans="1:13" s="101" customFormat="1" ht="11.25" customHeight="1" x14ac:dyDescent="0.25">
      <c r="A3" s="22" t="s">
        <v>42</v>
      </c>
      <c r="B3" s="29">
        <v>55010300</v>
      </c>
      <c r="C3" s="9">
        <v>0</v>
      </c>
      <c r="D3" s="9">
        <v>0</v>
      </c>
      <c r="E3" s="9">
        <v>0</v>
      </c>
      <c r="F3" s="9">
        <v>0</v>
      </c>
      <c r="G3" s="9">
        <v>0</v>
      </c>
      <c r="H3" s="9">
        <f>D3+F3+'01-21-21'!H3</f>
        <v>0</v>
      </c>
      <c r="I3" s="9">
        <f>E3+G3+'01-21-21'!I3</f>
        <v>0</v>
      </c>
      <c r="J3" s="9">
        <f t="shared" ref="J3:J14" si="0">H3+I3</f>
        <v>0</v>
      </c>
      <c r="K3" s="9">
        <f>C3-J3</f>
        <v>0</v>
      </c>
      <c r="L3" s="9">
        <f>C3-((J3/16)*26.0714285714285)</f>
        <v>0</v>
      </c>
      <c r="M3" s="114"/>
    </row>
    <row r="4" spans="1:13" s="101" customFormat="1" ht="11.25" customHeight="1" x14ac:dyDescent="0.25">
      <c r="A4" s="22" t="s">
        <v>41</v>
      </c>
      <c r="B4" s="29">
        <v>55010500</v>
      </c>
      <c r="C4" s="9">
        <v>3229</v>
      </c>
      <c r="D4" s="10">
        <v>0</v>
      </c>
      <c r="E4" s="10">
        <v>0</v>
      </c>
      <c r="F4" s="10">
        <v>0</v>
      </c>
      <c r="G4" s="10">
        <v>0</v>
      </c>
      <c r="H4" s="9">
        <f>D4+F4+'01-21-21'!H4</f>
        <v>0</v>
      </c>
      <c r="I4" s="9">
        <f>E4+G4+'01-21-21'!I4</f>
        <v>0</v>
      </c>
      <c r="J4" s="9">
        <f t="shared" si="0"/>
        <v>0</v>
      </c>
      <c r="K4" s="9">
        <f t="shared" ref="K4:K14" si="1">C4-J4</f>
        <v>3229</v>
      </c>
      <c r="L4" s="9">
        <f t="shared" ref="L4:L14" si="2">C4-((J4/16)*26.0714285714285)</f>
        <v>3229</v>
      </c>
      <c r="M4" s="114"/>
    </row>
    <row r="5" spans="1:13" s="92" customFormat="1" ht="11.25" customHeight="1" x14ac:dyDescent="0.25">
      <c r="A5" s="58" t="s">
        <v>40</v>
      </c>
      <c r="B5" s="102">
        <v>55020200</v>
      </c>
      <c r="C5" s="103">
        <v>24649</v>
      </c>
      <c r="D5" s="55">
        <v>1017.88</v>
      </c>
      <c r="E5" s="55">
        <v>19.329999999999998</v>
      </c>
      <c r="F5" s="55">
        <v>1343.76</v>
      </c>
      <c r="G5" s="55">
        <v>69.87</v>
      </c>
      <c r="H5" s="9">
        <f>D5+F5+'01-21-21'!H5</f>
        <v>11320.82</v>
      </c>
      <c r="I5" s="9">
        <f>E5+G5+'01-21-21'!I5</f>
        <v>314.95</v>
      </c>
      <c r="J5" s="9">
        <f t="shared" si="0"/>
        <v>11635.77</v>
      </c>
      <c r="K5" s="9">
        <f t="shared" si="1"/>
        <v>13013.23</v>
      </c>
      <c r="L5" s="9">
        <f t="shared" si="2"/>
        <v>5688.9283482143364</v>
      </c>
      <c r="M5" s="115"/>
    </row>
    <row r="6" spans="1:13" s="92" customFormat="1" ht="11.25" customHeight="1" x14ac:dyDescent="0.25">
      <c r="A6" s="22" t="s">
        <v>39</v>
      </c>
      <c r="B6" s="29">
        <v>55020300</v>
      </c>
      <c r="C6" s="9">
        <v>17974</v>
      </c>
      <c r="D6" s="10">
        <v>377.47</v>
      </c>
      <c r="E6" s="10">
        <v>7.15</v>
      </c>
      <c r="F6" s="10">
        <v>875</v>
      </c>
      <c r="G6" s="10">
        <v>45.5</v>
      </c>
      <c r="H6" s="9">
        <f>D6+F6+'01-21-21'!H6</f>
        <v>5821.01</v>
      </c>
      <c r="I6" s="9">
        <f>E6+G6+'01-21-21'!I6</f>
        <v>168.25</v>
      </c>
      <c r="J6" s="9">
        <f t="shared" si="0"/>
        <v>5989.26</v>
      </c>
      <c r="K6" s="9">
        <f t="shared" si="1"/>
        <v>11984.74</v>
      </c>
      <c r="L6" s="9">
        <f t="shared" si="2"/>
        <v>8214.7147321428838</v>
      </c>
      <c r="M6" s="115"/>
    </row>
    <row r="7" spans="1:13" s="92" customFormat="1" ht="11.25" customHeight="1" x14ac:dyDescent="0.25">
      <c r="A7" s="22" t="s">
        <v>38</v>
      </c>
      <c r="B7" s="29">
        <v>55020400</v>
      </c>
      <c r="C7" s="9">
        <v>17974</v>
      </c>
      <c r="D7" s="10">
        <v>346.4</v>
      </c>
      <c r="E7" s="10">
        <v>6.57</v>
      </c>
      <c r="F7" s="10">
        <v>871.88</v>
      </c>
      <c r="G7" s="10">
        <v>45.33</v>
      </c>
      <c r="H7" s="9">
        <f>D7+F7+'01-21-21'!H7</f>
        <v>4441.76</v>
      </c>
      <c r="I7" s="9">
        <f>E7+G7+'01-21-21'!I7</f>
        <v>113.07999999999998</v>
      </c>
      <c r="J7" s="9">
        <f t="shared" si="0"/>
        <v>4554.84</v>
      </c>
      <c r="K7" s="9">
        <f t="shared" si="1"/>
        <v>13419.16</v>
      </c>
      <c r="L7" s="9">
        <f t="shared" si="2"/>
        <v>10552.050892857163</v>
      </c>
      <c r="M7" s="115"/>
    </row>
    <row r="8" spans="1:13" s="92" customFormat="1" ht="11.25" customHeight="1" x14ac:dyDescent="0.25">
      <c r="A8" s="22" t="s">
        <v>92</v>
      </c>
      <c r="B8" s="29">
        <v>55030100</v>
      </c>
      <c r="C8" s="9">
        <v>2109</v>
      </c>
      <c r="D8" s="9">
        <v>0</v>
      </c>
      <c r="E8" s="9">
        <v>0</v>
      </c>
      <c r="F8" s="9">
        <v>0</v>
      </c>
      <c r="G8" s="9">
        <v>0</v>
      </c>
      <c r="H8" s="9">
        <f>D8+F8+'01-21-21'!H8</f>
        <v>841.91000000000008</v>
      </c>
      <c r="I8" s="9">
        <f>E8+G8+'01-21-21'!I8</f>
        <v>15.939999999999998</v>
      </c>
      <c r="J8" s="9">
        <f t="shared" si="0"/>
        <v>857.85000000000014</v>
      </c>
      <c r="K8" s="9">
        <f t="shared" si="1"/>
        <v>1251.1499999999999</v>
      </c>
      <c r="L8" s="9">
        <f t="shared" si="2"/>
        <v>711.16406250000364</v>
      </c>
      <c r="M8" s="115"/>
    </row>
    <row r="9" spans="1:13" s="92" customFormat="1" ht="11.25" customHeight="1" x14ac:dyDescent="0.25">
      <c r="A9" s="54" t="s">
        <v>37</v>
      </c>
      <c r="B9" s="29">
        <v>55030200</v>
      </c>
      <c r="C9" s="9">
        <v>24330</v>
      </c>
      <c r="D9" s="10">
        <v>300.17</v>
      </c>
      <c r="E9" s="10">
        <v>5.67</v>
      </c>
      <c r="F9" s="10">
        <v>0</v>
      </c>
      <c r="G9" s="10">
        <v>0</v>
      </c>
      <c r="H9" s="9">
        <f>D9+F9+'01-21-21'!H9</f>
        <v>5619.1500000000005</v>
      </c>
      <c r="I9" s="9">
        <f>E9+G9+'01-21-21'!I9</f>
        <v>106.95000000000002</v>
      </c>
      <c r="J9" s="9">
        <f t="shared" si="0"/>
        <v>5726.1</v>
      </c>
      <c r="K9" s="9">
        <f t="shared" si="1"/>
        <v>18603.900000000001</v>
      </c>
      <c r="L9" s="9">
        <f t="shared" si="2"/>
        <v>14999.524553571455</v>
      </c>
      <c r="M9" s="123"/>
    </row>
    <row r="10" spans="1:13" s="92" customFormat="1" ht="11.25" customHeight="1" x14ac:dyDescent="0.25">
      <c r="A10" s="22" t="s">
        <v>36</v>
      </c>
      <c r="B10" s="29">
        <v>55050200</v>
      </c>
      <c r="C10" s="9">
        <v>34000</v>
      </c>
      <c r="D10" s="10">
        <v>1688.02</v>
      </c>
      <c r="E10" s="10">
        <v>32.06</v>
      </c>
      <c r="F10" s="10">
        <v>1840.63</v>
      </c>
      <c r="G10" s="10">
        <v>95.71</v>
      </c>
      <c r="H10" s="9">
        <f>D10+F10+'01-21-21'!H10</f>
        <v>19311.11</v>
      </c>
      <c r="I10" s="9">
        <f>E10+G10+'01-21-21'!I10</f>
        <v>512.39</v>
      </c>
      <c r="J10" s="9">
        <f t="shared" si="0"/>
        <v>19823.5</v>
      </c>
      <c r="K10" s="9">
        <f t="shared" si="1"/>
        <v>14176.5</v>
      </c>
      <c r="L10" s="9">
        <f t="shared" si="2"/>
        <v>1698.314732142946</v>
      </c>
      <c r="M10" s="123"/>
    </row>
    <row r="11" spans="1:13" s="92" customFormat="1" ht="11.25" hidden="1" customHeight="1" x14ac:dyDescent="0.25">
      <c r="A11" s="22" t="s">
        <v>80</v>
      </c>
      <c r="B11" s="29">
        <v>55050300</v>
      </c>
      <c r="C11" s="97"/>
      <c r="D11" s="9"/>
      <c r="E11" s="9"/>
      <c r="F11" s="9"/>
      <c r="G11" s="9"/>
      <c r="H11" s="9">
        <f>D11+F11+'01-21-21'!H11</f>
        <v>-310</v>
      </c>
      <c r="I11" s="9">
        <f>E11+G11+'01-21-21'!I11</f>
        <v>-5.8900000000000006</v>
      </c>
      <c r="J11" s="9">
        <f t="shared" si="0"/>
        <v>-315.89</v>
      </c>
      <c r="K11" s="9">
        <f t="shared" si="1"/>
        <v>315.89</v>
      </c>
      <c r="L11" s="9">
        <f t="shared" si="2"/>
        <v>514.73147321428428</v>
      </c>
      <c r="M11" s="116"/>
    </row>
    <row r="12" spans="1:13" s="98" customFormat="1" ht="11.25" customHeight="1" x14ac:dyDescent="0.25">
      <c r="A12" s="22" t="s">
        <v>35</v>
      </c>
      <c r="B12" s="29">
        <v>55070100</v>
      </c>
      <c r="C12" s="9">
        <v>42741</v>
      </c>
      <c r="D12" s="10">
        <v>2491.25</v>
      </c>
      <c r="E12" s="10">
        <v>47.33</v>
      </c>
      <c r="F12" s="10">
        <v>1350</v>
      </c>
      <c r="G12" s="10">
        <v>70.2</v>
      </c>
      <c r="H12" s="9">
        <f>D12+F12+'01-21-21'!H12</f>
        <v>16385.269999999997</v>
      </c>
      <c r="I12" s="9">
        <f>E12+G12+'01-21-21'!I12</f>
        <v>399.70999999999992</v>
      </c>
      <c r="J12" s="9">
        <f t="shared" si="0"/>
        <v>16784.979999999996</v>
      </c>
      <c r="K12" s="9">
        <f t="shared" si="1"/>
        <v>25956.020000000004</v>
      </c>
      <c r="L12" s="9">
        <f t="shared" si="2"/>
        <v>15390.474553571512</v>
      </c>
      <c r="M12" s="124"/>
    </row>
    <row r="13" spans="1:13" s="92" customFormat="1" ht="11.25" customHeight="1" x14ac:dyDescent="0.25">
      <c r="A13" s="22" t="s">
        <v>34</v>
      </c>
      <c r="B13" s="29">
        <v>55080100</v>
      </c>
      <c r="C13" s="9">
        <v>23173</v>
      </c>
      <c r="D13" s="10">
        <v>1303.03</v>
      </c>
      <c r="E13" s="10">
        <v>24.75</v>
      </c>
      <c r="F13" s="10">
        <v>0</v>
      </c>
      <c r="G13" s="10">
        <v>0</v>
      </c>
      <c r="H13" s="9">
        <f>D13+F13+'01-21-21'!H13</f>
        <v>11520.650000000001</v>
      </c>
      <c r="I13" s="9">
        <f>E13+G13+'01-21-21'!I13</f>
        <v>218.80999999999997</v>
      </c>
      <c r="J13" s="9">
        <f t="shared" si="0"/>
        <v>11739.460000000001</v>
      </c>
      <c r="K13" s="9">
        <f t="shared" si="1"/>
        <v>11433.539999999999</v>
      </c>
      <c r="L13" s="9">
        <f t="shared" si="2"/>
        <v>4043.9691964286249</v>
      </c>
      <c r="M13" s="123"/>
    </row>
    <row r="14" spans="1:13" s="99" customFormat="1" ht="11.25" customHeight="1" x14ac:dyDescent="0.25">
      <c r="A14" s="53" t="s">
        <v>33</v>
      </c>
      <c r="B14" s="33">
        <v>55190000</v>
      </c>
      <c r="C14" s="9">
        <v>6000</v>
      </c>
      <c r="D14" s="10">
        <v>151.19999999999999</v>
      </c>
      <c r="E14" s="10">
        <v>2.87</v>
      </c>
      <c r="F14" s="10">
        <v>0</v>
      </c>
      <c r="G14" s="10">
        <v>0</v>
      </c>
      <c r="H14" s="9">
        <f>D14+F14+'01-21-21'!H14</f>
        <v>448.63</v>
      </c>
      <c r="I14" s="9">
        <f>E14+G14+'01-21-21'!I14</f>
        <v>8.48</v>
      </c>
      <c r="J14" s="9">
        <f t="shared" si="0"/>
        <v>457.11</v>
      </c>
      <c r="K14" s="9">
        <f t="shared" si="1"/>
        <v>5542.89</v>
      </c>
      <c r="L14" s="9">
        <f t="shared" si="2"/>
        <v>5255.1555803571446</v>
      </c>
      <c r="M14" s="117"/>
    </row>
    <row r="15" spans="1:13" ht="21.6" customHeight="1" thickBot="1" x14ac:dyDescent="0.3">
      <c r="A15" s="155" t="s">
        <v>32</v>
      </c>
      <c r="B15" s="156"/>
      <c r="C15" s="49">
        <f t="shared" ref="C15:L15" si="3">SUM(C3:C14)</f>
        <v>196179</v>
      </c>
      <c r="D15" s="7">
        <f t="shared" si="3"/>
        <v>7675.42</v>
      </c>
      <c r="E15" s="7">
        <f t="shared" si="3"/>
        <v>145.73000000000002</v>
      </c>
      <c r="F15" s="7">
        <f t="shared" si="3"/>
        <v>6281.27</v>
      </c>
      <c r="G15" s="7">
        <f t="shared" si="3"/>
        <v>326.60999999999996</v>
      </c>
      <c r="H15" s="7">
        <f t="shared" si="3"/>
        <v>75400.310000000012</v>
      </c>
      <c r="I15" s="7">
        <f t="shared" si="3"/>
        <v>1852.6699999999996</v>
      </c>
      <c r="J15" s="49">
        <f t="shared" si="3"/>
        <v>77252.98</v>
      </c>
      <c r="K15" s="49">
        <f t="shared" si="3"/>
        <v>118926.02</v>
      </c>
      <c r="L15" s="7">
        <f t="shared" si="3"/>
        <v>70298.028125000346</v>
      </c>
    </row>
    <row r="16" spans="1:13" ht="11.25" customHeight="1" x14ac:dyDescent="0.25">
      <c r="A16" s="52"/>
      <c r="B16" s="41"/>
      <c r="C16" s="39"/>
      <c r="D16" s="39"/>
      <c r="E16" s="39"/>
      <c r="F16" s="39"/>
      <c r="G16" s="39"/>
      <c r="H16" s="39"/>
      <c r="I16" s="39"/>
      <c r="J16" s="39"/>
      <c r="K16" s="39"/>
      <c r="L16" s="51"/>
    </row>
    <row r="17" spans="1:13" ht="11.25" customHeight="1" thickBot="1" x14ac:dyDescent="0.3">
      <c r="A17" s="38"/>
      <c r="B17" s="37"/>
      <c r="C17" s="35"/>
      <c r="D17" s="35"/>
      <c r="E17" s="35"/>
      <c r="F17" s="35"/>
      <c r="G17" s="35"/>
      <c r="H17" s="35"/>
      <c r="I17" s="35"/>
      <c r="J17" s="35"/>
      <c r="K17" s="35"/>
      <c r="L17" s="50"/>
    </row>
    <row r="18" spans="1:13" s="92" customFormat="1" ht="11.45" customHeight="1" x14ac:dyDescent="0.25">
      <c r="A18" s="13" t="s">
        <v>31</v>
      </c>
      <c r="B18" s="33">
        <v>55090100</v>
      </c>
      <c r="C18" s="9">
        <v>26923</v>
      </c>
      <c r="D18" s="10">
        <v>0</v>
      </c>
      <c r="E18" s="10">
        <v>0</v>
      </c>
      <c r="F18" s="10">
        <v>0</v>
      </c>
      <c r="G18" s="10">
        <v>0</v>
      </c>
      <c r="H18" s="9">
        <f>D18+F18+'01-21-21'!H18</f>
        <v>15135</v>
      </c>
      <c r="I18" s="9">
        <f>E18+G18+'01-21-21'!I18</f>
        <v>786.99999999999989</v>
      </c>
      <c r="J18" s="9">
        <f t="shared" ref="J18:J20" si="4">H18+I18</f>
        <v>15922</v>
      </c>
      <c r="K18" s="9">
        <f>C18-J18</f>
        <v>11001</v>
      </c>
      <c r="L18" s="9">
        <f t="shared" ref="L18:L20" si="5">C18-((J18/16)*26.0714285714285)</f>
        <v>978.66964285721406</v>
      </c>
      <c r="M18" s="115"/>
    </row>
    <row r="19" spans="1:13" s="92" customFormat="1" ht="11.45" customHeight="1" x14ac:dyDescent="0.25">
      <c r="A19" s="22" t="s">
        <v>30</v>
      </c>
      <c r="B19" s="29">
        <v>55160100</v>
      </c>
      <c r="C19" s="9">
        <f>16062-2109</f>
        <v>13953</v>
      </c>
      <c r="D19" s="9">
        <v>0</v>
      </c>
      <c r="E19" s="9">
        <v>0</v>
      </c>
      <c r="F19" s="10">
        <v>0</v>
      </c>
      <c r="G19" s="10">
        <v>0</v>
      </c>
      <c r="H19" s="9">
        <f>D19+F19+'01-21-21'!H19</f>
        <v>0</v>
      </c>
      <c r="I19" s="9">
        <f>E19+G19+'01-21-21'!I19</f>
        <v>0</v>
      </c>
      <c r="J19" s="9">
        <f t="shared" si="4"/>
        <v>0</v>
      </c>
      <c r="K19" s="9">
        <f t="shared" ref="K19:K20" si="6">C19-J19</f>
        <v>13953</v>
      </c>
      <c r="L19" s="9">
        <f t="shared" si="5"/>
        <v>13953</v>
      </c>
      <c r="M19" s="115"/>
    </row>
    <row r="20" spans="1:13" s="92" customFormat="1" ht="11.45" customHeight="1" x14ac:dyDescent="0.25">
      <c r="A20" s="13" t="s">
        <v>29</v>
      </c>
      <c r="B20" s="33">
        <v>55100100</v>
      </c>
      <c r="C20" s="9">
        <v>2026</v>
      </c>
      <c r="D20" s="10">
        <v>0</v>
      </c>
      <c r="E20" s="10">
        <v>0</v>
      </c>
      <c r="F20" s="10">
        <v>0</v>
      </c>
      <c r="G20" s="10">
        <v>0</v>
      </c>
      <c r="H20" s="9">
        <f>D20+F20+'01-21-21'!H20</f>
        <v>936.46</v>
      </c>
      <c r="I20" s="9">
        <f>E20+G20+'01-21-21'!I20</f>
        <v>16.864999999999998</v>
      </c>
      <c r="J20" s="9">
        <f t="shared" si="4"/>
        <v>953.32500000000005</v>
      </c>
      <c r="K20" s="9">
        <f t="shared" si="6"/>
        <v>1072.675</v>
      </c>
      <c r="L20" s="9">
        <f t="shared" si="5"/>
        <v>472.59095982143276</v>
      </c>
      <c r="M20" s="115"/>
    </row>
    <row r="21" spans="1:13" ht="21.6" customHeight="1" thickBot="1" x14ac:dyDescent="0.3">
      <c r="A21" s="155" t="s">
        <v>28</v>
      </c>
      <c r="B21" s="156"/>
      <c r="C21" s="7">
        <f t="shared" ref="C21:L21" si="7">SUM(C18:C20)</f>
        <v>42902</v>
      </c>
      <c r="D21" s="7">
        <f t="shared" si="7"/>
        <v>0</v>
      </c>
      <c r="E21" s="7">
        <f t="shared" si="7"/>
        <v>0</v>
      </c>
      <c r="F21" s="7">
        <f t="shared" si="7"/>
        <v>0</v>
      </c>
      <c r="G21" s="7">
        <f t="shared" si="7"/>
        <v>0</v>
      </c>
      <c r="H21" s="7">
        <f t="shared" si="7"/>
        <v>16071.46</v>
      </c>
      <c r="I21" s="7">
        <f t="shared" si="7"/>
        <v>803.8649999999999</v>
      </c>
      <c r="J21" s="49">
        <f t="shared" si="7"/>
        <v>16875.325000000001</v>
      </c>
      <c r="K21" s="7">
        <f t="shared" si="7"/>
        <v>26026.674999999999</v>
      </c>
      <c r="L21" s="7">
        <f t="shared" si="7"/>
        <v>15404.260602678647</v>
      </c>
    </row>
    <row r="22" spans="1:13" ht="11.25" customHeight="1" x14ac:dyDescent="0.25">
      <c r="A22" s="42"/>
      <c r="B22" s="41"/>
      <c r="C22" s="39"/>
      <c r="D22" s="39"/>
      <c r="E22" s="39"/>
      <c r="F22" s="39"/>
      <c r="G22" s="39"/>
      <c r="H22" s="39"/>
      <c r="I22" s="39"/>
      <c r="J22" s="39"/>
      <c r="K22" s="39"/>
      <c r="L22" s="51"/>
    </row>
    <row r="23" spans="1:13" ht="11.25" customHeight="1" thickBot="1" x14ac:dyDescent="0.3">
      <c r="A23" s="38"/>
      <c r="B23" s="37"/>
      <c r="C23" s="35"/>
      <c r="D23" s="35"/>
      <c r="E23" s="35"/>
      <c r="F23" s="35"/>
      <c r="G23" s="35"/>
      <c r="H23" s="35"/>
      <c r="I23" s="35"/>
      <c r="J23" s="35"/>
      <c r="K23" s="35"/>
      <c r="L23" s="50"/>
    </row>
    <row r="24" spans="1:13" s="99" customFormat="1" ht="11.45" customHeight="1" x14ac:dyDescent="0.25">
      <c r="A24" s="13" t="s">
        <v>27</v>
      </c>
      <c r="B24" s="33">
        <v>55200000</v>
      </c>
      <c r="C24" s="9">
        <v>25000</v>
      </c>
      <c r="D24" s="10">
        <v>525</v>
      </c>
      <c r="E24" s="10">
        <v>9.9700000000000006</v>
      </c>
      <c r="F24" s="10">
        <v>0</v>
      </c>
      <c r="G24" s="10">
        <v>0</v>
      </c>
      <c r="H24" s="9">
        <f>D24+F24+'01-21-21'!H24</f>
        <v>6746.25</v>
      </c>
      <c r="I24" s="9">
        <f>E24+G24+'01-21-21'!I24</f>
        <v>128.09</v>
      </c>
      <c r="J24" s="9">
        <f t="shared" ref="J24:J26" si="8">H24+I24</f>
        <v>6874.34</v>
      </c>
      <c r="K24" s="9">
        <f>C24-J24</f>
        <v>18125.66</v>
      </c>
      <c r="L24" s="9">
        <f t="shared" ref="L24:L26" si="9">C24-((J24/16)*26.0714285714285)</f>
        <v>13798.508482142888</v>
      </c>
      <c r="M24" s="118"/>
    </row>
    <row r="25" spans="1:13" s="99" customFormat="1" ht="11.45" hidden="1" customHeight="1" x14ac:dyDescent="0.25">
      <c r="A25" s="13" t="s">
        <v>26</v>
      </c>
      <c r="B25" s="100" t="s">
        <v>25</v>
      </c>
      <c r="C25" s="46">
        <v>0</v>
      </c>
      <c r="D25" s="45"/>
      <c r="E25" s="45"/>
      <c r="F25" s="45"/>
      <c r="G25" s="45"/>
      <c r="H25" s="9">
        <f>D25+F25+'01-21-21'!H25</f>
        <v>0</v>
      </c>
      <c r="I25" s="9">
        <f>E25+G25+'01-21-21'!I25</f>
        <v>-9.9999999999997868E-3</v>
      </c>
      <c r="J25" s="9">
        <f t="shared" si="8"/>
        <v>-9.9999999999997868E-3</v>
      </c>
      <c r="K25" s="75">
        <f t="shared" ref="K25:K26" si="10">C25-J25</f>
        <v>9.9999999999997868E-3</v>
      </c>
      <c r="L25" s="9">
        <f t="shared" si="9"/>
        <v>1.6294642857142463E-2</v>
      </c>
      <c r="M25" s="118"/>
    </row>
    <row r="26" spans="1:13" s="99" customFormat="1" ht="10.9" customHeight="1" x14ac:dyDescent="0.25">
      <c r="A26" s="28" t="s">
        <v>24</v>
      </c>
      <c r="B26" s="47" t="s">
        <v>23</v>
      </c>
      <c r="C26" s="46">
        <v>0</v>
      </c>
      <c r="D26" s="45">
        <v>0</v>
      </c>
      <c r="E26" s="45">
        <v>0</v>
      </c>
      <c r="F26" s="45">
        <v>0</v>
      </c>
      <c r="G26" s="45">
        <v>0</v>
      </c>
      <c r="H26" s="9">
        <f>D26+F26+'01-21-21'!H26</f>
        <v>0</v>
      </c>
      <c r="I26" s="9">
        <f>E26+G26+'01-21-21'!I26</f>
        <v>0</v>
      </c>
      <c r="J26" s="9">
        <f t="shared" si="8"/>
        <v>0</v>
      </c>
      <c r="K26" s="9">
        <f t="shared" si="10"/>
        <v>0</v>
      </c>
      <c r="L26" s="9">
        <f t="shared" si="9"/>
        <v>0</v>
      </c>
      <c r="M26" s="117"/>
    </row>
    <row r="27" spans="1:13" ht="24.75" customHeight="1" thickBot="1" x14ac:dyDescent="0.3">
      <c r="A27" s="157" t="s">
        <v>22</v>
      </c>
      <c r="B27" s="158"/>
      <c r="C27" s="43">
        <f>SUM(C24:C25)</f>
        <v>25000</v>
      </c>
      <c r="D27" s="43">
        <f t="shared" ref="D27:L27" si="11">SUM(D24:D26)</f>
        <v>525</v>
      </c>
      <c r="E27" s="43">
        <f t="shared" si="11"/>
        <v>9.9700000000000006</v>
      </c>
      <c r="F27" s="43">
        <f t="shared" si="11"/>
        <v>0</v>
      </c>
      <c r="G27" s="43">
        <f t="shared" si="11"/>
        <v>0</v>
      </c>
      <c r="H27" s="43">
        <f t="shared" si="11"/>
        <v>6746.25</v>
      </c>
      <c r="I27" s="43">
        <f t="shared" si="11"/>
        <v>128.08000000000001</v>
      </c>
      <c r="J27" s="43">
        <f t="shared" si="11"/>
        <v>6874.33</v>
      </c>
      <c r="K27" s="43">
        <f t="shared" si="11"/>
        <v>18125.669999999998</v>
      </c>
      <c r="L27" s="34">
        <f t="shared" si="11"/>
        <v>13798.524776785745</v>
      </c>
    </row>
    <row r="28" spans="1:13" ht="11.25" customHeight="1" x14ac:dyDescent="0.25">
      <c r="A28" s="42"/>
      <c r="B28" s="41"/>
      <c r="C28" s="39"/>
      <c r="D28" s="39"/>
      <c r="E28" s="39"/>
      <c r="F28" s="39"/>
      <c r="G28" s="39"/>
      <c r="H28" s="39"/>
      <c r="I28" s="39"/>
      <c r="J28" s="39"/>
      <c r="K28" s="39"/>
      <c r="L28" s="39"/>
    </row>
    <row r="29" spans="1:13" ht="11.25" customHeight="1" thickBot="1" x14ac:dyDescent="0.3">
      <c r="A29" s="38"/>
      <c r="B29" s="37"/>
      <c r="C29" s="35"/>
      <c r="D29" s="35"/>
      <c r="E29" s="35"/>
      <c r="F29" s="35"/>
      <c r="G29" s="35"/>
      <c r="H29" s="35"/>
      <c r="I29" s="35"/>
      <c r="J29" s="35"/>
      <c r="K29" s="35"/>
      <c r="L29" s="35"/>
    </row>
    <row r="30" spans="1:13" ht="21.6" customHeight="1" x14ac:dyDescent="0.25">
      <c r="A30" s="159" t="s">
        <v>21</v>
      </c>
      <c r="B30" s="159"/>
      <c r="C30" s="34">
        <f t="shared" ref="C30:L30" si="12">C15+C21+C27</f>
        <v>264081</v>
      </c>
      <c r="D30" s="34">
        <f t="shared" si="12"/>
        <v>8200.42</v>
      </c>
      <c r="E30" s="34">
        <f t="shared" si="12"/>
        <v>155.70000000000002</v>
      </c>
      <c r="F30" s="34">
        <f t="shared" si="12"/>
        <v>6281.27</v>
      </c>
      <c r="G30" s="34">
        <f t="shared" si="12"/>
        <v>326.60999999999996</v>
      </c>
      <c r="H30" s="34">
        <f t="shared" si="12"/>
        <v>98218.020000000019</v>
      </c>
      <c r="I30" s="34">
        <f t="shared" si="12"/>
        <v>2784.6149999999993</v>
      </c>
      <c r="J30" s="34">
        <f t="shared" si="12"/>
        <v>101002.63499999999</v>
      </c>
      <c r="K30" s="34">
        <f t="shared" si="12"/>
        <v>163078.36499999999</v>
      </c>
      <c r="L30" s="34">
        <f t="shared" si="12"/>
        <v>99500.81350446475</v>
      </c>
    </row>
    <row r="31" spans="1:13" ht="10.9" customHeight="1" x14ac:dyDescent="0.25">
      <c r="A31" s="17"/>
      <c r="B31" s="16"/>
      <c r="C31" s="15"/>
      <c r="D31" s="15"/>
      <c r="E31" s="15"/>
      <c r="F31" s="15"/>
      <c r="G31" s="15"/>
      <c r="H31" s="15"/>
      <c r="I31" s="15"/>
      <c r="J31" s="15"/>
      <c r="K31" s="15"/>
      <c r="L31" s="15"/>
    </row>
    <row r="32" spans="1:13" ht="11.25" customHeight="1" x14ac:dyDescent="0.25">
      <c r="A32" s="17"/>
      <c r="B32" s="16"/>
      <c r="C32" s="15"/>
      <c r="D32" s="15"/>
      <c r="E32" s="15"/>
      <c r="F32" s="15"/>
      <c r="G32" s="15"/>
      <c r="H32" s="15"/>
      <c r="I32" s="15"/>
      <c r="J32" s="15"/>
      <c r="K32" s="15"/>
      <c r="L32" s="15"/>
    </row>
    <row r="33" spans="1:13" s="104" customFormat="1" ht="11.25" customHeight="1" x14ac:dyDescent="0.25">
      <c r="A33" s="28" t="s">
        <v>20</v>
      </c>
      <c r="B33" s="27" t="s">
        <v>19</v>
      </c>
      <c r="C33" s="9">
        <v>0</v>
      </c>
      <c r="D33" s="10">
        <v>0</v>
      </c>
      <c r="E33" s="10">
        <v>0</v>
      </c>
      <c r="F33" s="10">
        <v>0</v>
      </c>
      <c r="G33" s="10">
        <v>0</v>
      </c>
      <c r="H33" s="9">
        <f>D33+F33+'01-21-21'!H33</f>
        <v>0</v>
      </c>
      <c r="I33" s="9">
        <f>E33+G33+'01-21-21'!I33</f>
        <v>0</v>
      </c>
      <c r="J33" s="9">
        <f t="shared" ref="J33:J48" si="13">H33+I33</f>
        <v>0</v>
      </c>
      <c r="K33" s="9">
        <f>C33-J33</f>
        <v>0</v>
      </c>
      <c r="L33" s="9">
        <f t="shared" ref="L33:L50" si="14">C33-((J33/16)*26.0714285714285)</f>
        <v>0</v>
      </c>
      <c r="M33" s="119"/>
    </row>
    <row r="34" spans="1:13" s="104" customFormat="1" ht="12" customHeight="1" x14ac:dyDescent="0.25">
      <c r="A34" s="32" t="s">
        <v>123</v>
      </c>
      <c r="B34" s="33" t="s">
        <v>55</v>
      </c>
      <c r="C34" s="9">
        <f>2795.22+12000</f>
        <v>14795.22</v>
      </c>
      <c r="D34" s="10">
        <v>0</v>
      </c>
      <c r="E34" s="10">
        <v>0</v>
      </c>
      <c r="F34" s="130">
        <v>960</v>
      </c>
      <c r="G34" s="130">
        <v>49.91</v>
      </c>
      <c r="H34" s="9">
        <f>D34+F34+'01-21-21'!H34</f>
        <v>4778</v>
      </c>
      <c r="I34" s="9">
        <f>E34+G34+'01-21-21'!I34</f>
        <v>196.67</v>
      </c>
      <c r="J34" s="9">
        <f t="shared" si="13"/>
        <v>4974.67</v>
      </c>
      <c r="K34" s="9">
        <f>C34-J34</f>
        <v>9820.5499999999993</v>
      </c>
      <c r="L34" s="9">
        <f t="shared" si="14"/>
        <v>6689.172901785736</v>
      </c>
      <c r="M34" s="125"/>
    </row>
    <row r="35" spans="1:13" s="104" customFormat="1" ht="11.25" hidden="1" customHeight="1" x14ac:dyDescent="0.25">
      <c r="A35" s="32" t="s">
        <v>18</v>
      </c>
      <c r="B35" s="27" t="s">
        <v>17</v>
      </c>
      <c r="C35" s="105">
        <v>0</v>
      </c>
      <c r="D35" s="10"/>
      <c r="E35" s="10"/>
      <c r="F35" s="10"/>
      <c r="G35" s="10"/>
      <c r="H35" s="9">
        <f>D35+F35+'01-21-21'!H35</f>
        <v>0</v>
      </c>
      <c r="I35" s="9">
        <f>E35+G35+'01-21-21'!I35</f>
        <v>-1.0000000000005116E-2</v>
      </c>
      <c r="J35" s="9">
        <f t="shared" si="13"/>
        <v>-1.0000000000005116E-2</v>
      </c>
      <c r="K35" s="9">
        <f t="shared" ref="K35:K48" si="15">C35-J35</f>
        <v>1.0000000000005116E-2</v>
      </c>
      <c r="L35" s="9">
        <f t="shared" si="14"/>
        <v>1.6294642857151147E-2</v>
      </c>
      <c r="M35" s="119"/>
    </row>
    <row r="36" spans="1:13" s="106" customFormat="1" ht="11.25" customHeight="1" x14ac:dyDescent="0.25">
      <c r="A36" s="28" t="s">
        <v>16</v>
      </c>
      <c r="B36" s="29" t="s">
        <v>15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f>D36+F36+'01-21-21'!H36</f>
        <v>0</v>
      </c>
      <c r="I36" s="9">
        <f>E36+G36+'01-21-21'!I36</f>
        <v>0</v>
      </c>
      <c r="J36" s="9">
        <f t="shared" si="13"/>
        <v>0</v>
      </c>
      <c r="K36" s="9">
        <f t="shared" si="15"/>
        <v>0</v>
      </c>
      <c r="L36" s="9">
        <f t="shared" si="14"/>
        <v>0</v>
      </c>
      <c r="M36" s="120"/>
    </row>
    <row r="37" spans="1:13" s="106" customFormat="1" ht="11.25" customHeight="1" x14ac:dyDescent="0.25">
      <c r="A37" s="28" t="s">
        <v>97</v>
      </c>
      <c r="B37" s="29" t="s">
        <v>13</v>
      </c>
      <c r="C37" s="9">
        <v>0</v>
      </c>
      <c r="D37" s="130">
        <v>103.4</v>
      </c>
      <c r="E37" s="130">
        <v>1.96</v>
      </c>
      <c r="F37" s="9">
        <v>0</v>
      </c>
      <c r="G37" s="9">
        <v>0</v>
      </c>
      <c r="H37" s="9">
        <f>D37+F37+'01-21-21'!H37</f>
        <v>994.80999999999983</v>
      </c>
      <c r="I37" s="9">
        <f>E37+G37+'01-21-21'!I37</f>
        <v>18.82</v>
      </c>
      <c r="J37" s="9">
        <f t="shared" si="13"/>
        <v>1013.6299999999999</v>
      </c>
      <c r="K37" s="107">
        <f t="shared" si="15"/>
        <v>-1013.6299999999999</v>
      </c>
      <c r="L37" s="9">
        <f t="shared" si="14"/>
        <v>-1651.6738839285665</v>
      </c>
      <c r="M37" s="116"/>
    </row>
    <row r="38" spans="1:13" s="106" customFormat="1" ht="11.25" customHeight="1" x14ac:dyDescent="0.25">
      <c r="A38" s="28" t="s">
        <v>12</v>
      </c>
      <c r="B38" s="29">
        <v>55110100</v>
      </c>
      <c r="C38" s="9">
        <f>2659+6100</f>
        <v>8759</v>
      </c>
      <c r="D38" s="9">
        <v>0</v>
      </c>
      <c r="E38" s="9">
        <v>0</v>
      </c>
      <c r="F38" s="9">
        <v>1200</v>
      </c>
      <c r="G38" s="9">
        <v>62.4</v>
      </c>
      <c r="H38" s="9">
        <f>D38+F38+'01-21-21'!H38</f>
        <v>4260</v>
      </c>
      <c r="I38" s="9">
        <f>E38+G38+'01-21-21'!I38</f>
        <v>120.53</v>
      </c>
      <c r="J38" s="9">
        <f t="shared" si="13"/>
        <v>4380.53</v>
      </c>
      <c r="K38" s="9">
        <f t="shared" si="15"/>
        <v>4378.47</v>
      </c>
      <c r="L38" s="9">
        <f t="shared" si="14"/>
        <v>1621.0828125000207</v>
      </c>
      <c r="M38" s="124"/>
    </row>
    <row r="39" spans="1:13" s="106" customFormat="1" ht="11.45" customHeight="1" x14ac:dyDescent="0.25">
      <c r="A39" s="28" t="s">
        <v>11</v>
      </c>
      <c r="B39" s="27" t="s">
        <v>10</v>
      </c>
      <c r="C39" s="9">
        <v>0</v>
      </c>
      <c r="D39" s="10">
        <v>0</v>
      </c>
      <c r="E39" s="10">
        <v>0</v>
      </c>
      <c r="F39" s="10">
        <v>0</v>
      </c>
      <c r="G39" s="10">
        <v>0</v>
      </c>
      <c r="H39" s="9">
        <f>D39+F39+'01-21-21'!H39</f>
        <v>0</v>
      </c>
      <c r="I39" s="9">
        <f>E39+G39+'01-21-21'!I39</f>
        <v>0</v>
      </c>
      <c r="J39" s="9">
        <f t="shared" si="13"/>
        <v>0</v>
      </c>
      <c r="K39" s="9">
        <f t="shared" si="15"/>
        <v>0</v>
      </c>
      <c r="L39" s="9">
        <f t="shared" si="14"/>
        <v>0</v>
      </c>
      <c r="M39" s="126"/>
    </row>
    <row r="40" spans="1:13" s="106" customFormat="1" ht="11.45" customHeight="1" x14ac:dyDescent="0.25">
      <c r="A40" s="25" t="s">
        <v>105</v>
      </c>
      <c r="B40" s="108" t="s">
        <v>69</v>
      </c>
      <c r="C40" s="9">
        <v>1500</v>
      </c>
      <c r="D40" s="9">
        <f>-1067.7</f>
        <v>-1067.7</v>
      </c>
      <c r="E40" s="9">
        <f>-20.28</f>
        <v>-20.28</v>
      </c>
      <c r="F40" s="9">
        <v>0</v>
      </c>
      <c r="G40" s="9">
        <v>0</v>
      </c>
      <c r="H40" s="9">
        <f>D40+F40+'01-21-21'!H40</f>
        <v>1122.3499999999997</v>
      </c>
      <c r="I40" s="9">
        <f>E40+G40+'01-21-21'!I40</f>
        <v>21.117000000000004</v>
      </c>
      <c r="J40" s="9">
        <f t="shared" si="13"/>
        <v>1143.4669999999996</v>
      </c>
      <c r="K40" s="9">
        <f t="shared" si="15"/>
        <v>356.53300000000036</v>
      </c>
      <c r="L40" s="9">
        <f t="shared" si="14"/>
        <v>-363.23863839285127</v>
      </c>
      <c r="M40" s="126"/>
    </row>
    <row r="41" spans="1:13" s="106" customFormat="1" ht="11.45" customHeight="1" x14ac:dyDescent="0.25">
      <c r="A41" s="25" t="s">
        <v>89</v>
      </c>
      <c r="B41" s="108" t="s">
        <v>88</v>
      </c>
      <c r="C41" s="9">
        <v>1200</v>
      </c>
      <c r="D41" s="9">
        <v>30</v>
      </c>
      <c r="E41" s="9">
        <v>0.56000000000000005</v>
      </c>
      <c r="F41" s="9">
        <v>0</v>
      </c>
      <c r="G41" s="9">
        <v>0</v>
      </c>
      <c r="H41" s="9">
        <f>D41+F41+'01-21-21'!H41</f>
        <v>303.79999999999995</v>
      </c>
      <c r="I41" s="9">
        <f>E41+G41+'01-21-21'!I41</f>
        <v>5.7299999999999986</v>
      </c>
      <c r="J41" s="9">
        <f t="shared" si="13"/>
        <v>309.52999999999997</v>
      </c>
      <c r="K41" s="9">
        <f>C41-J41</f>
        <v>890.47</v>
      </c>
      <c r="L41" s="9">
        <f t="shared" si="14"/>
        <v>695.63191964285852</v>
      </c>
      <c r="M41" s="120"/>
    </row>
    <row r="42" spans="1:13" s="98" customFormat="1" ht="11.45" customHeight="1" x14ac:dyDescent="0.25">
      <c r="A42" s="25" t="s">
        <v>61</v>
      </c>
      <c r="B42" s="108" t="s">
        <v>62</v>
      </c>
      <c r="C42" s="9">
        <v>9800</v>
      </c>
      <c r="D42" s="9">
        <v>234</v>
      </c>
      <c r="E42" s="9">
        <v>4.4400000000000004</v>
      </c>
      <c r="F42" s="9">
        <v>0</v>
      </c>
      <c r="G42" s="9">
        <v>0</v>
      </c>
      <c r="H42" s="9">
        <f>D42+F42+'01-21-21'!H42</f>
        <v>9261</v>
      </c>
      <c r="I42" s="9">
        <f>E42+G42+'01-21-21'!I42</f>
        <v>414.34</v>
      </c>
      <c r="J42" s="9">
        <f>H42+I42</f>
        <v>9675.34</v>
      </c>
      <c r="K42" s="9">
        <f>C42-J42</f>
        <v>124.65999999999985</v>
      </c>
      <c r="L42" s="9">
        <f t="shared" si="14"/>
        <v>-5965.6209821428129</v>
      </c>
      <c r="M42" s="116"/>
    </row>
    <row r="43" spans="1:13" s="98" customFormat="1" ht="11.45" customHeight="1" x14ac:dyDescent="0.25">
      <c r="A43" s="25" t="s">
        <v>59</v>
      </c>
      <c r="B43" s="108" t="s">
        <v>60</v>
      </c>
      <c r="C43" s="9">
        <f>2453.12+2598.45+16442.41</f>
        <v>21493.98</v>
      </c>
      <c r="D43" s="9">
        <v>90</v>
      </c>
      <c r="E43" s="9">
        <v>1.7</v>
      </c>
      <c r="F43" s="9">
        <v>0</v>
      </c>
      <c r="G43" s="9">
        <v>0</v>
      </c>
      <c r="H43" s="9">
        <f>D43+F43+'01-21-21'!H43</f>
        <v>5232.58</v>
      </c>
      <c r="I43" s="9">
        <f>E43+G43+'01-21-21'!I43</f>
        <v>99.32</v>
      </c>
      <c r="J43" s="9">
        <f>H43+I43</f>
        <v>5331.9</v>
      </c>
      <c r="K43" s="9">
        <f>C43-J43</f>
        <v>16162.08</v>
      </c>
      <c r="L43" s="9">
        <f t="shared" si="14"/>
        <v>12805.839375000025</v>
      </c>
      <c r="M43" s="116"/>
    </row>
    <row r="44" spans="1:13" s="98" customFormat="1" ht="11.45" customHeight="1" x14ac:dyDescent="0.25">
      <c r="A44" s="25" t="s">
        <v>70</v>
      </c>
      <c r="B44" s="108" t="s">
        <v>71</v>
      </c>
      <c r="C44" s="9">
        <v>5600</v>
      </c>
      <c r="D44" s="9">
        <v>0</v>
      </c>
      <c r="E44" s="9">
        <v>0</v>
      </c>
      <c r="F44" s="9">
        <v>0</v>
      </c>
      <c r="G44" s="9">
        <v>0</v>
      </c>
      <c r="H44" s="9">
        <f>D44+F44+'01-21-21'!H44</f>
        <v>4041.7000000000003</v>
      </c>
      <c r="I44" s="9">
        <f>E44+G44+'01-21-21'!I44</f>
        <v>76.720000000000013</v>
      </c>
      <c r="J44" s="9">
        <f t="shared" ref="J44" si="16">H44+I44</f>
        <v>4118.42</v>
      </c>
      <c r="K44" s="9">
        <f t="shared" ref="K44" si="17">C44-J44</f>
        <v>1481.58</v>
      </c>
      <c r="L44" s="9">
        <f t="shared" si="14"/>
        <v>-1110.8183035714101</v>
      </c>
      <c r="M44" s="116"/>
    </row>
    <row r="45" spans="1:13" s="98" customFormat="1" ht="11.45" customHeight="1" x14ac:dyDescent="0.25">
      <c r="A45" s="25" t="s">
        <v>7</v>
      </c>
      <c r="B45" s="108" t="s">
        <v>6</v>
      </c>
      <c r="C45" s="9">
        <v>1609.56</v>
      </c>
      <c r="D45" s="9">
        <v>180</v>
      </c>
      <c r="E45" s="9">
        <v>3.41</v>
      </c>
      <c r="F45" s="9">
        <v>0</v>
      </c>
      <c r="G45" s="9">
        <v>0</v>
      </c>
      <c r="H45" s="9">
        <f>D45+F45+'01-21-21'!H45</f>
        <v>397.5</v>
      </c>
      <c r="I45" s="9">
        <f>E45+G45+'01-21-21'!I45</f>
        <v>7.54</v>
      </c>
      <c r="J45" s="9">
        <f>H45+I45</f>
        <v>405.04</v>
      </c>
      <c r="K45" s="9">
        <f>C45-J45</f>
        <v>1204.52</v>
      </c>
      <c r="L45" s="9">
        <f t="shared" si="14"/>
        <v>949.56178571428745</v>
      </c>
      <c r="M45" s="116"/>
    </row>
    <row r="46" spans="1:13" s="98" customFormat="1" ht="11.45" customHeight="1" x14ac:dyDescent="0.25">
      <c r="A46" s="25" t="s">
        <v>9</v>
      </c>
      <c r="B46" s="108" t="s">
        <v>8</v>
      </c>
      <c r="C46" s="9">
        <v>0</v>
      </c>
      <c r="D46" s="10">
        <v>0</v>
      </c>
      <c r="E46" s="10">
        <v>0</v>
      </c>
      <c r="F46" s="10">
        <v>0</v>
      </c>
      <c r="G46" s="10">
        <v>0</v>
      </c>
      <c r="H46" s="9">
        <f>D46+F46+'01-21-21'!H46</f>
        <v>0</v>
      </c>
      <c r="I46" s="9">
        <f>E46+G46+'01-21-21'!I46</f>
        <v>0</v>
      </c>
      <c r="J46" s="9">
        <f t="shared" si="13"/>
        <v>0</v>
      </c>
      <c r="K46" s="9">
        <f t="shared" si="15"/>
        <v>0</v>
      </c>
      <c r="L46" s="9">
        <f t="shared" si="14"/>
        <v>0</v>
      </c>
      <c r="M46" s="116"/>
    </row>
    <row r="47" spans="1:13" s="98" customFormat="1" ht="11.45" customHeight="1" x14ac:dyDescent="0.25">
      <c r="A47" s="25" t="s">
        <v>63</v>
      </c>
      <c r="B47" s="108" t="s">
        <v>66</v>
      </c>
      <c r="C47" s="9">
        <v>1784.19</v>
      </c>
      <c r="D47" s="10">
        <v>0</v>
      </c>
      <c r="E47" s="10">
        <v>0</v>
      </c>
      <c r="F47" s="10">
        <v>0</v>
      </c>
      <c r="G47" s="10">
        <v>0</v>
      </c>
      <c r="H47" s="9">
        <f>D47+F47+'01-21-21'!H47</f>
        <v>1504</v>
      </c>
      <c r="I47" s="9">
        <f>E47+G47+'01-21-21'!I47</f>
        <v>78.179999999999993</v>
      </c>
      <c r="J47" s="9">
        <f t="shared" si="13"/>
        <v>1582.18</v>
      </c>
      <c r="K47" s="9">
        <f t="shared" si="15"/>
        <v>202.01</v>
      </c>
      <c r="L47" s="9">
        <f t="shared" si="14"/>
        <v>-793.91580357142129</v>
      </c>
      <c r="M47" s="116"/>
    </row>
    <row r="48" spans="1:13" s="98" customFormat="1" ht="11.45" hidden="1" customHeight="1" x14ac:dyDescent="0.25">
      <c r="A48" s="25" t="s">
        <v>64</v>
      </c>
      <c r="B48" s="108" t="s">
        <v>65</v>
      </c>
      <c r="C48" s="97"/>
      <c r="D48" s="10"/>
      <c r="E48" s="10"/>
      <c r="F48" s="10"/>
      <c r="G48" s="10"/>
      <c r="H48" s="9">
        <f>D48+F48+'01-21-21'!H48</f>
        <v>0</v>
      </c>
      <c r="I48" s="9">
        <f>E48+G48+'01-21-21'!I48</f>
        <v>0</v>
      </c>
      <c r="J48" s="9">
        <f t="shared" si="13"/>
        <v>0</v>
      </c>
      <c r="K48" s="9">
        <f t="shared" si="15"/>
        <v>0</v>
      </c>
      <c r="L48" s="9">
        <f t="shared" si="14"/>
        <v>0</v>
      </c>
      <c r="M48" s="116"/>
    </row>
    <row r="49" spans="1:13" s="110" customFormat="1" ht="11.25" customHeight="1" x14ac:dyDescent="0.25">
      <c r="A49" s="25" t="s">
        <v>57</v>
      </c>
      <c r="B49" s="108" t="s">
        <v>58</v>
      </c>
      <c r="C49" s="109">
        <v>5369</v>
      </c>
      <c r="D49" s="109">
        <v>52.94</v>
      </c>
      <c r="E49" s="109">
        <v>0.99</v>
      </c>
      <c r="F49" s="109">
        <v>0</v>
      </c>
      <c r="G49" s="109">
        <v>0</v>
      </c>
      <c r="H49" s="9">
        <f>D49+F49+'01-21-21'!H49</f>
        <v>983.13000000000011</v>
      </c>
      <c r="I49" s="9">
        <f>E49+G49+'01-21-21'!I49</f>
        <v>18.59</v>
      </c>
      <c r="J49" s="9">
        <f>H49+I49</f>
        <v>1001.7200000000001</v>
      </c>
      <c r="K49" s="9">
        <f>C49-J49</f>
        <v>4367.28</v>
      </c>
      <c r="L49" s="9">
        <f t="shared" si="14"/>
        <v>3736.7330357142901</v>
      </c>
      <c r="M49" s="121"/>
    </row>
    <row r="50" spans="1:13" s="110" customFormat="1" ht="11.25" customHeight="1" x14ac:dyDescent="0.25">
      <c r="A50" s="25" t="s">
        <v>95</v>
      </c>
      <c r="B50" s="108" t="s">
        <v>94</v>
      </c>
      <c r="C50" s="109">
        <f>2000+1000</f>
        <v>3000</v>
      </c>
      <c r="D50" s="109">
        <v>230</v>
      </c>
      <c r="E50" s="109">
        <v>4.3600000000000003</v>
      </c>
      <c r="F50" s="109">
        <v>0</v>
      </c>
      <c r="G50" s="109">
        <v>0</v>
      </c>
      <c r="H50" s="9">
        <f>D50+F50+'01-21-21'!H50</f>
        <v>1731.5</v>
      </c>
      <c r="I50" s="9">
        <f>E50+G50+'01-21-21'!I50</f>
        <v>33.69</v>
      </c>
      <c r="J50" s="9">
        <f>H50+I50</f>
        <v>1765.19</v>
      </c>
      <c r="K50" s="9">
        <f>C50-J50</f>
        <v>1234.81</v>
      </c>
      <c r="L50" s="9">
        <f t="shared" si="14"/>
        <v>123.68593750000809</v>
      </c>
      <c r="M50" s="116"/>
    </row>
    <row r="51" spans="1:13" ht="21.6" customHeight="1" x14ac:dyDescent="0.25">
      <c r="A51" s="153" t="s">
        <v>5</v>
      </c>
      <c r="B51" s="154"/>
      <c r="C51" s="7">
        <f t="shared" ref="C51" si="18">SUM(C33:C49)</f>
        <v>71910.95</v>
      </c>
      <c r="D51" s="7">
        <f t="shared" ref="D51:L51" si="19">SUM(D33:D50)</f>
        <v>-147.36000000000007</v>
      </c>
      <c r="E51" s="7">
        <f t="shared" si="19"/>
        <v>-2.8600000000000003</v>
      </c>
      <c r="F51" s="7">
        <f t="shared" si="19"/>
        <v>2160</v>
      </c>
      <c r="G51" s="7">
        <f t="shared" si="19"/>
        <v>112.31</v>
      </c>
      <c r="H51" s="7">
        <f t="shared" si="19"/>
        <v>34610.370000000003</v>
      </c>
      <c r="I51" s="7">
        <f t="shared" si="19"/>
        <v>1091.2370000000001</v>
      </c>
      <c r="J51" s="7">
        <f t="shared" si="19"/>
        <v>35701.607000000004</v>
      </c>
      <c r="K51" s="7">
        <f t="shared" si="19"/>
        <v>39209.342999999993</v>
      </c>
      <c r="L51" s="7">
        <f t="shared" si="19"/>
        <v>16736.456450893023</v>
      </c>
    </row>
    <row r="52" spans="1:13" ht="10.9" customHeight="1" x14ac:dyDescent="0.25">
      <c r="A52" s="17"/>
      <c r="B52" s="16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3" ht="10.9" customHeight="1" x14ac:dyDescent="0.25">
      <c r="A53" s="17"/>
      <c r="B53" s="16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3" s="92" customFormat="1" ht="10.9" customHeight="1" x14ac:dyDescent="0.25">
      <c r="A54" s="22" t="s">
        <v>4</v>
      </c>
      <c r="B54" s="29" t="s">
        <v>3</v>
      </c>
      <c r="C54" s="9">
        <v>62583</v>
      </c>
      <c r="D54" s="10">
        <v>1058.95</v>
      </c>
      <c r="E54" s="10">
        <v>20.11</v>
      </c>
      <c r="F54" s="10">
        <v>0</v>
      </c>
      <c r="G54" s="10">
        <v>0</v>
      </c>
      <c r="H54" s="9">
        <f>D54+F54+'01-21-21'!H54</f>
        <v>11957.279999999999</v>
      </c>
      <c r="I54" s="9">
        <f>E54+G54+'01-21-21'!I54</f>
        <v>253.74200000000002</v>
      </c>
      <c r="J54" s="9">
        <f t="shared" ref="J54" si="20">H54+I54</f>
        <v>12211.021999999999</v>
      </c>
      <c r="K54" s="9">
        <f>C54-J54</f>
        <v>50371.978000000003</v>
      </c>
      <c r="L54" s="9">
        <f>C54-((J54/16)*26.0714285714285)</f>
        <v>42685.57575892863</v>
      </c>
      <c r="M54" s="115"/>
    </row>
    <row r="55" spans="1:13" ht="21.6" customHeight="1" x14ac:dyDescent="0.25">
      <c r="A55" s="20" t="s">
        <v>2</v>
      </c>
      <c r="B55" s="19"/>
      <c r="C55" s="18">
        <f t="shared" ref="C55:L55" si="21">C54</f>
        <v>62583</v>
      </c>
      <c r="D55" s="18">
        <f t="shared" si="21"/>
        <v>1058.95</v>
      </c>
      <c r="E55" s="18">
        <f t="shared" si="21"/>
        <v>20.11</v>
      </c>
      <c r="F55" s="18">
        <f t="shared" si="21"/>
        <v>0</v>
      </c>
      <c r="G55" s="18">
        <f t="shared" si="21"/>
        <v>0</v>
      </c>
      <c r="H55" s="18">
        <f t="shared" si="21"/>
        <v>11957.279999999999</v>
      </c>
      <c r="I55" s="18">
        <f t="shared" si="21"/>
        <v>253.74200000000002</v>
      </c>
      <c r="J55" s="18">
        <f t="shared" si="21"/>
        <v>12211.021999999999</v>
      </c>
      <c r="K55" s="18">
        <f t="shared" si="21"/>
        <v>50371.978000000003</v>
      </c>
      <c r="L55" s="18">
        <f t="shared" si="21"/>
        <v>42685.57575892863</v>
      </c>
    </row>
    <row r="56" spans="1:13" ht="10.9" customHeight="1" x14ac:dyDescent="0.25">
      <c r="A56" s="17"/>
      <c r="B56" s="16"/>
      <c r="C56" s="15"/>
      <c r="D56" s="15"/>
      <c r="E56" s="15"/>
      <c r="F56" s="15"/>
      <c r="G56" s="15"/>
      <c r="H56" s="15"/>
      <c r="I56" s="15"/>
      <c r="J56" s="15"/>
      <c r="K56" s="15"/>
      <c r="L56" s="15"/>
    </row>
    <row r="57" spans="1:13" ht="10.9" customHeight="1" x14ac:dyDescent="0.25">
      <c r="A57" s="17"/>
      <c r="B57" s="16"/>
      <c r="C57" s="15"/>
      <c r="D57" s="15"/>
      <c r="E57" s="15"/>
      <c r="F57" s="15"/>
      <c r="G57" s="15"/>
      <c r="H57" s="15"/>
      <c r="I57" s="15"/>
      <c r="J57" s="15"/>
      <c r="K57" s="15"/>
      <c r="L57" s="15"/>
    </row>
    <row r="58" spans="1:13" s="92" customFormat="1" ht="10.9" customHeight="1" x14ac:dyDescent="0.25">
      <c r="A58" s="13" t="s">
        <v>1</v>
      </c>
      <c r="B58" s="33">
        <v>55180000</v>
      </c>
      <c r="C58" s="9">
        <v>37736</v>
      </c>
      <c r="D58" s="10">
        <v>0</v>
      </c>
      <c r="E58" s="10">
        <v>0</v>
      </c>
      <c r="F58" s="10">
        <v>438.6</v>
      </c>
      <c r="G58" s="10">
        <v>22.8</v>
      </c>
      <c r="H58" s="9">
        <f>D58+F58+'01-21-21'!H58</f>
        <v>6622.8600000000015</v>
      </c>
      <c r="I58" s="9">
        <f>E58+G58+'01-21-21'!I58</f>
        <v>344.28000000000003</v>
      </c>
      <c r="J58" s="9">
        <f t="shared" ref="J58" si="22">H58+I58</f>
        <v>6967.1400000000012</v>
      </c>
      <c r="K58" s="9">
        <f>C58-J58</f>
        <v>30768.86</v>
      </c>
      <c r="L58" s="9">
        <f>C58-((J58/16)*26.0714285714285)</f>
        <v>26383.2941964286</v>
      </c>
      <c r="M58" s="115"/>
    </row>
    <row r="59" spans="1:13" s="3" customFormat="1" ht="21.6" customHeight="1" x14ac:dyDescent="0.25">
      <c r="A59" s="153" t="s">
        <v>0</v>
      </c>
      <c r="B59" s="154"/>
      <c r="C59" s="7">
        <f t="shared" ref="C59:L59" si="23">SUM(C58)</f>
        <v>37736</v>
      </c>
      <c r="D59" s="7">
        <f t="shared" si="23"/>
        <v>0</v>
      </c>
      <c r="E59" s="7">
        <f t="shared" si="23"/>
        <v>0</v>
      </c>
      <c r="F59" s="7">
        <f t="shared" si="23"/>
        <v>438.6</v>
      </c>
      <c r="G59" s="7">
        <f t="shared" si="23"/>
        <v>22.8</v>
      </c>
      <c r="H59" s="7">
        <f t="shared" si="23"/>
        <v>6622.8600000000015</v>
      </c>
      <c r="I59" s="7">
        <f t="shared" si="23"/>
        <v>344.28000000000003</v>
      </c>
      <c r="J59" s="7">
        <f t="shared" si="23"/>
        <v>6967.1400000000012</v>
      </c>
      <c r="K59" s="7">
        <f t="shared" si="23"/>
        <v>30768.86</v>
      </c>
      <c r="L59" s="7">
        <f t="shared" si="23"/>
        <v>26383.2941964286</v>
      </c>
      <c r="M59" s="122"/>
    </row>
    <row r="60" spans="1:13" s="3" customFormat="1" ht="11.25" customHeight="1" x14ac:dyDescent="0.25">
      <c r="A60" s="6"/>
      <c r="B60" s="5"/>
      <c r="C60" s="4"/>
      <c r="D60" s="4"/>
      <c r="E60" s="4"/>
      <c r="F60" s="4"/>
      <c r="G60" s="4"/>
      <c r="H60" s="4"/>
      <c r="I60" s="4"/>
      <c r="J60" s="4"/>
      <c r="K60" s="4"/>
      <c r="L60" s="4"/>
      <c r="M60" s="122"/>
    </row>
    <row r="61" spans="1:13" s="2" customFormat="1" ht="10.5" customHeight="1" x14ac:dyDescent="0.25">
      <c r="A61" s="160" t="s">
        <v>72</v>
      </c>
      <c r="B61" s="160"/>
      <c r="C61" s="160"/>
      <c r="D61" s="160"/>
      <c r="E61" s="160"/>
      <c r="F61" s="160"/>
      <c r="G61" s="82">
        <v>12000</v>
      </c>
      <c r="M61" s="111"/>
    </row>
    <row r="62" spans="1:13" s="2" customFormat="1" ht="10.5" customHeight="1" x14ac:dyDescent="0.25">
      <c r="A62" s="160" t="s">
        <v>73</v>
      </c>
      <c r="B62" s="160"/>
      <c r="C62" s="160"/>
      <c r="D62" s="160"/>
      <c r="E62" s="160"/>
      <c r="F62" s="160"/>
      <c r="G62" s="82">
        <v>5600</v>
      </c>
      <c r="M62" s="111"/>
    </row>
    <row r="63" spans="1:13" ht="10.5" customHeight="1" x14ac:dyDescent="0.25">
      <c r="A63" s="160" t="s">
        <v>76</v>
      </c>
      <c r="B63" s="160"/>
      <c r="C63" s="160"/>
      <c r="D63" s="160"/>
      <c r="E63" s="160"/>
      <c r="F63" s="160"/>
      <c r="G63" s="82">
        <v>9800</v>
      </c>
    </row>
    <row r="64" spans="1:13" ht="10.5" customHeight="1" x14ac:dyDescent="0.25">
      <c r="A64" s="160" t="s">
        <v>75</v>
      </c>
      <c r="B64" s="160"/>
      <c r="C64" s="160"/>
      <c r="D64" s="160"/>
      <c r="E64" s="160"/>
      <c r="F64" s="160"/>
      <c r="G64" s="82">
        <v>1500</v>
      </c>
    </row>
    <row r="65" spans="1:13" ht="10.5" customHeight="1" x14ac:dyDescent="0.25">
      <c r="A65" s="160" t="s">
        <v>74</v>
      </c>
      <c r="B65" s="160"/>
      <c r="C65" s="160"/>
      <c r="D65" s="160"/>
      <c r="E65" s="160"/>
      <c r="F65" s="160"/>
      <c r="G65" s="82">
        <v>843.44</v>
      </c>
    </row>
    <row r="66" spans="1:13" ht="10.5" customHeight="1" x14ac:dyDescent="0.25">
      <c r="A66" s="160" t="s">
        <v>77</v>
      </c>
      <c r="B66" s="160"/>
      <c r="C66" s="160"/>
      <c r="D66" s="160"/>
      <c r="E66" s="160"/>
      <c r="F66" s="160"/>
      <c r="G66" s="82">
        <v>1784.19</v>
      </c>
    </row>
    <row r="67" spans="1:13" ht="10.5" customHeight="1" x14ac:dyDescent="0.25">
      <c r="A67" s="160" t="s">
        <v>78</v>
      </c>
      <c r="B67" s="160"/>
      <c r="C67" s="160"/>
      <c r="D67" s="160"/>
      <c r="E67" s="160"/>
      <c r="F67" s="160"/>
      <c r="G67" s="82">
        <v>2453.12</v>
      </c>
    </row>
    <row r="68" spans="1:13" s="2" customFormat="1" ht="10.5" customHeight="1" x14ac:dyDescent="0.25">
      <c r="A68" s="160" t="s">
        <v>84</v>
      </c>
      <c r="B68" s="160"/>
      <c r="C68" s="160"/>
      <c r="D68" s="160"/>
      <c r="E68" s="160"/>
      <c r="F68" s="160"/>
      <c r="G68" s="82">
        <v>2598.4499999999998</v>
      </c>
      <c r="M68" s="112"/>
    </row>
    <row r="69" spans="1:13" s="2" customFormat="1" ht="10.5" customHeight="1" x14ac:dyDescent="0.25">
      <c r="A69" s="160" t="s">
        <v>85</v>
      </c>
      <c r="B69" s="160"/>
      <c r="C69" s="160"/>
      <c r="D69" s="160"/>
      <c r="E69" s="160"/>
      <c r="F69" s="160"/>
      <c r="G69" s="82">
        <v>2659</v>
      </c>
      <c r="M69" s="112"/>
    </row>
    <row r="70" spans="1:13" s="2" customFormat="1" ht="10.5" customHeight="1" x14ac:dyDescent="0.25">
      <c r="A70" s="160" t="s">
        <v>90</v>
      </c>
      <c r="B70" s="160"/>
      <c r="C70" s="160"/>
      <c r="D70" s="160"/>
      <c r="E70" s="160"/>
      <c r="F70" s="160"/>
      <c r="G70" s="82">
        <v>1200</v>
      </c>
      <c r="M70" s="112"/>
    </row>
    <row r="71" spans="1:13" s="2" customFormat="1" ht="10.5" customHeight="1" x14ac:dyDescent="0.25">
      <c r="A71" s="160" t="s">
        <v>93</v>
      </c>
      <c r="B71" s="160"/>
      <c r="C71" s="160"/>
      <c r="D71" s="160"/>
      <c r="E71" s="160"/>
      <c r="F71" s="160"/>
      <c r="G71" s="82">
        <v>2109</v>
      </c>
      <c r="M71" s="111"/>
    </row>
    <row r="72" spans="1:13" s="2" customFormat="1" ht="10.5" customHeight="1" x14ac:dyDescent="0.25">
      <c r="A72" s="160" t="s">
        <v>100</v>
      </c>
      <c r="B72" s="160"/>
      <c r="C72" s="160"/>
      <c r="D72" s="160"/>
      <c r="E72" s="160"/>
      <c r="F72" s="160"/>
      <c r="G72" s="82">
        <v>6100</v>
      </c>
      <c r="M72" s="111"/>
    </row>
    <row r="73" spans="1:13" s="2" customFormat="1" ht="10.5" customHeight="1" x14ac:dyDescent="0.25">
      <c r="A73" s="160" t="s">
        <v>102</v>
      </c>
      <c r="B73" s="160"/>
      <c r="C73" s="160"/>
      <c r="D73" s="160"/>
      <c r="E73" s="160"/>
      <c r="F73" s="160"/>
      <c r="G73" s="82">
        <v>5369</v>
      </c>
      <c r="M73" s="112"/>
    </row>
    <row r="74" spans="1:13" ht="10.5" customHeight="1" x14ac:dyDescent="0.25">
      <c r="A74" s="160" t="s">
        <v>106</v>
      </c>
      <c r="B74" s="160"/>
      <c r="C74" s="160"/>
      <c r="D74" s="160"/>
      <c r="E74" s="160"/>
      <c r="F74" s="160"/>
      <c r="G74" s="82">
        <v>16442.41</v>
      </c>
    </row>
    <row r="75" spans="1:13" ht="10.5" customHeight="1" x14ac:dyDescent="0.25">
      <c r="A75" s="160" t="s">
        <v>107</v>
      </c>
      <c r="B75" s="160"/>
      <c r="C75" s="160"/>
      <c r="D75" s="160"/>
      <c r="E75" s="160"/>
      <c r="F75" s="160"/>
      <c r="G75" s="82">
        <v>1609.56</v>
      </c>
    </row>
    <row r="76" spans="1:13" s="2" customFormat="1" ht="10.5" customHeight="1" x14ac:dyDescent="0.25">
      <c r="A76" s="160" t="s">
        <v>109</v>
      </c>
      <c r="B76" s="160"/>
      <c r="C76" s="160"/>
      <c r="D76" s="160"/>
      <c r="E76" s="160"/>
      <c r="F76" s="160"/>
      <c r="G76" s="82">
        <v>1000</v>
      </c>
      <c r="M76" s="112"/>
    </row>
    <row r="77" spans="1:13" x14ac:dyDescent="0.25">
      <c r="D77" s="111"/>
      <c r="E77" s="111"/>
      <c r="F77" s="111"/>
      <c r="G77" s="111"/>
    </row>
    <row r="78" spans="1:13" x14ac:dyDescent="0.25">
      <c r="D78" s="111"/>
      <c r="E78" s="111"/>
      <c r="F78" s="111"/>
      <c r="G78" s="111"/>
    </row>
    <row r="79" spans="1:13" x14ac:dyDescent="0.25">
      <c r="D79" s="111"/>
      <c r="E79" s="111"/>
      <c r="F79" s="111"/>
      <c r="G79" s="111"/>
    </row>
    <row r="80" spans="1:13" x14ac:dyDescent="0.25">
      <c r="D80" s="111"/>
      <c r="E80" s="111"/>
      <c r="F80" s="111"/>
      <c r="G80" s="111"/>
    </row>
    <row r="81" spans="4:7" x14ac:dyDescent="0.25">
      <c r="D81" s="111"/>
      <c r="E81" s="111"/>
      <c r="F81" s="111"/>
      <c r="G81" s="111"/>
    </row>
    <row r="82" spans="4:7" x14ac:dyDescent="0.25">
      <c r="D82" s="111"/>
      <c r="E82" s="111"/>
      <c r="F82" s="111"/>
      <c r="G82" s="111"/>
    </row>
    <row r="83" spans="4:7" x14ac:dyDescent="0.25">
      <c r="D83" s="111"/>
      <c r="E83" s="111"/>
      <c r="F83" s="111"/>
      <c r="G83" s="111"/>
    </row>
  </sheetData>
  <mergeCells count="22">
    <mergeCell ref="A76:F76"/>
    <mergeCell ref="A66:F66"/>
    <mergeCell ref="A15:B15"/>
    <mergeCell ref="A21:B21"/>
    <mergeCell ref="A27:B27"/>
    <mergeCell ref="A30:B30"/>
    <mergeCell ref="A51:B51"/>
    <mergeCell ref="A59:B59"/>
    <mergeCell ref="A61:F61"/>
    <mergeCell ref="A62:F62"/>
    <mergeCell ref="A63:F63"/>
    <mergeCell ref="A64:F64"/>
    <mergeCell ref="A65:F65"/>
    <mergeCell ref="A73:F73"/>
    <mergeCell ref="A74:F74"/>
    <mergeCell ref="A75:F75"/>
    <mergeCell ref="A72:F72"/>
    <mergeCell ref="A67:F67"/>
    <mergeCell ref="A68:F68"/>
    <mergeCell ref="A69:F69"/>
    <mergeCell ref="A70:F70"/>
    <mergeCell ref="A71:F71"/>
  </mergeCells>
  <pageMargins left="0.25" right="0" top="0.4" bottom="0" header="0.3" footer="0"/>
  <pageSetup scale="86" fitToWidth="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M84"/>
  <sheetViews>
    <sheetView zoomScale="160" zoomScaleNormal="160" workbookViewId="0">
      <pane ySplit="2" topLeftCell="A28" activePane="bottomLeft" state="frozen"/>
      <selection pane="bottomLeft" activeCell="C37" sqref="C37"/>
    </sheetView>
  </sheetViews>
  <sheetFormatPr defaultColWidth="28" defaultRowHeight="15" x14ac:dyDescent="0.25"/>
  <cols>
    <col min="1" max="1" width="34" style="1" bestFit="1" customWidth="1"/>
    <col min="2" max="2" width="19" style="1" bestFit="1" customWidth="1"/>
    <col min="3" max="3" width="11" style="77" customWidth="1"/>
    <col min="4" max="4" width="8.140625" style="2" bestFit="1" customWidth="1"/>
    <col min="5" max="5" width="6.28515625" style="2" bestFit="1" customWidth="1"/>
    <col min="6" max="6" width="9" style="2" bestFit="1" customWidth="1"/>
    <col min="7" max="7" width="8.7109375" style="2" bestFit="1" customWidth="1"/>
    <col min="8" max="8" width="9.28515625" style="2" bestFit="1" customWidth="1"/>
    <col min="9" max="9" width="9.42578125" style="2" bestFit="1" customWidth="1"/>
    <col min="10" max="10" width="9.7109375" style="2" bestFit="1" customWidth="1"/>
    <col min="11" max="11" width="9.28515625" style="2" bestFit="1" customWidth="1"/>
    <col min="12" max="12" width="13.42578125" style="2" bestFit="1" customWidth="1"/>
    <col min="13" max="13" width="84.5703125" style="112" bestFit="1" customWidth="1"/>
    <col min="14" max="16384" width="28" style="1"/>
  </cols>
  <sheetData>
    <row r="1" spans="1:13" ht="11.25" customHeight="1" x14ac:dyDescent="0.25">
      <c r="A1" s="68"/>
      <c r="B1" s="67"/>
      <c r="C1" s="76"/>
      <c r="D1" s="66"/>
      <c r="E1" s="66"/>
      <c r="F1" s="66"/>
      <c r="G1" s="66"/>
      <c r="H1" s="66"/>
      <c r="I1" s="66"/>
      <c r="J1" s="66"/>
      <c r="K1" s="66"/>
      <c r="L1" s="65" t="s">
        <v>110</v>
      </c>
    </row>
    <row r="2" spans="1:13" s="61" customFormat="1" ht="23.25" x14ac:dyDescent="0.25">
      <c r="A2" s="64" t="s">
        <v>53</v>
      </c>
      <c r="B2" s="64" t="s">
        <v>52</v>
      </c>
      <c r="C2" s="63" t="s">
        <v>51</v>
      </c>
      <c r="D2" s="63" t="s">
        <v>50</v>
      </c>
      <c r="E2" s="63" t="s">
        <v>48</v>
      </c>
      <c r="F2" s="63" t="s">
        <v>49</v>
      </c>
      <c r="G2" s="63" t="s">
        <v>48</v>
      </c>
      <c r="H2" s="62" t="s">
        <v>47</v>
      </c>
      <c r="I2" s="62" t="s">
        <v>46</v>
      </c>
      <c r="J2" s="62" t="s">
        <v>45</v>
      </c>
      <c r="K2" s="62" t="s">
        <v>44</v>
      </c>
      <c r="L2" s="62" t="s">
        <v>43</v>
      </c>
      <c r="M2" s="113"/>
    </row>
    <row r="3" spans="1:13" s="101" customFormat="1" ht="11.25" customHeight="1" x14ac:dyDescent="0.25">
      <c r="A3" s="22" t="s">
        <v>42</v>
      </c>
      <c r="B3" s="29">
        <v>55010300</v>
      </c>
      <c r="C3" s="9">
        <v>0</v>
      </c>
      <c r="D3" s="9">
        <v>0</v>
      </c>
      <c r="E3" s="9">
        <v>0</v>
      </c>
      <c r="F3" s="9">
        <v>0</v>
      </c>
      <c r="G3" s="9">
        <v>0</v>
      </c>
      <c r="H3" s="9">
        <f>D3+F3+'02-04-21'!H3</f>
        <v>0</v>
      </c>
      <c r="I3" s="9">
        <f>E3+G3+'02-04-21'!I3</f>
        <v>0</v>
      </c>
      <c r="J3" s="9">
        <f>H3+I3</f>
        <v>0</v>
      </c>
      <c r="K3" s="9">
        <f>C3-J3</f>
        <v>0</v>
      </c>
      <c r="L3" s="9">
        <f>C3-((J3/17)*26.0714285714285)</f>
        <v>0</v>
      </c>
      <c r="M3" s="114"/>
    </row>
    <row r="4" spans="1:13" s="101" customFormat="1" ht="11.25" customHeight="1" x14ac:dyDescent="0.25">
      <c r="A4" s="22" t="s">
        <v>41</v>
      </c>
      <c r="B4" s="29">
        <v>55010500</v>
      </c>
      <c r="C4" s="9">
        <v>3229</v>
      </c>
      <c r="D4" s="10">
        <v>0</v>
      </c>
      <c r="E4" s="10">
        <v>0</v>
      </c>
      <c r="F4" s="10">
        <v>0</v>
      </c>
      <c r="G4" s="10">
        <v>0</v>
      </c>
      <c r="H4" s="9">
        <f>D4+F4+'02-04-21'!H4</f>
        <v>0</v>
      </c>
      <c r="I4" s="9">
        <f>E4+G4+'02-04-21'!I4</f>
        <v>0</v>
      </c>
      <c r="J4" s="9">
        <f t="shared" ref="J4:J14" si="0">H4+I4</f>
        <v>0</v>
      </c>
      <c r="K4" s="9">
        <f t="shared" ref="K4:K14" si="1">C4-J4</f>
        <v>3229</v>
      </c>
      <c r="L4" s="9">
        <f t="shared" ref="L4:L14" si="2">C4-((J4/17)*26.0714285714285)</f>
        <v>3229</v>
      </c>
      <c r="M4" s="114"/>
    </row>
    <row r="5" spans="1:13" s="92" customFormat="1" ht="11.25" customHeight="1" x14ac:dyDescent="0.25">
      <c r="A5" s="58" t="s">
        <v>40</v>
      </c>
      <c r="B5" s="102">
        <v>55020200</v>
      </c>
      <c r="C5" s="103">
        <f>24649+14202</f>
        <v>38851</v>
      </c>
      <c r="D5" s="55">
        <v>1012.77</v>
      </c>
      <c r="E5" s="55">
        <v>19.239999999999998</v>
      </c>
      <c r="F5" s="55">
        <v>1765.63</v>
      </c>
      <c r="G5" s="55">
        <v>91.81</v>
      </c>
      <c r="H5" s="9">
        <f>D5+F5+'02-04-21'!H5</f>
        <v>14099.22</v>
      </c>
      <c r="I5" s="9">
        <f>E5+G5+'02-04-21'!I5</f>
        <v>426</v>
      </c>
      <c r="J5" s="9">
        <f t="shared" si="0"/>
        <v>14525.22</v>
      </c>
      <c r="K5" s="9">
        <f t="shared" si="1"/>
        <v>24325.78</v>
      </c>
      <c r="L5" s="9">
        <f t="shared" si="2"/>
        <v>16574.927310924435</v>
      </c>
      <c r="M5" s="115"/>
    </row>
    <row r="6" spans="1:13" s="92" customFormat="1" ht="11.25" customHeight="1" x14ac:dyDescent="0.25">
      <c r="A6" s="22" t="s">
        <v>39</v>
      </c>
      <c r="B6" s="29">
        <v>55020300</v>
      </c>
      <c r="C6" s="9">
        <f>17974+9665</f>
        <v>27639</v>
      </c>
      <c r="D6" s="10">
        <v>442.43</v>
      </c>
      <c r="E6" s="10">
        <v>8.4</v>
      </c>
      <c r="F6" s="10">
        <v>975</v>
      </c>
      <c r="G6" s="10">
        <v>50.7</v>
      </c>
      <c r="H6" s="9">
        <f>D6+F6+'02-04-21'!H6</f>
        <v>7238.4400000000005</v>
      </c>
      <c r="I6" s="9">
        <f>E6+G6+'02-04-21'!I6</f>
        <v>227.35</v>
      </c>
      <c r="J6" s="9">
        <f t="shared" si="0"/>
        <v>7465.7900000000009</v>
      </c>
      <c r="K6" s="9">
        <f t="shared" si="1"/>
        <v>20173.21</v>
      </c>
      <c r="L6" s="9">
        <f t="shared" si="2"/>
        <v>16189.364075630283</v>
      </c>
      <c r="M6" s="115"/>
    </row>
    <row r="7" spans="1:13" s="92" customFormat="1" ht="11.25" customHeight="1" x14ac:dyDescent="0.25">
      <c r="A7" s="22" t="s">
        <v>38</v>
      </c>
      <c r="B7" s="29">
        <v>55020400</v>
      </c>
      <c r="C7" s="9">
        <f>17974+9665</f>
        <v>27639</v>
      </c>
      <c r="D7" s="10">
        <v>275.17</v>
      </c>
      <c r="E7" s="10">
        <v>5.22</v>
      </c>
      <c r="F7" s="10">
        <v>1062.5</v>
      </c>
      <c r="G7" s="10">
        <v>55.25</v>
      </c>
      <c r="H7" s="9">
        <f>D7+F7+'02-04-21'!H7</f>
        <v>5779.43</v>
      </c>
      <c r="I7" s="9">
        <f>E7+G7+'02-04-21'!I7</f>
        <v>173.54999999999998</v>
      </c>
      <c r="J7" s="9">
        <f t="shared" si="0"/>
        <v>5952.9800000000005</v>
      </c>
      <c r="K7" s="9">
        <f t="shared" si="1"/>
        <v>21686.02</v>
      </c>
      <c r="L7" s="9">
        <f t="shared" si="2"/>
        <v>18509.429831932801</v>
      </c>
      <c r="M7" s="115"/>
    </row>
    <row r="8" spans="1:13" s="92" customFormat="1" ht="11.25" customHeight="1" x14ac:dyDescent="0.25">
      <c r="A8" s="22" t="s">
        <v>92</v>
      </c>
      <c r="B8" s="29">
        <v>55030100</v>
      </c>
      <c r="C8" s="9">
        <v>2109</v>
      </c>
      <c r="D8" s="9">
        <v>0</v>
      </c>
      <c r="E8" s="9">
        <v>0</v>
      </c>
      <c r="F8" s="9">
        <v>0</v>
      </c>
      <c r="G8" s="9">
        <v>0</v>
      </c>
      <c r="H8" s="9">
        <f>D8+F8+'02-04-21'!H8</f>
        <v>841.91000000000008</v>
      </c>
      <c r="I8" s="9">
        <f>E8+G8+'02-04-21'!I8</f>
        <v>15.939999999999998</v>
      </c>
      <c r="J8" s="9">
        <f t="shared" ref="J8" si="3">H8+I8</f>
        <v>857.85000000000014</v>
      </c>
      <c r="K8" s="9">
        <f t="shared" ref="K8" si="4">C8-J8</f>
        <v>1251.1499999999999</v>
      </c>
      <c r="L8" s="9">
        <f t="shared" ref="L8" si="5">C8-((J8/17)*26.0714285714285)</f>
        <v>793.38970588235657</v>
      </c>
      <c r="M8" s="115"/>
    </row>
    <row r="9" spans="1:13" s="92" customFormat="1" ht="11.25" customHeight="1" x14ac:dyDescent="0.25">
      <c r="A9" s="54" t="s">
        <v>37</v>
      </c>
      <c r="B9" s="29">
        <v>55030200</v>
      </c>
      <c r="C9" s="9">
        <v>24330</v>
      </c>
      <c r="D9" s="10">
        <v>290.05</v>
      </c>
      <c r="E9" s="10">
        <v>5.51</v>
      </c>
      <c r="F9" s="10">
        <v>0</v>
      </c>
      <c r="G9" s="10">
        <v>0</v>
      </c>
      <c r="H9" s="9">
        <f>D9+F9+'02-04-21'!H9</f>
        <v>5909.2000000000007</v>
      </c>
      <c r="I9" s="9">
        <f>E9+G9+'02-04-21'!I9</f>
        <v>112.46000000000002</v>
      </c>
      <c r="J9" s="9">
        <f t="shared" si="0"/>
        <v>6021.6600000000008</v>
      </c>
      <c r="K9" s="9">
        <f t="shared" si="1"/>
        <v>18308.34</v>
      </c>
      <c r="L9" s="9">
        <f t="shared" si="2"/>
        <v>15095.101260504227</v>
      </c>
      <c r="M9" s="123"/>
    </row>
    <row r="10" spans="1:13" s="92" customFormat="1" ht="11.25" customHeight="1" x14ac:dyDescent="0.25">
      <c r="A10" s="22" t="s">
        <v>36</v>
      </c>
      <c r="B10" s="29">
        <v>55050200</v>
      </c>
      <c r="C10" s="9">
        <f>34000+21500.29</f>
        <v>55500.29</v>
      </c>
      <c r="D10" s="10">
        <v>1511.18</v>
      </c>
      <c r="E10" s="10">
        <v>28.71</v>
      </c>
      <c r="F10" s="10">
        <v>1975</v>
      </c>
      <c r="G10" s="10">
        <v>102.7</v>
      </c>
      <c r="H10" s="9">
        <f>D10+F10+'02-04-21'!H10</f>
        <v>22797.29</v>
      </c>
      <c r="I10" s="9">
        <f>E10+G10+'02-04-21'!I10</f>
        <v>643.79999999999995</v>
      </c>
      <c r="J10" s="9">
        <f t="shared" si="0"/>
        <v>23441.09</v>
      </c>
      <c r="K10" s="9">
        <f t="shared" si="1"/>
        <v>32059.200000000001</v>
      </c>
      <c r="L10" s="9">
        <f t="shared" si="2"/>
        <v>19550.719201680775</v>
      </c>
      <c r="M10" s="123"/>
    </row>
    <row r="11" spans="1:13" s="92" customFormat="1" ht="11.25" hidden="1" customHeight="1" x14ac:dyDescent="0.25">
      <c r="A11" s="22" t="s">
        <v>80</v>
      </c>
      <c r="B11" s="29">
        <v>55050300</v>
      </c>
      <c r="C11" s="97"/>
      <c r="D11" s="9"/>
      <c r="E11" s="9"/>
      <c r="F11" s="9"/>
      <c r="G11" s="9"/>
      <c r="H11" s="9">
        <f>D11+F11+'02-04-21'!H11</f>
        <v>-310</v>
      </c>
      <c r="I11" s="9">
        <f>E11+G11+'02-04-21'!I11</f>
        <v>-5.8900000000000006</v>
      </c>
      <c r="J11" s="9">
        <f t="shared" si="0"/>
        <v>-315.89</v>
      </c>
      <c r="K11" s="9">
        <f t="shared" si="1"/>
        <v>315.89</v>
      </c>
      <c r="L11" s="9">
        <f t="shared" si="2"/>
        <v>484.45315126050286</v>
      </c>
      <c r="M11" s="116"/>
    </row>
    <row r="12" spans="1:13" s="98" customFormat="1" ht="11.25" customHeight="1" x14ac:dyDescent="0.25">
      <c r="A12" s="22" t="s">
        <v>35</v>
      </c>
      <c r="B12" s="29">
        <v>55070100</v>
      </c>
      <c r="C12" s="9">
        <f>42741+9665</f>
        <v>52406</v>
      </c>
      <c r="D12" s="10">
        <f>1972.47+2064.9</f>
        <v>4037.37</v>
      </c>
      <c r="E12" s="10">
        <f>37.47+39.23</f>
        <v>76.699999999999989</v>
      </c>
      <c r="F12" s="10">
        <v>1940.63</v>
      </c>
      <c r="G12" s="10">
        <v>100.91</v>
      </c>
      <c r="H12" s="9">
        <f>D12+F12+'02-04-21'!H12</f>
        <v>22363.269999999997</v>
      </c>
      <c r="I12" s="9">
        <f>E12+G12+'02-04-21'!I12</f>
        <v>577.31999999999994</v>
      </c>
      <c r="J12" s="9">
        <f t="shared" si="0"/>
        <v>22940.589999999997</v>
      </c>
      <c r="K12" s="9">
        <f t="shared" si="1"/>
        <v>29465.410000000003</v>
      </c>
      <c r="L12" s="9">
        <f t="shared" si="2"/>
        <v>17224.002731092543</v>
      </c>
      <c r="M12" s="124"/>
    </row>
    <row r="13" spans="1:13" s="92" customFormat="1" ht="11.25" customHeight="1" x14ac:dyDescent="0.25">
      <c r="A13" s="22" t="s">
        <v>34</v>
      </c>
      <c r="B13" s="29">
        <v>55080100</v>
      </c>
      <c r="C13" s="9">
        <v>23173</v>
      </c>
      <c r="D13" s="10">
        <v>1624.22</v>
      </c>
      <c r="E13" s="10">
        <v>30.86</v>
      </c>
      <c r="F13" s="10">
        <v>0</v>
      </c>
      <c r="G13" s="10">
        <v>0</v>
      </c>
      <c r="H13" s="9">
        <f>D13+F13+'02-04-21'!H13</f>
        <v>13144.87</v>
      </c>
      <c r="I13" s="9">
        <f>E13+G13+'02-04-21'!I13</f>
        <v>249.66999999999996</v>
      </c>
      <c r="J13" s="9">
        <f t="shared" si="0"/>
        <v>13394.54</v>
      </c>
      <c r="K13" s="9">
        <f t="shared" si="1"/>
        <v>9778.4599999999991</v>
      </c>
      <c r="L13" s="9">
        <f t="shared" si="2"/>
        <v>2630.9533613445928</v>
      </c>
      <c r="M13" s="123"/>
    </row>
    <row r="14" spans="1:13" s="99" customFormat="1" ht="11.25" customHeight="1" x14ac:dyDescent="0.25">
      <c r="A14" s="53" t="s">
        <v>33</v>
      </c>
      <c r="B14" s="33">
        <v>55190000</v>
      </c>
      <c r="C14" s="9">
        <v>6000</v>
      </c>
      <c r="D14" s="10">
        <v>216.8</v>
      </c>
      <c r="E14" s="10">
        <v>4.1100000000000003</v>
      </c>
      <c r="F14" s="10">
        <v>0</v>
      </c>
      <c r="G14" s="10">
        <v>0</v>
      </c>
      <c r="H14" s="9">
        <f>D14+F14+'02-04-21'!H14</f>
        <v>665.43000000000006</v>
      </c>
      <c r="I14" s="9">
        <f>E14+G14+'02-04-21'!I14</f>
        <v>12.59</v>
      </c>
      <c r="J14" s="9">
        <f t="shared" si="0"/>
        <v>678.0200000000001</v>
      </c>
      <c r="K14" s="9">
        <f t="shared" si="1"/>
        <v>5321.98</v>
      </c>
      <c r="L14" s="9">
        <f t="shared" si="2"/>
        <v>4960.1794117647087</v>
      </c>
      <c r="M14" s="117"/>
    </row>
    <row r="15" spans="1:13" ht="21.6" customHeight="1" thickBot="1" x14ac:dyDescent="0.3">
      <c r="A15" s="155" t="s">
        <v>32</v>
      </c>
      <c r="B15" s="156"/>
      <c r="C15" s="49">
        <f t="shared" ref="C15:L15" si="6">SUM(C3:C14)</f>
        <v>260876.29</v>
      </c>
      <c r="D15" s="7">
        <f t="shared" si="6"/>
        <v>9409.99</v>
      </c>
      <c r="E15" s="7">
        <f t="shared" si="6"/>
        <v>178.75</v>
      </c>
      <c r="F15" s="7">
        <f t="shared" si="6"/>
        <v>7718.76</v>
      </c>
      <c r="G15" s="7">
        <f t="shared" si="6"/>
        <v>401.37</v>
      </c>
      <c r="H15" s="7">
        <f t="shared" si="6"/>
        <v>92529.059999999983</v>
      </c>
      <c r="I15" s="7">
        <f t="shared" si="6"/>
        <v>2432.79</v>
      </c>
      <c r="J15" s="49">
        <f t="shared" si="6"/>
        <v>94961.849999999991</v>
      </c>
      <c r="K15" s="49">
        <f t="shared" si="6"/>
        <v>165914.44</v>
      </c>
      <c r="L15" s="7">
        <f t="shared" si="6"/>
        <v>115241.52004201722</v>
      </c>
    </row>
    <row r="16" spans="1:13" ht="11.25" customHeight="1" x14ac:dyDescent="0.25">
      <c r="A16" s="52"/>
      <c r="B16" s="41"/>
      <c r="C16" s="39"/>
      <c r="D16" s="39"/>
      <c r="E16" s="39"/>
      <c r="F16" s="39"/>
      <c r="G16" s="39"/>
      <c r="H16" s="39"/>
      <c r="I16" s="39"/>
      <c r="J16" s="39"/>
      <c r="K16" s="39"/>
      <c r="L16" s="51"/>
    </row>
    <row r="17" spans="1:13" ht="11.25" customHeight="1" thickBot="1" x14ac:dyDescent="0.3">
      <c r="A17" s="38"/>
      <c r="B17" s="37"/>
      <c r="C17" s="35"/>
      <c r="D17" s="35"/>
      <c r="E17" s="35"/>
      <c r="F17" s="35"/>
      <c r="G17" s="35"/>
      <c r="H17" s="35"/>
      <c r="I17" s="35"/>
      <c r="J17" s="35"/>
      <c r="K17" s="35"/>
      <c r="L17" s="50"/>
    </row>
    <row r="18" spans="1:13" s="92" customFormat="1" ht="11.45" customHeight="1" x14ac:dyDescent="0.25">
      <c r="A18" s="13" t="s">
        <v>31</v>
      </c>
      <c r="B18" s="33">
        <v>55090100</v>
      </c>
      <c r="C18" s="9">
        <v>26923</v>
      </c>
      <c r="D18" s="10">
        <v>0</v>
      </c>
      <c r="E18" s="10">
        <v>0</v>
      </c>
      <c r="F18" s="10">
        <f>-1632</f>
        <v>-1632</v>
      </c>
      <c r="G18" s="10">
        <f>-84.86</f>
        <v>-84.86</v>
      </c>
      <c r="H18" s="9">
        <f>D18+F18+'02-04-21'!H18</f>
        <v>13503</v>
      </c>
      <c r="I18" s="9">
        <f>E18+G18+'02-04-21'!I18</f>
        <v>702.13999999999987</v>
      </c>
      <c r="J18" s="9">
        <f t="shared" ref="J18:J20" si="7">H18+I18</f>
        <v>14205.14</v>
      </c>
      <c r="K18" s="9">
        <f>C18-J18</f>
        <v>12717.86</v>
      </c>
      <c r="L18" s="9">
        <f t="shared" ref="L18:L20" si="8">C18-((J18/17)*26.0714285714285)</f>
        <v>5137.8063025210722</v>
      </c>
      <c r="M18" s="115"/>
    </row>
    <row r="19" spans="1:13" s="92" customFormat="1" ht="11.45" customHeight="1" x14ac:dyDescent="0.25">
      <c r="A19" s="22" t="s">
        <v>30</v>
      </c>
      <c r="B19" s="29">
        <v>55160100</v>
      </c>
      <c r="C19" s="9">
        <f>16062-2109</f>
        <v>13953</v>
      </c>
      <c r="D19" s="9">
        <v>0</v>
      </c>
      <c r="E19" s="9">
        <v>0</v>
      </c>
      <c r="F19" s="10">
        <v>0</v>
      </c>
      <c r="G19" s="10">
        <v>0</v>
      </c>
      <c r="H19" s="9">
        <f>D19+F19+'02-04-21'!H19</f>
        <v>0</v>
      </c>
      <c r="I19" s="9">
        <f>E19+G19+'02-04-21'!I19</f>
        <v>0</v>
      </c>
      <c r="J19" s="9">
        <f t="shared" si="7"/>
        <v>0</v>
      </c>
      <c r="K19" s="9">
        <f t="shared" ref="K19:K20" si="9">C19-J19</f>
        <v>13953</v>
      </c>
      <c r="L19" s="9">
        <f t="shared" si="8"/>
        <v>13953</v>
      </c>
      <c r="M19" s="115"/>
    </row>
    <row r="20" spans="1:13" s="92" customFormat="1" ht="11.45" customHeight="1" x14ac:dyDescent="0.25">
      <c r="A20" s="13" t="s">
        <v>29</v>
      </c>
      <c r="B20" s="33">
        <v>55100100</v>
      </c>
      <c r="C20" s="9">
        <v>2026</v>
      </c>
      <c r="D20" s="10">
        <v>0</v>
      </c>
      <c r="E20" s="10">
        <v>0</v>
      </c>
      <c r="F20" s="10">
        <v>0</v>
      </c>
      <c r="G20" s="10">
        <v>0</v>
      </c>
      <c r="H20" s="9">
        <f>D20+F20+'02-04-21'!H20</f>
        <v>936.46</v>
      </c>
      <c r="I20" s="9">
        <f>E20+G20+'02-04-21'!I20</f>
        <v>16.864999999999998</v>
      </c>
      <c r="J20" s="9">
        <f t="shared" si="7"/>
        <v>953.32500000000005</v>
      </c>
      <c r="K20" s="9">
        <f t="shared" si="9"/>
        <v>1072.675</v>
      </c>
      <c r="L20" s="9">
        <f t="shared" si="8"/>
        <v>563.96796218487793</v>
      </c>
      <c r="M20" s="115"/>
    </row>
    <row r="21" spans="1:13" ht="21.6" customHeight="1" thickBot="1" x14ac:dyDescent="0.3">
      <c r="A21" s="155" t="s">
        <v>28</v>
      </c>
      <c r="B21" s="156"/>
      <c r="C21" s="7">
        <f t="shared" ref="C21:L21" si="10">SUM(C18:C20)</f>
        <v>42902</v>
      </c>
      <c r="D21" s="7">
        <f t="shared" si="10"/>
        <v>0</v>
      </c>
      <c r="E21" s="7">
        <f t="shared" si="10"/>
        <v>0</v>
      </c>
      <c r="F21" s="7">
        <f t="shared" si="10"/>
        <v>-1632</v>
      </c>
      <c r="G21" s="7">
        <f t="shared" si="10"/>
        <v>-84.86</v>
      </c>
      <c r="H21" s="7">
        <f t="shared" si="10"/>
        <v>14439.46</v>
      </c>
      <c r="I21" s="7">
        <f t="shared" si="10"/>
        <v>719.00499999999988</v>
      </c>
      <c r="J21" s="49">
        <f t="shared" si="10"/>
        <v>15158.465</v>
      </c>
      <c r="K21" s="7">
        <f t="shared" si="10"/>
        <v>27743.535</v>
      </c>
      <c r="L21" s="7">
        <f t="shared" si="10"/>
        <v>19654.774264705949</v>
      </c>
    </row>
    <row r="22" spans="1:13" ht="11.25" customHeight="1" x14ac:dyDescent="0.25">
      <c r="A22" s="42"/>
      <c r="B22" s="41"/>
      <c r="C22" s="39"/>
      <c r="D22" s="39"/>
      <c r="E22" s="39"/>
      <c r="F22" s="39"/>
      <c r="G22" s="39"/>
      <c r="H22" s="39"/>
      <c r="I22" s="39"/>
      <c r="J22" s="39"/>
      <c r="K22" s="39"/>
      <c r="L22" s="51"/>
    </row>
    <row r="23" spans="1:13" ht="11.25" customHeight="1" thickBot="1" x14ac:dyDescent="0.3">
      <c r="A23" s="38"/>
      <c r="B23" s="37"/>
      <c r="C23" s="35"/>
      <c r="D23" s="35"/>
      <c r="E23" s="35"/>
      <c r="F23" s="35"/>
      <c r="G23" s="35"/>
      <c r="H23" s="35"/>
      <c r="I23" s="35"/>
      <c r="J23" s="35"/>
      <c r="K23" s="35"/>
      <c r="L23" s="50"/>
    </row>
    <row r="24" spans="1:13" s="99" customFormat="1" ht="11.45" customHeight="1" x14ac:dyDescent="0.25">
      <c r="A24" s="13" t="s">
        <v>27</v>
      </c>
      <c r="B24" s="33">
        <v>55200000</v>
      </c>
      <c r="C24" s="9">
        <v>25000</v>
      </c>
      <c r="D24" s="10">
        <v>90</v>
      </c>
      <c r="E24" s="10">
        <v>1.71</v>
      </c>
      <c r="F24" s="10">
        <v>0</v>
      </c>
      <c r="G24" s="10">
        <v>0</v>
      </c>
      <c r="H24" s="9">
        <f>D24+F24+'02-04-21'!H24</f>
        <v>6836.25</v>
      </c>
      <c r="I24" s="9">
        <f>E24+G24+'02-04-21'!I24</f>
        <v>129.80000000000001</v>
      </c>
      <c r="J24" s="9">
        <f t="shared" ref="J24:J26" si="11">H24+I24</f>
        <v>6966.05</v>
      </c>
      <c r="K24" s="9">
        <f>C24-J24</f>
        <v>18033.95</v>
      </c>
      <c r="L24" s="9">
        <f t="shared" ref="L24:L26" si="12">C24-((J24/17)*26.0714285714285)</f>
        <v>14316.772058823561</v>
      </c>
      <c r="M24" s="118"/>
    </row>
    <row r="25" spans="1:13" s="99" customFormat="1" ht="11.45" hidden="1" customHeight="1" x14ac:dyDescent="0.25">
      <c r="A25" s="13" t="s">
        <v>26</v>
      </c>
      <c r="B25" s="100" t="s">
        <v>25</v>
      </c>
      <c r="C25" s="46">
        <v>0</v>
      </c>
      <c r="D25" s="45"/>
      <c r="E25" s="45"/>
      <c r="F25" s="45"/>
      <c r="G25" s="45"/>
      <c r="H25" s="9">
        <f>D25+F25+'02-04-21'!H25</f>
        <v>0</v>
      </c>
      <c r="I25" s="9">
        <f>E25+G25+'02-04-21'!I25</f>
        <v>-9.9999999999997868E-3</v>
      </c>
      <c r="J25" s="9">
        <f t="shared" si="11"/>
        <v>-9.9999999999997868E-3</v>
      </c>
      <c r="K25" s="75">
        <f t="shared" ref="K25:K26" si="13">C25-J25</f>
        <v>9.9999999999997868E-3</v>
      </c>
      <c r="L25" s="9">
        <f t="shared" si="12"/>
        <v>1.5336134453781142E-2</v>
      </c>
      <c r="M25" s="118"/>
    </row>
    <row r="26" spans="1:13" s="99" customFormat="1" ht="10.9" customHeight="1" x14ac:dyDescent="0.25">
      <c r="A26" s="28" t="s">
        <v>24</v>
      </c>
      <c r="B26" s="47" t="s">
        <v>23</v>
      </c>
      <c r="C26" s="46">
        <v>0</v>
      </c>
      <c r="D26" s="45">
        <v>0</v>
      </c>
      <c r="E26" s="45">
        <v>0</v>
      </c>
      <c r="F26" s="45">
        <v>0</v>
      </c>
      <c r="G26" s="45">
        <v>0</v>
      </c>
      <c r="H26" s="9">
        <f>D26+F26+'02-04-21'!H26</f>
        <v>0</v>
      </c>
      <c r="I26" s="9">
        <f>E26+G26+'02-04-21'!I26</f>
        <v>0</v>
      </c>
      <c r="J26" s="9">
        <f t="shared" si="11"/>
        <v>0</v>
      </c>
      <c r="K26" s="9">
        <f t="shared" si="13"/>
        <v>0</v>
      </c>
      <c r="L26" s="9">
        <f t="shared" si="12"/>
        <v>0</v>
      </c>
      <c r="M26" s="117"/>
    </row>
    <row r="27" spans="1:13" ht="24.75" customHeight="1" thickBot="1" x14ac:dyDescent="0.3">
      <c r="A27" s="157" t="s">
        <v>22</v>
      </c>
      <c r="B27" s="158"/>
      <c r="C27" s="43">
        <f>SUM(C24:C25)</f>
        <v>25000</v>
      </c>
      <c r="D27" s="43">
        <f t="shared" ref="D27:L27" si="14">SUM(D24:D26)</f>
        <v>90</v>
      </c>
      <c r="E27" s="43">
        <f t="shared" si="14"/>
        <v>1.71</v>
      </c>
      <c r="F27" s="43">
        <f t="shared" si="14"/>
        <v>0</v>
      </c>
      <c r="G27" s="43">
        <f t="shared" si="14"/>
        <v>0</v>
      </c>
      <c r="H27" s="43">
        <f t="shared" si="14"/>
        <v>6836.25</v>
      </c>
      <c r="I27" s="43">
        <f t="shared" si="14"/>
        <v>129.79000000000002</v>
      </c>
      <c r="J27" s="43">
        <f t="shared" si="14"/>
        <v>6966.04</v>
      </c>
      <c r="K27" s="43">
        <f t="shared" si="14"/>
        <v>18033.96</v>
      </c>
      <c r="L27" s="34">
        <f t="shared" si="14"/>
        <v>14316.787394958015</v>
      </c>
    </row>
    <row r="28" spans="1:13" ht="11.25" customHeight="1" x14ac:dyDescent="0.25">
      <c r="A28" s="42"/>
      <c r="B28" s="41"/>
      <c r="C28" s="39"/>
      <c r="D28" s="39"/>
      <c r="E28" s="39"/>
      <c r="F28" s="39"/>
      <c r="G28" s="39"/>
      <c r="H28" s="39"/>
      <c r="I28" s="39"/>
      <c r="J28" s="39"/>
      <c r="K28" s="39"/>
      <c r="L28" s="39"/>
    </row>
    <row r="29" spans="1:13" ht="11.25" customHeight="1" thickBot="1" x14ac:dyDescent="0.3">
      <c r="A29" s="38"/>
      <c r="B29" s="37"/>
      <c r="C29" s="35"/>
      <c r="D29" s="35"/>
      <c r="E29" s="35"/>
      <c r="F29" s="35"/>
      <c r="G29" s="35"/>
      <c r="H29" s="35"/>
      <c r="I29" s="35"/>
      <c r="J29" s="35"/>
      <c r="K29" s="35"/>
      <c r="L29" s="35"/>
    </row>
    <row r="30" spans="1:13" ht="21.6" customHeight="1" x14ac:dyDescent="0.25">
      <c r="A30" s="159" t="s">
        <v>21</v>
      </c>
      <c r="B30" s="159"/>
      <c r="C30" s="34">
        <f>C15+C21+C27</f>
        <v>328778.29000000004</v>
      </c>
      <c r="D30" s="34">
        <f t="shared" ref="D30:L30" si="15">D15+D21+D27</f>
        <v>9499.99</v>
      </c>
      <c r="E30" s="34">
        <f t="shared" si="15"/>
        <v>180.46</v>
      </c>
      <c r="F30" s="34">
        <f t="shared" si="15"/>
        <v>6086.76</v>
      </c>
      <c r="G30" s="34">
        <f t="shared" si="15"/>
        <v>316.51</v>
      </c>
      <c r="H30" s="34">
        <f t="shared" si="15"/>
        <v>113804.76999999999</v>
      </c>
      <c r="I30" s="34">
        <f t="shared" si="15"/>
        <v>3281.585</v>
      </c>
      <c r="J30" s="34">
        <f t="shared" si="15"/>
        <v>117086.35499999998</v>
      </c>
      <c r="K30" s="34">
        <f t="shared" si="15"/>
        <v>211691.935</v>
      </c>
      <c r="L30" s="34">
        <f t="shared" si="15"/>
        <v>149213.08170168119</v>
      </c>
    </row>
    <row r="31" spans="1:13" ht="10.9" customHeight="1" x14ac:dyDescent="0.25">
      <c r="A31" s="17"/>
      <c r="B31" s="16"/>
      <c r="C31" s="15"/>
      <c r="D31" s="15"/>
      <c r="E31" s="15"/>
      <c r="F31" s="15"/>
      <c r="G31" s="15"/>
      <c r="H31" s="15"/>
      <c r="I31" s="15"/>
      <c r="J31" s="15"/>
      <c r="K31" s="15"/>
      <c r="L31" s="15"/>
    </row>
    <row r="32" spans="1:13" ht="11.25" customHeight="1" x14ac:dyDescent="0.25">
      <c r="A32" s="17"/>
      <c r="B32" s="16"/>
      <c r="C32" s="15"/>
      <c r="D32" s="15"/>
      <c r="E32" s="15"/>
      <c r="F32" s="15"/>
      <c r="G32" s="15"/>
      <c r="H32" s="15"/>
      <c r="I32" s="15"/>
      <c r="J32" s="15"/>
      <c r="K32" s="15"/>
      <c r="L32" s="15"/>
    </row>
    <row r="33" spans="1:13" s="104" customFormat="1" ht="11.25" customHeight="1" x14ac:dyDescent="0.25">
      <c r="A33" s="28" t="s">
        <v>20</v>
      </c>
      <c r="B33" s="27" t="s">
        <v>19</v>
      </c>
      <c r="C33" s="9">
        <v>0</v>
      </c>
      <c r="D33" s="10">
        <v>0</v>
      </c>
      <c r="E33" s="10">
        <v>0</v>
      </c>
      <c r="F33" s="10">
        <v>0</v>
      </c>
      <c r="G33" s="10">
        <v>0</v>
      </c>
      <c r="H33" s="9">
        <f>D33+F33+'02-04-21'!H33</f>
        <v>0</v>
      </c>
      <c r="I33" s="9">
        <f>E33+G33+'02-04-21'!I33</f>
        <v>0</v>
      </c>
      <c r="J33" s="9">
        <f t="shared" ref="J33:J50" si="16">H33+I33</f>
        <v>0</v>
      </c>
      <c r="K33" s="9">
        <f>C33-J33</f>
        <v>0</v>
      </c>
      <c r="L33" s="9">
        <f t="shared" ref="L33:L50" si="17">C33-((J33/17)*26.0714285714285)</f>
        <v>0</v>
      </c>
      <c r="M33" s="119"/>
    </row>
    <row r="34" spans="1:13" s="104" customFormat="1" ht="12" customHeight="1" x14ac:dyDescent="0.25">
      <c r="A34" s="32" t="s">
        <v>123</v>
      </c>
      <c r="B34" s="33" t="s">
        <v>55</v>
      </c>
      <c r="C34" s="9">
        <f>2795.22+12000</f>
        <v>14795.22</v>
      </c>
      <c r="D34" s="10">
        <v>0</v>
      </c>
      <c r="E34" s="10">
        <v>0</v>
      </c>
      <c r="F34" s="130">
        <v>960</v>
      </c>
      <c r="G34" s="130">
        <v>49.92</v>
      </c>
      <c r="H34" s="9">
        <f>D34+F34+'02-04-21'!H34</f>
        <v>5738</v>
      </c>
      <c r="I34" s="9">
        <f>E34+G34+'02-04-21'!I34</f>
        <v>246.58999999999997</v>
      </c>
      <c r="J34" s="9">
        <f t="shared" si="16"/>
        <v>5984.59</v>
      </c>
      <c r="K34" s="9">
        <f>C34-J34</f>
        <v>8810.6299999999992</v>
      </c>
      <c r="L34" s="9">
        <f t="shared" si="17"/>
        <v>5617.172310924394</v>
      </c>
      <c r="M34" s="125"/>
    </row>
    <row r="35" spans="1:13" s="104" customFormat="1" ht="11.25" hidden="1" customHeight="1" x14ac:dyDescent="0.25">
      <c r="A35" s="32" t="s">
        <v>18</v>
      </c>
      <c r="B35" s="27" t="s">
        <v>17</v>
      </c>
      <c r="C35" s="105">
        <v>0</v>
      </c>
      <c r="D35" s="10"/>
      <c r="E35" s="10"/>
      <c r="F35" s="10"/>
      <c r="G35" s="10"/>
      <c r="H35" s="9">
        <f>D35+F35+'02-04-21'!H35</f>
        <v>0</v>
      </c>
      <c r="I35" s="9">
        <f>E35+G35+'02-04-21'!I35</f>
        <v>-1.0000000000005116E-2</v>
      </c>
      <c r="J35" s="9">
        <f t="shared" si="16"/>
        <v>-1.0000000000005116E-2</v>
      </c>
      <c r="K35" s="9">
        <f t="shared" ref="K35:K48" si="18">C35-J35</f>
        <v>1.0000000000005116E-2</v>
      </c>
      <c r="L35" s="9">
        <f t="shared" si="17"/>
        <v>1.5336134453789315E-2</v>
      </c>
      <c r="M35" s="119"/>
    </row>
    <row r="36" spans="1:13" s="106" customFormat="1" ht="11.25" customHeight="1" x14ac:dyDescent="0.25">
      <c r="A36" s="28" t="s">
        <v>16</v>
      </c>
      <c r="B36" s="29" t="s">
        <v>15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f>D36+F36+'02-04-21'!H36</f>
        <v>0</v>
      </c>
      <c r="I36" s="9">
        <f>E36+G36+'02-04-21'!I36</f>
        <v>0</v>
      </c>
      <c r="J36" s="9">
        <f t="shared" si="16"/>
        <v>0</v>
      </c>
      <c r="K36" s="9">
        <f t="shared" si="18"/>
        <v>0</v>
      </c>
      <c r="L36" s="9">
        <f t="shared" si="17"/>
        <v>0</v>
      </c>
      <c r="M36" s="120"/>
    </row>
    <row r="37" spans="1:13" s="106" customFormat="1" ht="11.25" customHeight="1" x14ac:dyDescent="0.25">
      <c r="A37" s="28" t="s">
        <v>97</v>
      </c>
      <c r="B37" s="29" t="s">
        <v>13</v>
      </c>
      <c r="C37" s="9">
        <v>0</v>
      </c>
      <c r="D37" s="130">
        <v>110.97</v>
      </c>
      <c r="E37" s="130">
        <v>2.1</v>
      </c>
      <c r="F37" s="9">
        <v>0</v>
      </c>
      <c r="G37" s="9">
        <v>0</v>
      </c>
      <c r="H37" s="9">
        <f>D37+F37+'02-04-21'!H37</f>
        <v>1105.7799999999997</v>
      </c>
      <c r="I37" s="9">
        <f>E37+G37+'02-04-21'!I37</f>
        <v>20.92</v>
      </c>
      <c r="J37" s="9">
        <f t="shared" si="16"/>
        <v>1126.6999999999998</v>
      </c>
      <c r="K37" s="107">
        <f t="shared" si="18"/>
        <v>-1126.6999999999998</v>
      </c>
      <c r="L37" s="9">
        <f t="shared" si="17"/>
        <v>-1727.922268907558</v>
      </c>
      <c r="M37" s="116"/>
    </row>
    <row r="38" spans="1:13" s="106" customFormat="1" ht="11.25" customHeight="1" x14ac:dyDescent="0.25">
      <c r="A38" s="28" t="s">
        <v>12</v>
      </c>
      <c r="B38" s="29">
        <v>55110100</v>
      </c>
      <c r="C38" s="9">
        <f>2659+6100</f>
        <v>8759</v>
      </c>
      <c r="D38" s="9">
        <v>0</v>
      </c>
      <c r="E38" s="9">
        <v>0</v>
      </c>
      <c r="F38" s="9">
        <v>1200</v>
      </c>
      <c r="G38" s="9">
        <v>62.4</v>
      </c>
      <c r="H38" s="9">
        <f>D38+F38+'02-04-21'!H38</f>
        <v>5460</v>
      </c>
      <c r="I38" s="9">
        <f>E38+G38+'02-04-21'!I38</f>
        <v>182.93</v>
      </c>
      <c r="J38" s="9">
        <f t="shared" si="16"/>
        <v>5642.93</v>
      </c>
      <c r="K38" s="9">
        <f t="shared" si="18"/>
        <v>3116.0699999999997</v>
      </c>
      <c r="L38" s="9">
        <f t="shared" si="17"/>
        <v>104.92668067229351</v>
      </c>
      <c r="M38" s="124"/>
    </row>
    <row r="39" spans="1:13" s="106" customFormat="1" ht="11.45" customHeight="1" x14ac:dyDescent="0.25">
      <c r="A39" s="28" t="s">
        <v>11</v>
      </c>
      <c r="B39" s="27" t="s">
        <v>10</v>
      </c>
      <c r="C39" s="9">
        <v>0</v>
      </c>
      <c r="D39" s="10">
        <v>0</v>
      </c>
      <c r="E39" s="10">
        <v>0</v>
      </c>
      <c r="F39" s="10">
        <v>0</v>
      </c>
      <c r="G39" s="10">
        <v>0</v>
      </c>
      <c r="H39" s="9">
        <f>D39+F39+'02-04-21'!H39</f>
        <v>0</v>
      </c>
      <c r="I39" s="9">
        <f>E39+G39+'02-04-21'!I39</f>
        <v>0</v>
      </c>
      <c r="J39" s="9">
        <f t="shared" si="16"/>
        <v>0</v>
      </c>
      <c r="K39" s="9">
        <f t="shared" si="18"/>
        <v>0</v>
      </c>
      <c r="L39" s="9">
        <f t="shared" si="17"/>
        <v>0</v>
      </c>
      <c r="M39" s="126"/>
    </row>
    <row r="40" spans="1:13" s="106" customFormat="1" ht="11.45" customHeight="1" x14ac:dyDescent="0.25">
      <c r="A40" s="25" t="s">
        <v>105</v>
      </c>
      <c r="B40" s="108" t="s">
        <v>69</v>
      </c>
      <c r="C40" s="9">
        <v>1500</v>
      </c>
      <c r="D40" s="9">
        <v>0</v>
      </c>
      <c r="E40" s="9">
        <v>0</v>
      </c>
      <c r="F40" s="9">
        <v>0</v>
      </c>
      <c r="G40" s="9">
        <v>0</v>
      </c>
      <c r="H40" s="9">
        <f>D40+F40+'02-04-21'!H40</f>
        <v>1122.3499999999997</v>
      </c>
      <c r="I40" s="9">
        <f>E40+G40+'02-04-21'!I40</f>
        <v>21.117000000000004</v>
      </c>
      <c r="J40" s="9">
        <f t="shared" si="16"/>
        <v>1143.4669999999996</v>
      </c>
      <c r="K40" s="9">
        <f t="shared" si="18"/>
        <v>356.53300000000036</v>
      </c>
      <c r="L40" s="9">
        <f t="shared" si="17"/>
        <v>-253.63636554621303</v>
      </c>
      <c r="M40" s="126"/>
    </row>
    <row r="41" spans="1:13" s="106" customFormat="1" ht="11.45" customHeight="1" x14ac:dyDescent="0.25">
      <c r="A41" s="25" t="s">
        <v>89</v>
      </c>
      <c r="B41" s="108" t="s">
        <v>88</v>
      </c>
      <c r="C41" s="9">
        <v>1200</v>
      </c>
      <c r="D41" s="9">
        <v>45</v>
      </c>
      <c r="E41" s="9">
        <v>0.85</v>
      </c>
      <c r="F41" s="9">
        <v>0</v>
      </c>
      <c r="G41" s="9">
        <v>0</v>
      </c>
      <c r="H41" s="9">
        <f>D41+F41+'02-04-21'!H41</f>
        <v>348.79999999999995</v>
      </c>
      <c r="I41" s="9">
        <f>E41+G41+'02-04-21'!I41</f>
        <v>6.5799999999999983</v>
      </c>
      <c r="J41" s="9">
        <f t="shared" si="16"/>
        <v>355.37999999999994</v>
      </c>
      <c r="K41" s="9">
        <f>C41-J41</f>
        <v>844.62000000000012</v>
      </c>
      <c r="L41" s="9">
        <f t="shared" si="17"/>
        <v>654.98445378151416</v>
      </c>
      <c r="M41" s="120"/>
    </row>
    <row r="42" spans="1:13" s="98" customFormat="1" ht="11.45" customHeight="1" x14ac:dyDescent="0.25">
      <c r="A42" s="25" t="s">
        <v>61</v>
      </c>
      <c r="B42" s="108" t="s">
        <v>62</v>
      </c>
      <c r="C42" s="9">
        <v>9800</v>
      </c>
      <c r="D42" s="9">
        <v>270</v>
      </c>
      <c r="E42" s="9">
        <v>5.13</v>
      </c>
      <c r="F42" s="9">
        <v>0</v>
      </c>
      <c r="G42" s="9">
        <v>0</v>
      </c>
      <c r="H42" s="9">
        <f>D42+F42+'02-04-21'!H42</f>
        <v>9531</v>
      </c>
      <c r="I42" s="9">
        <f>E42+G42+'02-04-21'!I42</f>
        <v>419.46999999999997</v>
      </c>
      <c r="J42" s="9">
        <f t="shared" si="16"/>
        <v>9950.4699999999993</v>
      </c>
      <c r="K42" s="107">
        <f>C42-J42</f>
        <v>-150.46999999999935</v>
      </c>
      <c r="L42" s="9">
        <f t="shared" si="17"/>
        <v>-5460.174579831888</v>
      </c>
      <c r="M42" s="116"/>
    </row>
    <row r="43" spans="1:13" s="98" customFormat="1" ht="11.45" customHeight="1" x14ac:dyDescent="0.25">
      <c r="A43" s="25" t="s">
        <v>59</v>
      </c>
      <c r="B43" s="108" t="s">
        <v>60</v>
      </c>
      <c r="C43" s="9">
        <f>2453.12+2598.45+16442.41</f>
        <v>21493.98</v>
      </c>
      <c r="D43" s="9">
        <v>0</v>
      </c>
      <c r="E43" s="9">
        <v>0</v>
      </c>
      <c r="F43" s="9">
        <v>0</v>
      </c>
      <c r="G43" s="9">
        <v>0</v>
      </c>
      <c r="H43" s="9">
        <f>D43+F43+'02-04-21'!H43</f>
        <v>5232.58</v>
      </c>
      <c r="I43" s="9">
        <f>E43+G43+'02-04-21'!I43</f>
        <v>99.32</v>
      </c>
      <c r="J43" s="9">
        <f t="shared" si="16"/>
        <v>5331.9</v>
      </c>
      <c r="K43" s="9">
        <f>C43-J43</f>
        <v>16162.08</v>
      </c>
      <c r="L43" s="9">
        <f t="shared" si="17"/>
        <v>13316.906470588259</v>
      </c>
      <c r="M43" s="116"/>
    </row>
    <row r="44" spans="1:13" s="98" customFormat="1" ht="11.45" customHeight="1" x14ac:dyDescent="0.25">
      <c r="A44" s="25" t="s">
        <v>70</v>
      </c>
      <c r="B44" s="108" t="s">
        <v>71</v>
      </c>
      <c r="C44" s="9">
        <v>5600</v>
      </c>
      <c r="D44" s="9">
        <v>0</v>
      </c>
      <c r="E44" s="9">
        <v>0</v>
      </c>
      <c r="F44" s="9">
        <v>0</v>
      </c>
      <c r="G44" s="9">
        <v>0</v>
      </c>
      <c r="H44" s="9">
        <f>D44+F44+'02-04-21'!H44</f>
        <v>4041.7000000000003</v>
      </c>
      <c r="I44" s="9">
        <f>E44+G44+'02-04-21'!I44</f>
        <v>76.720000000000013</v>
      </c>
      <c r="J44" s="9">
        <f t="shared" si="16"/>
        <v>4118.42</v>
      </c>
      <c r="K44" s="9">
        <f t="shared" ref="K44" si="19">C44-J44</f>
        <v>1481.58</v>
      </c>
      <c r="L44" s="9">
        <f t="shared" si="17"/>
        <v>-716.0642857142675</v>
      </c>
      <c r="M44" s="116"/>
    </row>
    <row r="45" spans="1:13" s="98" customFormat="1" ht="11.45" customHeight="1" x14ac:dyDescent="0.25">
      <c r="A45" s="25" t="s">
        <v>7</v>
      </c>
      <c r="B45" s="108" t="s">
        <v>6</v>
      </c>
      <c r="C45" s="9">
        <v>1609.56</v>
      </c>
      <c r="D45" s="9">
        <v>90</v>
      </c>
      <c r="E45" s="9">
        <v>1.71</v>
      </c>
      <c r="F45" s="9">
        <v>0</v>
      </c>
      <c r="G45" s="9">
        <v>0</v>
      </c>
      <c r="H45" s="9">
        <f>D45+F45+'02-04-21'!H45</f>
        <v>487.5</v>
      </c>
      <c r="I45" s="9">
        <f>E45+G45+'02-04-21'!I45</f>
        <v>9.25</v>
      </c>
      <c r="J45" s="9">
        <f t="shared" si="16"/>
        <v>496.75</v>
      </c>
      <c r="K45" s="9">
        <f>C45-J45</f>
        <v>1112.81</v>
      </c>
      <c r="L45" s="9">
        <f t="shared" si="17"/>
        <v>847.73752100840545</v>
      </c>
      <c r="M45" s="116"/>
    </row>
    <row r="46" spans="1:13" s="98" customFormat="1" ht="11.45" customHeight="1" x14ac:dyDescent="0.25">
      <c r="A46" s="25" t="s">
        <v>9</v>
      </c>
      <c r="B46" s="108" t="s">
        <v>8</v>
      </c>
      <c r="C46" s="9">
        <v>0</v>
      </c>
      <c r="D46" s="10">
        <v>0</v>
      </c>
      <c r="E46" s="10">
        <v>0</v>
      </c>
      <c r="F46" s="10">
        <v>0</v>
      </c>
      <c r="G46" s="10">
        <v>0</v>
      </c>
      <c r="H46" s="9">
        <f>D46+F46+'02-04-21'!H46</f>
        <v>0</v>
      </c>
      <c r="I46" s="9">
        <f>E46+G46+'02-04-21'!I46</f>
        <v>0</v>
      </c>
      <c r="J46" s="9">
        <f t="shared" si="16"/>
        <v>0</v>
      </c>
      <c r="K46" s="9">
        <f t="shared" si="18"/>
        <v>0</v>
      </c>
      <c r="L46" s="9">
        <f t="shared" si="17"/>
        <v>0</v>
      </c>
      <c r="M46" s="116"/>
    </row>
    <row r="47" spans="1:13" s="98" customFormat="1" ht="11.45" customHeight="1" x14ac:dyDescent="0.25">
      <c r="A47" s="25" t="s">
        <v>63</v>
      </c>
      <c r="B47" s="108" t="s">
        <v>66</v>
      </c>
      <c r="C47" s="9">
        <v>1784.19</v>
      </c>
      <c r="D47" s="10">
        <v>0</v>
      </c>
      <c r="E47" s="10">
        <v>0</v>
      </c>
      <c r="F47" s="10">
        <v>0</v>
      </c>
      <c r="G47" s="10">
        <v>0</v>
      </c>
      <c r="H47" s="9">
        <f>D47+F47+'02-04-21'!H47</f>
        <v>1504</v>
      </c>
      <c r="I47" s="9">
        <f>E47+G47+'02-04-21'!I47</f>
        <v>78.179999999999993</v>
      </c>
      <c r="J47" s="9">
        <f t="shared" si="16"/>
        <v>1582.18</v>
      </c>
      <c r="K47" s="9">
        <f t="shared" si="18"/>
        <v>202.01</v>
      </c>
      <c r="L47" s="9">
        <f t="shared" si="17"/>
        <v>-642.26252100839656</v>
      </c>
      <c r="M47" s="116"/>
    </row>
    <row r="48" spans="1:13" s="98" customFormat="1" ht="11.45" hidden="1" customHeight="1" x14ac:dyDescent="0.25">
      <c r="A48" s="25" t="s">
        <v>64</v>
      </c>
      <c r="B48" s="108" t="s">
        <v>65</v>
      </c>
      <c r="C48" s="97"/>
      <c r="D48" s="10"/>
      <c r="E48" s="10"/>
      <c r="F48" s="10"/>
      <c r="G48" s="10"/>
      <c r="H48" s="9">
        <f>D48+F48+'02-04-21'!H48</f>
        <v>0</v>
      </c>
      <c r="I48" s="9">
        <f>E48+G48+'02-04-21'!I48</f>
        <v>0</v>
      </c>
      <c r="J48" s="9">
        <f t="shared" si="16"/>
        <v>0</v>
      </c>
      <c r="K48" s="9">
        <f t="shared" si="18"/>
        <v>0</v>
      </c>
      <c r="L48" s="9">
        <f t="shared" si="17"/>
        <v>0</v>
      </c>
      <c r="M48" s="116"/>
    </row>
    <row r="49" spans="1:13" s="110" customFormat="1" ht="11.25" customHeight="1" x14ac:dyDescent="0.25">
      <c r="A49" s="25" t="s">
        <v>57</v>
      </c>
      <c r="B49" s="108" t="s">
        <v>58</v>
      </c>
      <c r="C49" s="109">
        <v>5369</v>
      </c>
      <c r="D49" s="109">
        <v>27.06</v>
      </c>
      <c r="E49" s="109">
        <v>0.51</v>
      </c>
      <c r="F49" s="109">
        <v>0</v>
      </c>
      <c r="G49" s="109">
        <v>0</v>
      </c>
      <c r="H49" s="9">
        <f>D49+F49+'02-04-21'!H49</f>
        <v>1010.19</v>
      </c>
      <c r="I49" s="9">
        <f>E49+G49+'02-04-21'!I49</f>
        <v>19.100000000000001</v>
      </c>
      <c r="J49" s="9">
        <f t="shared" si="16"/>
        <v>1029.29</v>
      </c>
      <c r="K49" s="9">
        <f>C49-J49</f>
        <v>4339.71</v>
      </c>
      <c r="L49" s="9">
        <f t="shared" si="17"/>
        <v>3790.4670168067269</v>
      </c>
      <c r="M49" s="121"/>
    </row>
    <row r="50" spans="1:13" s="110" customFormat="1" ht="11.25" customHeight="1" x14ac:dyDescent="0.25">
      <c r="A50" s="25" t="s">
        <v>95</v>
      </c>
      <c r="B50" s="108" t="s">
        <v>94</v>
      </c>
      <c r="C50" s="109">
        <f>2000+1000</f>
        <v>3000</v>
      </c>
      <c r="D50" s="109">
        <v>240</v>
      </c>
      <c r="E50" s="109">
        <v>4.5599999999999996</v>
      </c>
      <c r="F50" s="109">
        <v>0</v>
      </c>
      <c r="G50" s="109">
        <v>0</v>
      </c>
      <c r="H50" s="9">
        <f>D50+F50+'02-04-21'!H50</f>
        <v>1971.5</v>
      </c>
      <c r="I50" s="9">
        <f>E50+G50+'02-04-21'!I50</f>
        <v>38.25</v>
      </c>
      <c r="J50" s="9">
        <f t="shared" si="16"/>
        <v>2009.75</v>
      </c>
      <c r="K50" s="9">
        <f>C50-J50</f>
        <v>990.25</v>
      </c>
      <c r="L50" s="9">
        <f t="shared" si="17"/>
        <v>-82.179621848730676</v>
      </c>
      <c r="M50" s="116"/>
    </row>
    <row r="51" spans="1:13" ht="21.6" customHeight="1" x14ac:dyDescent="0.25">
      <c r="A51" s="153" t="s">
        <v>5</v>
      </c>
      <c r="B51" s="154"/>
      <c r="C51" s="7">
        <f t="shared" ref="C51" si="20">SUM(C33:C49)</f>
        <v>71910.95</v>
      </c>
      <c r="D51" s="7">
        <f t="shared" ref="D51:L51" si="21">SUM(D33:D50)</f>
        <v>783.03</v>
      </c>
      <c r="E51" s="7">
        <f t="shared" si="21"/>
        <v>14.86</v>
      </c>
      <c r="F51" s="7">
        <f t="shared" si="21"/>
        <v>2160</v>
      </c>
      <c r="G51" s="7">
        <f t="shared" si="21"/>
        <v>112.32</v>
      </c>
      <c r="H51" s="7">
        <f t="shared" si="21"/>
        <v>37553.400000000009</v>
      </c>
      <c r="I51" s="7">
        <f t="shared" si="21"/>
        <v>1218.4169999999999</v>
      </c>
      <c r="J51" s="7">
        <f t="shared" si="21"/>
        <v>38771.816999999995</v>
      </c>
      <c r="K51" s="7">
        <f t="shared" si="21"/>
        <v>36139.133000000002</v>
      </c>
      <c r="L51" s="7">
        <f t="shared" si="21"/>
        <v>15449.970147058992</v>
      </c>
    </row>
    <row r="52" spans="1:13" ht="10.9" customHeight="1" x14ac:dyDescent="0.25">
      <c r="A52" s="17"/>
      <c r="B52" s="16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3" ht="10.9" customHeight="1" x14ac:dyDescent="0.25">
      <c r="A53" s="17"/>
      <c r="B53" s="16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3" s="92" customFormat="1" ht="10.9" customHeight="1" x14ac:dyDescent="0.25">
      <c r="A54" s="22" t="s">
        <v>4</v>
      </c>
      <c r="B54" s="29" t="s">
        <v>3</v>
      </c>
      <c r="C54" s="9">
        <v>62583</v>
      </c>
      <c r="D54" s="10">
        <v>972.08</v>
      </c>
      <c r="E54" s="10">
        <v>18.46</v>
      </c>
      <c r="F54" s="10">
        <v>0</v>
      </c>
      <c r="G54" s="10">
        <v>0</v>
      </c>
      <c r="H54" s="9">
        <f>D54+F54+'02-04-21'!H54</f>
        <v>12929.359999999999</v>
      </c>
      <c r="I54" s="9">
        <f>E54+G54+'02-04-21'!I54</f>
        <v>272.202</v>
      </c>
      <c r="J54" s="9">
        <f t="shared" ref="J54" si="22">H54+I54</f>
        <v>13201.561999999998</v>
      </c>
      <c r="K54" s="9">
        <f>C54-J54</f>
        <v>49381.438000000002</v>
      </c>
      <c r="L54" s="9">
        <f>C54-((J54/17)*26.0714285714285)</f>
        <v>42336.907016806785</v>
      </c>
      <c r="M54" s="115"/>
    </row>
    <row r="55" spans="1:13" s="92" customFormat="1" ht="10.9" customHeight="1" x14ac:dyDescent="0.25">
      <c r="A55" s="95" t="s">
        <v>112</v>
      </c>
      <c r="B55" s="128" t="s">
        <v>111</v>
      </c>
      <c r="C55" s="73">
        <v>11243</v>
      </c>
      <c r="D55" s="73">
        <v>0</v>
      </c>
      <c r="E55" s="73">
        <v>0</v>
      </c>
      <c r="F55" s="73">
        <v>0</v>
      </c>
      <c r="G55" s="73">
        <v>0</v>
      </c>
      <c r="H55" s="73">
        <f>D55+F55</f>
        <v>0</v>
      </c>
      <c r="I55" s="73">
        <f>E55+G55</f>
        <v>0</v>
      </c>
      <c r="J55" s="73">
        <f t="shared" ref="J55" si="23">H55+I55</f>
        <v>0</v>
      </c>
      <c r="K55" s="73">
        <f>C55-J55</f>
        <v>11243</v>
      </c>
      <c r="L55" s="73">
        <f>C55-((J55/17)*26.0714285714285)</f>
        <v>11243</v>
      </c>
      <c r="M55" s="115"/>
    </row>
    <row r="56" spans="1:13" ht="21.6" customHeight="1" x14ac:dyDescent="0.25">
      <c r="A56" s="20" t="s">
        <v>2</v>
      </c>
      <c r="B56" s="19"/>
      <c r="C56" s="18">
        <f>C54+C55</f>
        <v>73826</v>
      </c>
      <c r="D56" s="18">
        <f t="shared" ref="D56:L56" si="24">D54+D55</f>
        <v>972.08</v>
      </c>
      <c r="E56" s="18">
        <f t="shared" si="24"/>
        <v>18.46</v>
      </c>
      <c r="F56" s="18">
        <f t="shared" si="24"/>
        <v>0</v>
      </c>
      <c r="G56" s="18">
        <f t="shared" si="24"/>
        <v>0</v>
      </c>
      <c r="H56" s="18">
        <f t="shared" si="24"/>
        <v>12929.359999999999</v>
      </c>
      <c r="I56" s="18">
        <f t="shared" si="24"/>
        <v>272.202</v>
      </c>
      <c r="J56" s="18">
        <f t="shared" si="24"/>
        <v>13201.561999999998</v>
      </c>
      <c r="K56" s="18">
        <f t="shared" si="24"/>
        <v>60624.438000000002</v>
      </c>
      <c r="L56" s="18">
        <f t="shared" si="24"/>
        <v>53579.907016806785</v>
      </c>
    </row>
    <row r="57" spans="1:13" ht="10.9" customHeight="1" x14ac:dyDescent="0.25">
      <c r="A57" s="17"/>
      <c r="B57" s="16"/>
      <c r="C57" s="15"/>
      <c r="D57" s="15"/>
      <c r="E57" s="15"/>
      <c r="F57" s="15"/>
      <c r="G57" s="15"/>
      <c r="H57" s="15"/>
      <c r="I57" s="15"/>
      <c r="J57" s="15"/>
      <c r="K57" s="15"/>
      <c r="L57" s="15"/>
    </row>
    <row r="58" spans="1:13" ht="10.9" customHeight="1" x14ac:dyDescent="0.25">
      <c r="A58" s="17"/>
      <c r="B58" s="16"/>
      <c r="C58" s="15"/>
      <c r="D58" s="15"/>
      <c r="E58" s="15"/>
      <c r="F58" s="15"/>
      <c r="G58" s="15"/>
      <c r="H58" s="15"/>
      <c r="I58" s="15"/>
      <c r="J58" s="15"/>
      <c r="K58" s="15"/>
      <c r="L58" s="15"/>
    </row>
    <row r="59" spans="1:13" s="92" customFormat="1" ht="10.9" customHeight="1" x14ac:dyDescent="0.25">
      <c r="A59" s="13" t="s">
        <v>1</v>
      </c>
      <c r="B59" s="33">
        <v>55180000</v>
      </c>
      <c r="C59" s="9">
        <v>37736</v>
      </c>
      <c r="D59" s="10">
        <v>0</v>
      </c>
      <c r="E59" s="10">
        <v>0</v>
      </c>
      <c r="F59" s="10">
        <v>365.5</v>
      </c>
      <c r="G59" s="10">
        <v>19</v>
      </c>
      <c r="H59" s="9">
        <f>D59+F59+'02-04-21'!H58</f>
        <v>6988.3600000000015</v>
      </c>
      <c r="I59" s="9">
        <f>E59+G59+'02-04-21'!I58</f>
        <v>363.28000000000003</v>
      </c>
      <c r="J59" s="9">
        <f t="shared" ref="J59" si="25">H59+I59</f>
        <v>7351.6400000000012</v>
      </c>
      <c r="K59" s="9">
        <f>C59-J59</f>
        <v>30384.36</v>
      </c>
      <c r="L59" s="9">
        <f>C59-((J59/17)*26.0714285714285)</f>
        <v>26461.426050420199</v>
      </c>
      <c r="M59" s="115"/>
    </row>
    <row r="60" spans="1:13" s="3" customFormat="1" ht="21.6" customHeight="1" x14ac:dyDescent="0.25">
      <c r="A60" s="153" t="s">
        <v>0</v>
      </c>
      <c r="B60" s="154"/>
      <c r="C60" s="7">
        <f t="shared" ref="C60:L60" si="26">SUM(C59)</f>
        <v>37736</v>
      </c>
      <c r="D60" s="7">
        <f t="shared" si="26"/>
        <v>0</v>
      </c>
      <c r="E60" s="7">
        <f t="shared" si="26"/>
        <v>0</v>
      </c>
      <c r="F60" s="7">
        <f t="shared" si="26"/>
        <v>365.5</v>
      </c>
      <c r="G60" s="7">
        <f t="shared" si="26"/>
        <v>19</v>
      </c>
      <c r="H60" s="7">
        <f t="shared" si="26"/>
        <v>6988.3600000000015</v>
      </c>
      <c r="I60" s="7">
        <f t="shared" si="26"/>
        <v>363.28000000000003</v>
      </c>
      <c r="J60" s="7">
        <f t="shared" si="26"/>
        <v>7351.6400000000012</v>
      </c>
      <c r="K60" s="7">
        <f t="shared" si="26"/>
        <v>30384.36</v>
      </c>
      <c r="L60" s="7">
        <f t="shared" si="26"/>
        <v>26461.426050420199</v>
      </c>
      <c r="M60" s="122"/>
    </row>
    <row r="61" spans="1:13" s="3" customFormat="1" ht="11.25" customHeight="1" x14ac:dyDescent="0.25">
      <c r="A61" s="6"/>
      <c r="B61" s="5"/>
      <c r="C61" s="4"/>
      <c r="D61" s="4"/>
      <c r="E61" s="4"/>
      <c r="F61" s="4"/>
      <c r="G61" s="4"/>
      <c r="H61" s="4"/>
      <c r="I61" s="4"/>
      <c r="J61" s="4"/>
      <c r="K61" s="4"/>
      <c r="L61" s="4"/>
      <c r="M61" s="122"/>
    </row>
    <row r="62" spans="1:13" s="2" customFormat="1" ht="10.5" customHeight="1" x14ac:dyDescent="0.25">
      <c r="A62" s="160" t="s">
        <v>72</v>
      </c>
      <c r="B62" s="160"/>
      <c r="C62" s="160"/>
      <c r="D62" s="160"/>
      <c r="E62" s="160"/>
      <c r="F62" s="160"/>
      <c r="G62" s="82">
        <v>12000</v>
      </c>
      <c r="M62" s="111"/>
    </row>
    <row r="63" spans="1:13" s="2" customFormat="1" ht="10.5" customHeight="1" x14ac:dyDescent="0.25">
      <c r="A63" s="160" t="s">
        <v>73</v>
      </c>
      <c r="B63" s="160"/>
      <c r="C63" s="160"/>
      <c r="D63" s="160"/>
      <c r="E63" s="160"/>
      <c r="F63" s="160"/>
      <c r="G63" s="82">
        <v>5600</v>
      </c>
      <c r="M63" s="111"/>
    </row>
    <row r="64" spans="1:13" ht="10.5" customHeight="1" x14ac:dyDescent="0.25">
      <c r="A64" s="160" t="s">
        <v>76</v>
      </c>
      <c r="B64" s="160"/>
      <c r="C64" s="160"/>
      <c r="D64" s="160"/>
      <c r="E64" s="160"/>
      <c r="F64" s="160"/>
      <c r="G64" s="82">
        <v>9800</v>
      </c>
    </row>
    <row r="65" spans="1:13" ht="10.5" customHeight="1" x14ac:dyDescent="0.25">
      <c r="A65" s="160" t="s">
        <v>75</v>
      </c>
      <c r="B65" s="160"/>
      <c r="C65" s="160"/>
      <c r="D65" s="160"/>
      <c r="E65" s="160"/>
      <c r="F65" s="160"/>
      <c r="G65" s="82">
        <v>1500</v>
      </c>
    </row>
    <row r="66" spans="1:13" ht="10.5" customHeight="1" x14ac:dyDescent="0.25">
      <c r="A66" s="160" t="s">
        <v>74</v>
      </c>
      <c r="B66" s="160"/>
      <c r="C66" s="160"/>
      <c r="D66" s="160"/>
      <c r="E66" s="160"/>
      <c r="F66" s="160"/>
      <c r="G66" s="82">
        <v>843.44</v>
      </c>
    </row>
    <row r="67" spans="1:13" ht="10.5" customHeight="1" x14ac:dyDescent="0.25">
      <c r="A67" s="160" t="s">
        <v>77</v>
      </c>
      <c r="B67" s="160"/>
      <c r="C67" s="160"/>
      <c r="D67" s="160"/>
      <c r="E67" s="160"/>
      <c r="F67" s="160"/>
      <c r="G67" s="82">
        <v>1784.19</v>
      </c>
    </row>
    <row r="68" spans="1:13" ht="10.5" customHeight="1" x14ac:dyDescent="0.25">
      <c r="A68" s="160" t="s">
        <v>78</v>
      </c>
      <c r="B68" s="160"/>
      <c r="C68" s="160"/>
      <c r="D68" s="160"/>
      <c r="E68" s="160"/>
      <c r="F68" s="160"/>
      <c r="G68" s="82">
        <v>2453.12</v>
      </c>
    </row>
    <row r="69" spans="1:13" s="2" customFormat="1" ht="10.5" customHeight="1" x14ac:dyDescent="0.25">
      <c r="A69" s="160" t="s">
        <v>84</v>
      </c>
      <c r="B69" s="160"/>
      <c r="C69" s="160"/>
      <c r="D69" s="160"/>
      <c r="E69" s="160"/>
      <c r="F69" s="160"/>
      <c r="G69" s="82">
        <v>2598.4499999999998</v>
      </c>
      <c r="M69" s="112"/>
    </row>
    <row r="70" spans="1:13" s="2" customFormat="1" ht="10.5" customHeight="1" x14ac:dyDescent="0.25">
      <c r="A70" s="160" t="s">
        <v>85</v>
      </c>
      <c r="B70" s="160"/>
      <c r="C70" s="160"/>
      <c r="D70" s="160"/>
      <c r="E70" s="160"/>
      <c r="F70" s="160"/>
      <c r="G70" s="82">
        <v>2659</v>
      </c>
      <c r="M70" s="112"/>
    </row>
    <row r="71" spans="1:13" s="2" customFormat="1" ht="10.5" customHeight="1" x14ac:dyDescent="0.25">
      <c r="A71" s="160" t="s">
        <v>90</v>
      </c>
      <c r="B71" s="160"/>
      <c r="C71" s="160"/>
      <c r="D71" s="160"/>
      <c r="E71" s="160"/>
      <c r="F71" s="160"/>
      <c r="G71" s="82">
        <v>1200</v>
      </c>
      <c r="M71" s="112"/>
    </row>
    <row r="72" spans="1:13" s="2" customFormat="1" ht="10.5" customHeight="1" x14ac:dyDescent="0.25">
      <c r="A72" s="160" t="s">
        <v>93</v>
      </c>
      <c r="B72" s="160"/>
      <c r="C72" s="160"/>
      <c r="D72" s="160"/>
      <c r="E72" s="160"/>
      <c r="F72" s="160"/>
      <c r="G72" s="82">
        <v>2109</v>
      </c>
      <c r="M72" s="111"/>
    </row>
    <row r="73" spans="1:13" s="2" customFormat="1" ht="10.5" customHeight="1" x14ac:dyDescent="0.25">
      <c r="A73" s="160" t="s">
        <v>100</v>
      </c>
      <c r="B73" s="160"/>
      <c r="C73" s="160"/>
      <c r="D73" s="160"/>
      <c r="E73" s="160"/>
      <c r="F73" s="160"/>
      <c r="G73" s="82">
        <v>6100</v>
      </c>
      <c r="M73" s="111"/>
    </row>
    <row r="74" spans="1:13" s="2" customFormat="1" ht="10.5" customHeight="1" x14ac:dyDescent="0.25">
      <c r="A74" s="160" t="s">
        <v>102</v>
      </c>
      <c r="B74" s="160"/>
      <c r="C74" s="160"/>
      <c r="D74" s="160"/>
      <c r="E74" s="160"/>
      <c r="F74" s="160"/>
      <c r="G74" s="82">
        <v>5369</v>
      </c>
      <c r="M74" s="112"/>
    </row>
    <row r="75" spans="1:13" ht="10.5" customHeight="1" x14ac:dyDescent="0.25">
      <c r="A75" s="160" t="s">
        <v>106</v>
      </c>
      <c r="B75" s="160"/>
      <c r="C75" s="160"/>
      <c r="D75" s="160"/>
      <c r="E75" s="160"/>
      <c r="F75" s="160"/>
      <c r="G75" s="82">
        <v>16442.41</v>
      </c>
    </row>
    <row r="76" spans="1:13" ht="10.5" customHeight="1" x14ac:dyDescent="0.25">
      <c r="A76" s="160" t="s">
        <v>107</v>
      </c>
      <c r="B76" s="160"/>
      <c r="C76" s="160"/>
      <c r="D76" s="160"/>
      <c r="E76" s="160"/>
      <c r="F76" s="160"/>
      <c r="G76" s="82">
        <v>1609.56</v>
      </c>
    </row>
    <row r="77" spans="1:13" s="2" customFormat="1" ht="10.5" customHeight="1" x14ac:dyDescent="0.25">
      <c r="A77" s="160" t="s">
        <v>109</v>
      </c>
      <c r="B77" s="160"/>
      <c r="C77" s="160"/>
      <c r="D77" s="160"/>
      <c r="E77" s="160"/>
      <c r="F77" s="160"/>
      <c r="G77" s="82">
        <v>1000</v>
      </c>
      <c r="M77" s="112"/>
    </row>
    <row r="78" spans="1:13" ht="20.25" customHeight="1" x14ac:dyDescent="0.25">
      <c r="A78" s="160" t="s">
        <v>113</v>
      </c>
      <c r="B78" s="160"/>
      <c r="C78" s="160"/>
      <c r="D78" s="160"/>
      <c r="E78" s="160"/>
      <c r="F78" s="160"/>
      <c r="G78" s="82">
        <v>75940.289999999994</v>
      </c>
    </row>
    <row r="79" spans="1:13" s="2" customFormat="1" ht="10.5" customHeight="1" x14ac:dyDescent="0.25">
      <c r="A79" s="160"/>
      <c r="B79" s="160"/>
      <c r="C79" s="160"/>
      <c r="D79" s="160"/>
      <c r="E79" s="160"/>
      <c r="F79" s="160"/>
      <c r="G79" s="82"/>
      <c r="M79" s="112"/>
    </row>
    <row r="80" spans="1:13" x14ac:dyDescent="0.25">
      <c r="D80" s="111"/>
      <c r="E80" s="111"/>
      <c r="F80" s="111"/>
      <c r="G80" s="111"/>
    </row>
    <row r="81" spans="1:13" x14ac:dyDescent="0.25">
      <c r="D81" s="111"/>
      <c r="E81" s="111"/>
      <c r="F81" s="111"/>
      <c r="G81" s="111"/>
    </row>
    <row r="82" spans="1:13" s="2" customFormat="1" x14ac:dyDescent="0.25">
      <c r="A82" s="1"/>
      <c r="B82" s="1"/>
      <c r="C82" s="77"/>
      <c r="D82" s="111"/>
      <c r="E82" s="111"/>
      <c r="F82" s="111"/>
      <c r="G82" s="111"/>
      <c r="M82" s="112"/>
    </row>
    <row r="83" spans="1:13" s="2" customFormat="1" x14ac:dyDescent="0.25">
      <c r="A83" s="1"/>
      <c r="B83" s="1"/>
      <c r="C83" s="77"/>
      <c r="D83" s="111"/>
      <c r="E83" s="111"/>
      <c r="F83" s="111"/>
      <c r="G83" s="111"/>
      <c r="M83" s="112"/>
    </row>
    <row r="84" spans="1:13" s="2" customFormat="1" x14ac:dyDescent="0.25">
      <c r="A84" s="1"/>
      <c r="B84" s="1"/>
      <c r="C84" s="77"/>
      <c r="D84" s="111"/>
      <c r="E84" s="111"/>
      <c r="F84" s="111"/>
      <c r="G84" s="111"/>
      <c r="M84" s="112"/>
    </row>
  </sheetData>
  <mergeCells count="24">
    <mergeCell ref="A67:F67"/>
    <mergeCell ref="A15:B15"/>
    <mergeCell ref="A21:B21"/>
    <mergeCell ref="A27:B27"/>
    <mergeCell ref="A30:B30"/>
    <mergeCell ref="A51:B51"/>
    <mergeCell ref="A60:B60"/>
    <mergeCell ref="A62:F62"/>
    <mergeCell ref="A63:F63"/>
    <mergeCell ref="A64:F64"/>
    <mergeCell ref="A65:F65"/>
    <mergeCell ref="A66:F66"/>
    <mergeCell ref="A79:F79"/>
    <mergeCell ref="A68:F68"/>
    <mergeCell ref="A69:F69"/>
    <mergeCell ref="A70:F70"/>
    <mergeCell ref="A71:F71"/>
    <mergeCell ref="A72:F72"/>
    <mergeCell ref="A73:F73"/>
    <mergeCell ref="A74:F74"/>
    <mergeCell ref="A75:F75"/>
    <mergeCell ref="A76:F76"/>
    <mergeCell ref="A77:F77"/>
    <mergeCell ref="A78:F78"/>
  </mergeCells>
  <pageMargins left="0.25" right="0" top="0.4" bottom="0" header="0.3" footer="0"/>
  <pageSetup scale="86" fitToWidth="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M84"/>
  <sheetViews>
    <sheetView zoomScale="160" zoomScaleNormal="160" workbookViewId="0">
      <pane ySplit="2" topLeftCell="A27" activePane="bottomLeft" state="frozen"/>
      <selection pane="bottomLeft" activeCell="C38" sqref="C38"/>
    </sheetView>
  </sheetViews>
  <sheetFormatPr defaultColWidth="28" defaultRowHeight="15" x14ac:dyDescent="0.25"/>
  <cols>
    <col min="1" max="1" width="34" style="1" bestFit="1" customWidth="1"/>
    <col min="2" max="2" width="19" style="1" bestFit="1" customWidth="1"/>
    <col min="3" max="3" width="11" style="77" customWidth="1"/>
    <col min="4" max="4" width="8.140625" style="2" bestFit="1" customWidth="1"/>
    <col min="5" max="5" width="6.28515625" style="2" bestFit="1" customWidth="1"/>
    <col min="6" max="6" width="9" style="2" bestFit="1" customWidth="1"/>
    <col min="7" max="7" width="8.7109375" style="2" bestFit="1" customWidth="1"/>
    <col min="8" max="8" width="9.28515625" style="2" bestFit="1" customWidth="1"/>
    <col min="9" max="9" width="9.42578125" style="2" bestFit="1" customWidth="1"/>
    <col min="10" max="10" width="9.7109375" style="2" bestFit="1" customWidth="1"/>
    <col min="11" max="11" width="9.28515625" style="2" bestFit="1" customWidth="1"/>
    <col min="12" max="12" width="13.42578125" style="2" bestFit="1" customWidth="1"/>
    <col min="13" max="13" width="84.5703125" style="112" bestFit="1" customWidth="1"/>
    <col min="14" max="16384" width="28" style="1"/>
  </cols>
  <sheetData>
    <row r="1" spans="1:13" ht="11.25" customHeight="1" x14ac:dyDescent="0.25">
      <c r="A1" s="68"/>
      <c r="B1" s="67"/>
      <c r="C1" s="76"/>
      <c r="D1" s="66"/>
      <c r="E1" s="66"/>
      <c r="F1" s="66"/>
      <c r="G1" s="66"/>
      <c r="H1" s="66"/>
      <c r="I1" s="66"/>
      <c r="J1" s="66"/>
      <c r="K1" s="66"/>
      <c r="L1" s="65" t="s">
        <v>114</v>
      </c>
    </row>
    <row r="2" spans="1:13" s="61" customFormat="1" ht="23.25" x14ac:dyDescent="0.25">
      <c r="A2" s="64" t="s">
        <v>53</v>
      </c>
      <c r="B2" s="64" t="s">
        <v>52</v>
      </c>
      <c r="C2" s="63" t="s">
        <v>51</v>
      </c>
      <c r="D2" s="63" t="s">
        <v>50</v>
      </c>
      <c r="E2" s="63" t="s">
        <v>48</v>
      </c>
      <c r="F2" s="63" t="s">
        <v>49</v>
      </c>
      <c r="G2" s="63" t="s">
        <v>48</v>
      </c>
      <c r="H2" s="62" t="s">
        <v>47</v>
      </c>
      <c r="I2" s="62" t="s">
        <v>46</v>
      </c>
      <c r="J2" s="62" t="s">
        <v>45</v>
      </c>
      <c r="K2" s="62" t="s">
        <v>44</v>
      </c>
      <c r="L2" s="62" t="s">
        <v>43</v>
      </c>
      <c r="M2" s="113"/>
    </row>
    <row r="3" spans="1:13" s="101" customFormat="1" ht="11.25" customHeight="1" x14ac:dyDescent="0.25">
      <c r="A3" s="22" t="s">
        <v>42</v>
      </c>
      <c r="B3" s="29">
        <v>55010300</v>
      </c>
      <c r="C3" s="9">
        <v>0</v>
      </c>
      <c r="D3" s="9">
        <v>0</v>
      </c>
      <c r="E3" s="9">
        <v>0</v>
      </c>
      <c r="F3" s="9">
        <v>0</v>
      </c>
      <c r="G3" s="9">
        <v>0</v>
      </c>
      <c r="H3" s="9">
        <f>D3+F3+'02-18-21'!H3</f>
        <v>0</v>
      </c>
      <c r="I3" s="9">
        <f>E3+G3+'02-18-21'!I3</f>
        <v>0</v>
      </c>
      <c r="J3" s="9">
        <f>H3+I3</f>
        <v>0</v>
      </c>
      <c r="K3" s="9">
        <f>C3-J3</f>
        <v>0</v>
      </c>
      <c r="L3" s="9">
        <f>C3-((J3/18)*26.0714285714285)</f>
        <v>0</v>
      </c>
      <c r="M3" s="114"/>
    </row>
    <row r="4" spans="1:13" s="101" customFormat="1" ht="11.25" customHeight="1" x14ac:dyDescent="0.25">
      <c r="A4" s="22" t="s">
        <v>41</v>
      </c>
      <c r="B4" s="29">
        <v>55010500</v>
      </c>
      <c r="C4" s="9">
        <v>3229</v>
      </c>
      <c r="D4" s="10">
        <v>0</v>
      </c>
      <c r="E4" s="10">
        <v>0</v>
      </c>
      <c r="F4" s="10">
        <v>0</v>
      </c>
      <c r="G4" s="10">
        <v>0</v>
      </c>
      <c r="H4" s="9">
        <f>D4+F4+'02-18-21'!H4</f>
        <v>0</v>
      </c>
      <c r="I4" s="9">
        <f>E4+G4+'02-18-21'!I4</f>
        <v>0</v>
      </c>
      <c r="J4" s="9">
        <f t="shared" ref="J4:J14" si="0">H4+I4</f>
        <v>0</v>
      </c>
      <c r="K4" s="9">
        <f t="shared" ref="K4:K14" si="1">C4-J4</f>
        <v>3229</v>
      </c>
      <c r="L4" s="9">
        <f t="shared" ref="L4:L14" si="2">C4-((J4/18)*26.0714285714285)</f>
        <v>3229</v>
      </c>
      <c r="M4" s="114"/>
    </row>
    <row r="5" spans="1:13" s="92" customFormat="1" ht="11.25" customHeight="1" x14ac:dyDescent="0.25">
      <c r="A5" s="58" t="s">
        <v>40</v>
      </c>
      <c r="B5" s="102">
        <v>55020200</v>
      </c>
      <c r="C5" s="103">
        <f>24649+14202</f>
        <v>38851</v>
      </c>
      <c r="D5" s="55">
        <f>-43.69+937.76</f>
        <v>894.06999999999994</v>
      </c>
      <c r="E5" s="55">
        <f>-0.83+17.8</f>
        <v>16.970000000000002</v>
      </c>
      <c r="F5" s="55">
        <v>1745.32</v>
      </c>
      <c r="G5" s="55">
        <v>90.75</v>
      </c>
      <c r="H5" s="9">
        <f>D5+F5+'02-18-21'!H5</f>
        <v>16738.61</v>
      </c>
      <c r="I5" s="9">
        <f>E5+G5+'02-18-21'!I5</f>
        <v>533.72</v>
      </c>
      <c r="J5" s="9">
        <f t="shared" si="0"/>
        <v>17272.330000000002</v>
      </c>
      <c r="K5" s="9">
        <f t="shared" si="1"/>
        <v>21578.67</v>
      </c>
      <c r="L5" s="9">
        <f t="shared" si="2"/>
        <v>13833.537896825466</v>
      </c>
      <c r="M5" s="115"/>
    </row>
    <row r="6" spans="1:13" s="92" customFormat="1" ht="11.25" customHeight="1" x14ac:dyDescent="0.25">
      <c r="A6" s="22" t="s">
        <v>39</v>
      </c>
      <c r="B6" s="29">
        <v>55020300</v>
      </c>
      <c r="C6" s="9">
        <f>17974+9665</f>
        <v>27639</v>
      </c>
      <c r="D6" s="10">
        <v>392.89</v>
      </c>
      <c r="E6" s="10">
        <v>7.46</v>
      </c>
      <c r="F6" s="10">
        <v>975</v>
      </c>
      <c r="G6" s="10">
        <v>50.7</v>
      </c>
      <c r="H6" s="9">
        <f>D6+F6+'02-18-21'!H6</f>
        <v>8606.33</v>
      </c>
      <c r="I6" s="9">
        <f>E6+G6+'02-18-21'!I6</f>
        <v>285.51</v>
      </c>
      <c r="J6" s="9">
        <f t="shared" si="0"/>
        <v>8891.84</v>
      </c>
      <c r="K6" s="9">
        <f t="shared" si="1"/>
        <v>18747.16</v>
      </c>
      <c r="L6" s="9">
        <f t="shared" si="2"/>
        <v>14759.946031746067</v>
      </c>
      <c r="M6" s="115"/>
    </row>
    <row r="7" spans="1:13" s="92" customFormat="1" ht="11.25" customHeight="1" x14ac:dyDescent="0.25">
      <c r="A7" s="22" t="s">
        <v>38</v>
      </c>
      <c r="B7" s="29">
        <v>55020400</v>
      </c>
      <c r="C7" s="9">
        <f>17974+9665</f>
        <v>27639</v>
      </c>
      <c r="D7" s="10">
        <v>350.48</v>
      </c>
      <c r="E7" s="10">
        <v>6.65</v>
      </c>
      <c r="F7" s="10">
        <v>1000</v>
      </c>
      <c r="G7" s="10">
        <v>52</v>
      </c>
      <c r="H7" s="9">
        <f>D7+F7+'02-18-21'!H7</f>
        <v>7129.91</v>
      </c>
      <c r="I7" s="9">
        <f>E7+G7+'02-18-21'!I7</f>
        <v>232.2</v>
      </c>
      <c r="J7" s="9">
        <f t="shared" si="0"/>
        <v>7362.11</v>
      </c>
      <c r="K7" s="9">
        <f t="shared" si="1"/>
        <v>20276.89</v>
      </c>
      <c r="L7" s="9">
        <f t="shared" si="2"/>
        <v>16975.626388888923</v>
      </c>
      <c r="M7" s="115"/>
    </row>
    <row r="8" spans="1:13" s="92" customFormat="1" ht="11.25" customHeight="1" x14ac:dyDescent="0.25">
      <c r="A8" s="22" t="s">
        <v>92</v>
      </c>
      <c r="B8" s="29">
        <v>55030100</v>
      </c>
      <c r="C8" s="9">
        <v>2109</v>
      </c>
      <c r="D8" s="9">
        <v>0</v>
      </c>
      <c r="E8" s="9">
        <v>0</v>
      </c>
      <c r="F8" s="9">
        <v>0</v>
      </c>
      <c r="G8" s="9">
        <v>0</v>
      </c>
      <c r="H8" s="9">
        <f>D8+F8+'02-18-21'!H8</f>
        <v>841.91000000000008</v>
      </c>
      <c r="I8" s="9">
        <f>E8+G8+'02-18-21'!I8</f>
        <v>15.939999999999998</v>
      </c>
      <c r="J8" s="9">
        <f t="shared" si="0"/>
        <v>857.85000000000014</v>
      </c>
      <c r="K8" s="9">
        <f t="shared" si="1"/>
        <v>1251.1499999999999</v>
      </c>
      <c r="L8" s="9">
        <f t="shared" si="2"/>
        <v>866.47916666666993</v>
      </c>
      <c r="M8" s="115"/>
    </row>
    <row r="9" spans="1:13" s="92" customFormat="1" ht="11.25" customHeight="1" x14ac:dyDescent="0.25">
      <c r="A9" s="54" t="s">
        <v>37</v>
      </c>
      <c r="B9" s="29">
        <v>55030200</v>
      </c>
      <c r="C9" s="9">
        <v>24330</v>
      </c>
      <c r="D9" s="10">
        <f>43.69+386.86</f>
        <v>430.55</v>
      </c>
      <c r="E9" s="10">
        <f>0.83+7.34</f>
        <v>8.17</v>
      </c>
      <c r="F9" s="10">
        <v>0</v>
      </c>
      <c r="G9" s="10">
        <v>0</v>
      </c>
      <c r="H9" s="9">
        <f>D9+F9+'02-18-21'!H9</f>
        <v>6339.7500000000009</v>
      </c>
      <c r="I9" s="9">
        <f>E9+G9+'02-18-21'!I9</f>
        <v>120.63000000000002</v>
      </c>
      <c r="J9" s="9">
        <f t="shared" si="0"/>
        <v>6460.380000000001</v>
      </c>
      <c r="K9" s="9">
        <f t="shared" si="1"/>
        <v>17869.62</v>
      </c>
      <c r="L9" s="9">
        <f t="shared" si="2"/>
        <v>14972.703571428596</v>
      </c>
      <c r="M9" s="123"/>
    </row>
    <row r="10" spans="1:13" s="92" customFormat="1" ht="11.25" customHeight="1" x14ac:dyDescent="0.25">
      <c r="A10" s="22" t="s">
        <v>36</v>
      </c>
      <c r="B10" s="29">
        <v>55050200</v>
      </c>
      <c r="C10" s="9">
        <f>34000+21500.29</f>
        <v>55500.29</v>
      </c>
      <c r="D10" s="10">
        <v>1586.8</v>
      </c>
      <c r="E10" s="10">
        <v>30.14</v>
      </c>
      <c r="F10" s="10">
        <v>2000</v>
      </c>
      <c r="G10" s="10">
        <v>104</v>
      </c>
      <c r="H10" s="9">
        <f>D10+F10+'02-18-21'!H10</f>
        <v>26384.09</v>
      </c>
      <c r="I10" s="9">
        <f>E10+G10+'02-18-21'!I10</f>
        <v>777.93999999999994</v>
      </c>
      <c r="J10" s="9">
        <f t="shared" si="0"/>
        <v>27162.03</v>
      </c>
      <c r="K10" s="9">
        <f t="shared" si="1"/>
        <v>28338.260000000002</v>
      </c>
      <c r="L10" s="9">
        <f t="shared" si="2"/>
        <v>16158.460833333447</v>
      </c>
      <c r="M10" s="123"/>
    </row>
    <row r="11" spans="1:13" s="92" customFormat="1" ht="11.25" hidden="1" customHeight="1" x14ac:dyDescent="0.25">
      <c r="A11" s="22" t="s">
        <v>80</v>
      </c>
      <c r="B11" s="29">
        <v>55050300</v>
      </c>
      <c r="C11" s="97"/>
      <c r="D11" s="9"/>
      <c r="E11" s="9"/>
      <c r="F11" s="9"/>
      <c r="G11" s="9"/>
      <c r="H11" s="9">
        <f>D11+F11+'02-18-21'!H11</f>
        <v>-310</v>
      </c>
      <c r="I11" s="9">
        <f>E11+G11+'02-18-21'!I11</f>
        <v>-5.8900000000000006</v>
      </c>
      <c r="J11" s="9">
        <f t="shared" si="0"/>
        <v>-315.89</v>
      </c>
      <c r="K11" s="9">
        <f t="shared" si="1"/>
        <v>315.89</v>
      </c>
      <c r="L11" s="9">
        <f t="shared" si="2"/>
        <v>457.53908730158599</v>
      </c>
      <c r="M11" s="116"/>
    </row>
    <row r="12" spans="1:13" s="98" customFormat="1" ht="11.25" customHeight="1" x14ac:dyDescent="0.25">
      <c r="A12" s="22" t="s">
        <v>35</v>
      </c>
      <c r="B12" s="29">
        <v>55070100</v>
      </c>
      <c r="C12" s="9">
        <f>42741+9665</f>
        <v>52406</v>
      </c>
      <c r="D12" s="10">
        <f>-713.8+2275.74</f>
        <v>1561.9399999999998</v>
      </c>
      <c r="E12" s="10">
        <f>-13.55+43.23</f>
        <v>29.679999999999996</v>
      </c>
      <c r="F12" s="10">
        <v>1768.75</v>
      </c>
      <c r="G12" s="10">
        <v>91.97</v>
      </c>
      <c r="H12" s="9">
        <f>D12+F12+'02-18-21'!H12</f>
        <v>25693.959999999995</v>
      </c>
      <c r="I12" s="9">
        <f>E12+G12+'02-18-21'!I12</f>
        <v>698.96999999999991</v>
      </c>
      <c r="J12" s="9">
        <f t="shared" si="0"/>
        <v>26392.929999999997</v>
      </c>
      <c r="K12" s="9">
        <f t="shared" si="1"/>
        <v>26013.070000000003</v>
      </c>
      <c r="L12" s="9">
        <f t="shared" si="2"/>
        <v>14178.145039682655</v>
      </c>
      <c r="M12" s="124"/>
    </row>
    <row r="13" spans="1:13" s="92" customFormat="1" ht="11.25" customHeight="1" x14ac:dyDescent="0.25">
      <c r="A13" s="22" t="s">
        <v>34</v>
      </c>
      <c r="B13" s="29">
        <v>55080100</v>
      </c>
      <c r="C13" s="9">
        <v>23173</v>
      </c>
      <c r="D13" s="10">
        <v>1440.46</v>
      </c>
      <c r="E13" s="10">
        <v>27.36</v>
      </c>
      <c r="F13" s="10">
        <v>0</v>
      </c>
      <c r="G13" s="10">
        <v>0</v>
      </c>
      <c r="H13" s="9">
        <f>D13+F13+'02-18-21'!H13</f>
        <v>14585.330000000002</v>
      </c>
      <c r="I13" s="9">
        <f>E13+G13+'02-18-21'!I13</f>
        <v>277.02999999999997</v>
      </c>
      <c r="J13" s="9">
        <f t="shared" si="0"/>
        <v>14862.360000000002</v>
      </c>
      <c r="K13" s="9">
        <f t="shared" si="1"/>
        <v>8310.6399999999976</v>
      </c>
      <c r="L13" s="9">
        <f t="shared" si="2"/>
        <v>1646.1690476191034</v>
      </c>
      <c r="M13" s="123"/>
    </row>
    <row r="14" spans="1:13" s="99" customFormat="1" ht="11.25" customHeight="1" x14ac:dyDescent="0.25">
      <c r="A14" s="53" t="s">
        <v>33</v>
      </c>
      <c r="B14" s="33">
        <v>55190000</v>
      </c>
      <c r="C14" s="9">
        <v>6000</v>
      </c>
      <c r="D14" s="10">
        <v>125</v>
      </c>
      <c r="E14" s="10">
        <v>2.37</v>
      </c>
      <c r="F14" s="10">
        <v>0</v>
      </c>
      <c r="G14" s="10">
        <v>0</v>
      </c>
      <c r="H14" s="9">
        <f>D14+F14+'02-18-21'!H14</f>
        <v>790.43000000000006</v>
      </c>
      <c r="I14" s="9">
        <f>E14+G14+'02-18-21'!I14</f>
        <v>14.96</v>
      </c>
      <c r="J14" s="9">
        <f t="shared" si="0"/>
        <v>805.3900000000001</v>
      </c>
      <c r="K14" s="9">
        <f t="shared" si="1"/>
        <v>5194.6099999999997</v>
      </c>
      <c r="L14" s="9">
        <f t="shared" si="2"/>
        <v>4833.4628968254001</v>
      </c>
      <c r="M14" s="117"/>
    </row>
    <row r="15" spans="1:13" ht="21.6" customHeight="1" thickBot="1" x14ac:dyDescent="0.3">
      <c r="A15" s="155" t="s">
        <v>32</v>
      </c>
      <c r="B15" s="156"/>
      <c r="C15" s="49">
        <f t="shared" ref="C15:L15" si="3">SUM(C3:C14)</f>
        <v>260876.29</v>
      </c>
      <c r="D15" s="7">
        <f t="shared" si="3"/>
        <v>6782.19</v>
      </c>
      <c r="E15" s="7">
        <f t="shared" si="3"/>
        <v>128.80000000000001</v>
      </c>
      <c r="F15" s="7">
        <f t="shared" si="3"/>
        <v>7489.07</v>
      </c>
      <c r="G15" s="7">
        <f t="shared" si="3"/>
        <v>389.41999999999996</v>
      </c>
      <c r="H15" s="7">
        <f t="shared" si="3"/>
        <v>106800.31999999999</v>
      </c>
      <c r="I15" s="7">
        <f t="shared" si="3"/>
        <v>2951.01</v>
      </c>
      <c r="J15" s="49">
        <f t="shared" si="3"/>
        <v>109751.32999999999</v>
      </c>
      <c r="K15" s="49">
        <f t="shared" si="3"/>
        <v>151124.95999999996</v>
      </c>
      <c r="L15" s="7">
        <f t="shared" si="3"/>
        <v>101911.06996031791</v>
      </c>
    </row>
    <row r="16" spans="1:13" ht="11.25" customHeight="1" x14ac:dyDescent="0.25">
      <c r="A16" s="52"/>
      <c r="B16" s="41"/>
      <c r="C16" s="39"/>
      <c r="D16" s="39"/>
      <c r="E16" s="39"/>
      <c r="F16" s="39"/>
      <c r="G16" s="39"/>
      <c r="H16" s="39"/>
      <c r="I16" s="39"/>
      <c r="J16" s="39"/>
      <c r="K16" s="39"/>
      <c r="L16" s="51"/>
    </row>
    <row r="17" spans="1:13" ht="11.25" customHeight="1" thickBot="1" x14ac:dyDescent="0.3">
      <c r="A17" s="38"/>
      <c r="B17" s="37"/>
      <c r="C17" s="35"/>
      <c r="D17" s="35"/>
      <c r="E17" s="35"/>
      <c r="F17" s="35"/>
      <c r="G17" s="35"/>
      <c r="H17" s="35"/>
      <c r="I17" s="35"/>
      <c r="J17" s="35"/>
      <c r="K17" s="35"/>
      <c r="L17" s="50"/>
    </row>
    <row r="18" spans="1:13" s="92" customFormat="1" ht="11.45" customHeight="1" x14ac:dyDescent="0.25">
      <c r="A18" s="13" t="s">
        <v>31</v>
      </c>
      <c r="B18" s="33">
        <v>55090100</v>
      </c>
      <c r="C18" s="9">
        <v>26923</v>
      </c>
      <c r="D18" s="10">
        <v>0</v>
      </c>
      <c r="E18" s="10">
        <v>0</v>
      </c>
      <c r="F18" s="10">
        <v>0</v>
      </c>
      <c r="G18" s="10">
        <v>0</v>
      </c>
      <c r="H18" s="9">
        <f>D18+F18+'02-18-21'!H18</f>
        <v>13503</v>
      </c>
      <c r="I18" s="9">
        <f>E18+G18+'02-18-21'!I18</f>
        <v>702.13999999999987</v>
      </c>
      <c r="J18" s="9">
        <f t="shared" ref="J18:J20" si="4">H18+I18</f>
        <v>14205.14</v>
      </c>
      <c r="K18" s="9">
        <f>C18-J18</f>
        <v>12717.86</v>
      </c>
      <c r="L18" s="9">
        <f t="shared" ref="L18:L20" si="5">C18-((J18/18)*26.0714285714285)</f>
        <v>6348.0948412698999</v>
      </c>
      <c r="M18" s="115"/>
    </row>
    <row r="19" spans="1:13" s="92" customFormat="1" ht="11.45" customHeight="1" x14ac:dyDescent="0.25">
      <c r="A19" s="22" t="s">
        <v>30</v>
      </c>
      <c r="B19" s="29">
        <v>55160100</v>
      </c>
      <c r="C19" s="9">
        <f>16062-2109</f>
        <v>13953</v>
      </c>
      <c r="D19" s="9">
        <v>0</v>
      </c>
      <c r="E19" s="9">
        <v>0</v>
      </c>
      <c r="F19" s="10">
        <v>0</v>
      </c>
      <c r="G19" s="10">
        <v>0</v>
      </c>
      <c r="H19" s="9">
        <f>D19+F19+'02-18-21'!H19</f>
        <v>0</v>
      </c>
      <c r="I19" s="9">
        <f>E19+G19+'02-18-21'!I19</f>
        <v>0</v>
      </c>
      <c r="J19" s="9">
        <f t="shared" si="4"/>
        <v>0</v>
      </c>
      <c r="K19" s="9">
        <f t="shared" ref="K19:K20" si="6">C19-J19</f>
        <v>13953</v>
      </c>
      <c r="L19" s="9">
        <f t="shared" si="5"/>
        <v>13953</v>
      </c>
      <c r="M19" s="115"/>
    </row>
    <row r="20" spans="1:13" s="92" customFormat="1" ht="11.45" customHeight="1" x14ac:dyDescent="0.25">
      <c r="A20" s="13" t="s">
        <v>29</v>
      </c>
      <c r="B20" s="33">
        <v>55100100</v>
      </c>
      <c r="C20" s="9">
        <v>2026</v>
      </c>
      <c r="D20" s="10">
        <v>0</v>
      </c>
      <c r="E20" s="10">
        <v>0</v>
      </c>
      <c r="F20" s="10">
        <v>0</v>
      </c>
      <c r="G20" s="10">
        <v>0</v>
      </c>
      <c r="H20" s="9">
        <f>D20+F20+'02-18-21'!H20</f>
        <v>936.46</v>
      </c>
      <c r="I20" s="9">
        <f>E20+G20+'02-18-21'!I20</f>
        <v>16.864999999999998</v>
      </c>
      <c r="J20" s="9">
        <f t="shared" si="4"/>
        <v>953.32500000000005</v>
      </c>
      <c r="K20" s="9">
        <f t="shared" si="6"/>
        <v>1072.675</v>
      </c>
      <c r="L20" s="9">
        <f t="shared" si="5"/>
        <v>645.19196428571809</v>
      </c>
      <c r="M20" s="115"/>
    </row>
    <row r="21" spans="1:13" ht="21.6" customHeight="1" thickBot="1" x14ac:dyDescent="0.3">
      <c r="A21" s="155" t="s">
        <v>28</v>
      </c>
      <c r="B21" s="156"/>
      <c r="C21" s="7">
        <f t="shared" ref="C21:L21" si="7">SUM(C18:C20)</f>
        <v>42902</v>
      </c>
      <c r="D21" s="7">
        <f t="shared" si="7"/>
        <v>0</v>
      </c>
      <c r="E21" s="7">
        <f t="shared" si="7"/>
        <v>0</v>
      </c>
      <c r="F21" s="7">
        <f t="shared" si="7"/>
        <v>0</v>
      </c>
      <c r="G21" s="7">
        <f t="shared" si="7"/>
        <v>0</v>
      </c>
      <c r="H21" s="7">
        <f t="shared" si="7"/>
        <v>14439.46</v>
      </c>
      <c r="I21" s="7">
        <f t="shared" si="7"/>
        <v>719.00499999999988</v>
      </c>
      <c r="J21" s="49">
        <f t="shared" si="7"/>
        <v>15158.465</v>
      </c>
      <c r="K21" s="7">
        <f t="shared" si="7"/>
        <v>27743.535</v>
      </c>
      <c r="L21" s="7">
        <f t="shared" si="7"/>
        <v>20946.286805555617</v>
      </c>
    </row>
    <row r="22" spans="1:13" ht="11.25" customHeight="1" x14ac:dyDescent="0.25">
      <c r="A22" s="42"/>
      <c r="B22" s="41"/>
      <c r="C22" s="39"/>
      <c r="D22" s="39"/>
      <c r="E22" s="39"/>
      <c r="F22" s="39"/>
      <c r="G22" s="39"/>
      <c r="H22" s="39"/>
      <c r="I22" s="39"/>
      <c r="J22" s="39"/>
      <c r="K22" s="39"/>
      <c r="L22" s="51"/>
    </row>
    <row r="23" spans="1:13" ht="11.25" customHeight="1" thickBot="1" x14ac:dyDescent="0.3">
      <c r="A23" s="38"/>
      <c r="B23" s="37"/>
      <c r="C23" s="35"/>
      <c r="D23" s="35"/>
      <c r="E23" s="35"/>
      <c r="F23" s="35"/>
      <c r="G23" s="35"/>
      <c r="H23" s="35"/>
      <c r="I23" s="35"/>
      <c r="J23" s="35"/>
      <c r="K23" s="35"/>
      <c r="L23" s="50"/>
    </row>
    <row r="24" spans="1:13" s="99" customFormat="1" ht="11.45" customHeight="1" x14ac:dyDescent="0.25">
      <c r="A24" s="13" t="s">
        <v>27</v>
      </c>
      <c r="B24" s="33">
        <v>55200000</v>
      </c>
      <c r="C24" s="9">
        <v>25000</v>
      </c>
      <c r="D24" s="10">
        <v>690</v>
      </c>
      <c r="E24" s="10">
        <v>13.1</v>
      </c>
      <c r="F24" s="10">
        <v>0</v>
      </c>
      <c r="G24" s="10">
        <v>0</v>
      </c>
      <c r="H24" s="9">
        <f>D24+F24+'02-18-21'!H24</f>
        <v>7526.25</v>
      </c>
      <c r="I24" s="9">
        <f>E24+G24+'02-18-21'!I24</f>
        <v>142.9</v>
      </c>
      <c r="J24" s="9">
        <f t="shared" ref="J24:J26" si="8">H24+I24</f>
        <v>7669.15</v>
      </c>
      <c r="K24" s="9">
        <f>C24-J24</f>
        <v>17330.849999999999</v>
      </c>
      <c r="L24" s="9">
        <f t="shared" ref="L24:L26" si="9">C24-((J24/18)*26.0714285714285)</f>
        <v>13891.905753968285</v>
      </c>
      <c r="M24" s="118"/>
    </row>
    <row r="25" spans="1:13" s="99" customFormat="1" ht="11.45" hidden="1" customHeight="1" x14ac:dyDescent="0.25">
      <c r="A25" s="13" t="s">
        <v>26</v>
      </c>
      <c r="B25" s="100" t="s">
        <v>25</v>
      </c>
      <c r="C25" s="46">
        <v>0</v>
      </c>
      <c r="D25" s="45"/>
      <c r="E25" s="45"/>
      <c r="F25" s="45"/>
      <c r="G25" s="45"/>
      <c r="H25" s="9">
        <f>D25+F25+'02-18-21'!H25</f>
        <v>0</v>
      </c>
      <c r="I25" s="9">
        <f>E25+G25+'02-18-21'!I25</f>
        <v>-9.9999999999997868E-3</v>
      </c>
      <c r="J25" s="9">
        <f t="shared" si="8"/>
        <v>-9.9999999999997868E-3</v>
      </c>
      <c r="K25" s="75">
        <f t="shared" ref="K25:K26" si="10">C25-J25</f>
        <v>9.9999999999997868E-3</v>
      </c>
      <c r="L25" s="9">
        <f t="shared" si="9"/>
        <v>1.4484126984126636E-2</v>
      </c>
      <c r="M25" s="118"/>
    </row>
    <row r="26" spans="1:13" s="99" customFormat="1" ht="10.9" customHeight="1" x14ac:dyDescent="0.25">
      <c r="A26" s="28" t="s">
        <v>24</v>
      </c>
      <c r="B26" s="47" t="s">
        <v>23</v>
      </c>
      <c r="C26" s="46">
        <v>0</v>
      </c>
      <c r="D26" s="45">
        <v>0</v>
      </c>
      <c r="E26" s="45">
        <v>0</v>
      </c>
      <c r="F26" s="45">
        <v>0</v>
      </c>
      <c r="G26" s="45">
        <v>0</v>
      </c>
      <c r="H26" s="9">
        <f>D26+F26+'02-18-21'!H26</f>
        <v>0</v>
      </c>
      <c r="I26" s="9">
        <f>E26+G26+'02-18-21'!I26</f>
        <v>0</v>
      </c>
      <c r="J26" s="9">
        <f t="shared" si="8"/>
        <v>0</v>
      </c>
      <c r="K26" s="9">
        <f t="shared" si="10"/>
        <v>0</v>
      </c>
      <c r="L26" s="9">
        <f t="shared" si="9"/>
        <v>0</v>
      </c>
      <c r="M26" s="117"/>
    </row>
    <row r="27" spans="1:13" ht="24.75" customHeight="1" thickBot="1" x14ac:dyDescent="0.3">
      <c r="A27" s="157" t="s">
        <v>22</v>
      </c>
      <c r="B27" s="158"/>
      <c r="C27" s="43">
        <f>SUM(C24:C25)</f>
        <v>25000</v>
      </c>
      <c r="D27" s="43">
        <f t="shared" ref="D27:L27" si="11">SUM(D24:D26)</f>
        <v>690</v>
      </c>
      <c r="E27" s="43">
        <f t="shared" si="11"/>
        <v>13.1</v>
      </c>
      <c r="F27" s="43">
        <f t="shared" si="11"/>
        <v>0</v>
      </c>
      <c r="G27" s="43">
        <f t="shared" si="11"/>
        <v>0</v>
      </c>
      <c r="H27" s="43">
        <f t="shared" si="11"/>
        <v>7526.25</v>
      </c>
      <c r="I27" s="43">
        <f t="shared" si="11"/>
        <v>142.89000000000001</v>
      </c>
      <c r="J27" s="43">
        <f t="shared" si="11"/>
        <v>7669.1399999999994</v>
      </c>
      <c r="K27" s="43">
        <f t="shared" si="11"/>
        <v>17330.859999999997</v>
      </c>
      <c r="L27" s="34">
        <f t="shared" si="11"/>
        <v>13891.92023809527</v>
      </c>
    </row>
    <row r="28" spans="1:13" ht="11.25" customHeight="1" x14ac:dyDescent="0.25">
      <c r="A28" s="42"/>
      <c r="B28" s="41"/>
      <c r="C28" s="39"/>
      <c r="D28" s="39"/>
      <c r="E28" s="39"/>
      <c r="F28" s="39"/>
      <c r="G28" s="39"/>
      <c r="H28" s="39"/>
      <c r="I28" s="39"/>
      <c r="J28" s="39"/>
      <c r="K28" s="39"/>
      <c r="L28" s="39"/>
    </row>
    <row r="29" spans="1:13" ht="11.25" customHeight="1" thickBot="1" x14ac:dyDescent="0.3">
      <c r="A29" s="38"/>
      <c r="B29" s="37"/>
      <c r="C29" s="35"/>
      <c r="D29" s="35"/>
      <c r="E29" s="35"/>
      <c r="F29" s="35"/>
      <c r="G29" s="35"/>
      <c r="H29" s="35"/>
      <c r="I29" s="35"/>
      <c r="J29" s="35"/>
      <c r="K29" s="35"/>
      <c r="L29" s="35"/>
    </row>
    <row r="30" spans="1:13" ht="21.6" customHeight="1" x14ac:dyDescent="0.25">
      <c r="A30" s="159" t="s">
        <v>21</v>
      </c>
      <c r="B30" s="159"/>
      <c r="C30" s="34">
        <f>C15+C21+C27</f>
        <v>328778.29000000004</v>
      </c>
      <c r="D30" s="34">
        <f t="shared" ref="D30:L30" si="12">D15+D21+D27</f>
        <v>7472.19</v>
      </c>
      <c r="E30" s="34">
        <f t="shared" si="12"/>
        <v>141.9</v>
      </c>
      <c r="F30" s="34">
        <f t="shared" si="12"/>
        <v>7489.07</v>
      </c>
      <c r="G30" s="34">
        <f t="shared" si="12"/>
        <v>389.41999999999996</v>
      </c>
      <c r="H30" s="34">
        <f t="shared" si="12"/>
        <v>128766.03</v>
      </c>
      <c r="I30" s="34">
        <f t="shared" si="12"/>
        <v>3812.9050000000002</v>
      </c>
      <c r="J30" s="34">
        <f t="shared" si="12"/>
        <v>132578.935</v>
      </c>
      <c r="K30" s="34">
        <f t="shared" si="12"/>
        <v>196199.35499999995</v>
      </c>
      <c r="L30" s="34">
        <f t="shared" si="12"/>
        <v>136749.2770039688</v>
      </c>
    </row>
    <row r="31" spans="1:13" ht="10.9" customHeight="1" x14ac:dyDescent="0.25">
      <c r="A31" s="17"/>
      <c r="B31" s="16"/>
      <c r="C31" s="15"/>
      <c r="D31" s="15"/>
      <c r="E31" s="15"/>
      <c r="F31" s="15"/>
      <c r="G31" s="15"/>
      <c r="H31" s="15"/>
      <c r="I31" s="15"/>
      <c r="J31" s="15"/>
      <c r="K31" s="15"/>
      <c r="L31" s="15"/>
    </row>
    <row r="32" spans="1:13" ht="11.25" customHeight="1" x14ac:dyDescent="0.25">
      <c r="A32" s="17"/>
      <c r="B32" s="16"/>
      <c r="C32" s="15"/>
      <c r="D32" s="15"/>
      <c r="E32" s="15"/>
      <c r="F32" s="15"/>
      <c r="G32" s="15"/>
      <c r="H32" s="15"/>
      <c r="I32" s="15"/>
      <c r="J32" s="15"/>
      <c r="K32" s="15"/>
      <c r="L32" s="15"/>
    </row>
    <row r="33" spans="1:13" s="104" customFormat="1" ht="11.25" customHeight="1" x14ac:dyDescent="0.25">
      <c r="A33" s="28" t="s">
        <v>20</v>
      </c>
      <c r="B33" s="27" t="s">
        <v>19</v>
      </c>
      <c r="C33" s="9">
        <v>0</v>
      </c>
      <c r="D33" s="10">
        <v>0</v>
      </c>
      <c r="E33" s="10">
        <v>0</v>
      </c>
      <c r="F33" s="10">
        <v>0</v>
      </c>
      <c r="G33" s="10">
        <v>0</v>
      </c>
      <c r="H33" s="9">
        <f>D33+F33+'02-18-21'!H33</f>
        <v>0</v>
      </c>
      <c r="I33" s="9">
        <f>E33+G33+'02-18-21'!I33</f>
        <v>0</v>
      </c>
      <c r="J33" s="9">
        <f t="shared" ref="J33:J50" si="13">H33+I33</f>
        <v>0</v>
      </c>
      <c r="K33" s="9">
        <f>C33-J33</f>
        <v>0</v>
      </c>
      <c r="L33" s="9">
        <f t="shared" ref="L33:L50" si="14">C33-((J33/18)*26.0714285714285)</f>
        <v>0</v>
      </c>
      <c r="M33" s="119"/>
    </row>
    <row r="34" spans="1:13" s="104" customFormat="1" ht="12" customHeight="1" x14ac:dyDescent="0.25">
      <c r="A34" s="32" t="s">
        <v>123</v>
      </c>
      <c r="B34" s="33" t="s">
        <v>55</v>
      </c>
      <c r="C34" s="9">
        <f>2795.22+12000</f>
        <v>14795.22</v>
      </c>
      <c r="D34" s="10">
        <v>0</v>
      </c>
      <c r="E34" s="10">
        <v>0</v>
      </c>
      <c r="F34" s="130">
        <v>960</v>
      </c>
      <c r="G34" s="130">
        <v>49.91</v>
      </c>
      <c r="H34" s="9">
        <f>D34+F34+'02-18-21'!H34</f>
        <v>6698</v>
      </c>
      <c r="I34" s="9">
        <f>E34+G34+'02-18-21'!I34</f>
        <v>296.5</v>
      </c>
      <c r="J34" s="9">
        <f t="shared" si="13"/>
        <v>6994.5</v>
      </c>
      <c r="K34" s="9">
        <f>C34-J34</f>
        <v>7800.7199999999993</v>
      </c>
      <c r="L34" s="9">
        <f t="shared" si="14"/>
        <v>4664.2973809524101</v>
      </c>
      <c r="M34" s="125"/>
    </row>
    <row r="35" spans="1:13" s="104" customFormat="1" ht="11.25" hidden="1" customHeight="1" x14ac:dyDescent="0.25">
      <c r="A35" s="32" t="s">
        <v>18</v>
      </c>
      <c r="B35" s="27" t="s">
        <v>17</v>
      </c>
      <c r="C35" s="105">
        <v>0</v>
      </c>
      <c r="D35" s="10"/>
      <c r="E35" s="10"/>
      <c r="F35" s="10"/>
      <c r="G35" s="10"/>
      <c r="H35" s="9">
        <f>D35+F35+'02-18-21'!H35</f>
        <v>0</v>
      </c>
      <c r="I35" s="9">
        <f>E35+G35+'02-18-21'!I35</f>
        <v>-1.0000000000005116E-2</v>
      </c>
      <c r="J35" s="9">
        <f t="shared" si="13"/>
        <v>-1.0000000000005116E-2</v>
      </c>
      <c r="K35" s="9">
        <f t="shared" ref="K35:K48" si="15">C35-J35</f>
        <v>1.0000000000005116E-2</v>
      </c>
      <c r="L35" s="9">
        <f t="shared" si="14"/>
        <v>1.4484126984134352E-2</v>
      </c>
      <c r="M35" s="119"/>
    </row>
    <row r="36" spans="1:13" s="106" customFormat="1" ht="11.25" customHeight="1" x14ac:dyDescent="0.25">
      <c r="A36" s="28" t="s">
        <v>16</v>
      </c>
      <c r="B36" s="29" t="s">
        <v>15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f>D36+F36+'02-18-21'!H36</f>
        <v>0</v>
      </c>
      <c r="I36" s="9">
        <f>E36+G36+'02-18-21'!I36</f>
        <v>0</v>
      </c>
      <c r="J36" s="9">
        <f t="shared" si="13"/>
        <v>0</v>
      </c>
      <c r="K36" s="9">
        <f t="shared" si="15"/>
        <v>0</v>
      </c>
      <c r="L36" s="9">
        <f t="shared" si="14"/>
        <v>0</v>
      </c>
      <c r="M36" s="120"/>
    </row>
    <row r="37" spans="1:13" s="106" customFormat="1" ht="11.25" customHeight="1" x14ac:dyDescent="0.25">
      <c r="A37" s="28" t="s">
        <v>97</v>
      </c>
      <c r="B37" s="29" t="s">
        <v>13</v>
      </c>
      <c r="C37" s="9">
        <v>0</v>
      </c>
      <c r="D37" s="130">
        <v>108.56</v>
      </c>
      <c r="E37" s="130">
        <v>2.0499999999999998</v>
      </c>
      <c r="F37" s="9">
        <v>0</v>
      </c>
      <c r="G37" s="9">
        <v>0</v>
      </c>
      <c r="H37" s="9">
        <f>D37+F37+'02-18-21'!H37</f>
        <v>1214.3399999999997</v>
      </c>
      <c r="I37" s="9">
        <f>E37+G37+'02-18-21'!I37</f>
        <v>22.970000000000002</v>
      </c>
      <c r="J37" s="9">
        <f t="shared" si="13"/>
        <v>1237.3099999999997</v>
      </c>
      <c r="K37" s="9">
        <f t="shared" si="15"/>
        <v>-1237.3099999999997</v>
      </c>
      <c r="L37" s="9">
        <f t="shared" si="14"/>
        <v>-1792.1355158730105</v>
      </c>
      <c r="M37" s="116"/>
    </row>
    <row r="38" spans="1:13" s="106" customFormat="1" ht="11.25" customHeight="1" x14ac:dyDescent="0.25">
      <c r="A38" s="28" t="s">
        <v>12</v>
      </c>
      <c r="B38" s="29">
        <v>55110100</v>
      </c>
      <c r="C38" s="9">
        <f>2659+6100</f>
        <v>8759</v>
      </c>
      <c r="D38" s="9">
        <v>0</v>
      </c>
      <c r="E38" s="9">
        <v>0</v>
      </c>
      <c r="F38" s="9">
        <v>1200</v>
      </c>
      <c r="G38" s="9">
        <v>62.4</v>
      </c>
      <c r="H38" s="9">
        <f>D38+F38+'02-18-21'!H38</f>
        <v>6660</v>
      </c>
      <c r="I38" s="9">
        <f>E38+G38+'02-18-21'!I38</f>
        <v>245.33</v>
      </c>
      <c r="J38" s="9">
        <f t="shared" si="13"/>
        <v>6905.33</v>
      </c>
      <c r="K38" s="9">
        <f t="shared" si="15"/>
        <v>1853.67</v>
      </c>
      <c r="L38" s="9">
        <f t="shared" si="14"/>
        <v>-1242.7676587301303</v>
      </c>
      <c r="M38" s="124"/>
    </row>
    <row r="39" spans="1:13" s="106" customFormat="1" ht="11.45" customHeight="1" x14ac:dyDescent="0.25">
      <c r="A39" s="28" t="s">
        <v>11</v>
      </c>
      <c r="B39" s="27" t="s">
        <v>10</v>
      </c>
      <c r="C39" s="9">
        <v>0</v>
      </c>
      <c r="D39" s="10">
        <v>0</v>
      </c>
      <c r="E39" s="10">
        <v>0</v>
      </c>
      <c r="F39" s="10">
        <v>0</v>
      </c>
      <c r="G39" s="10">
        <v>0</v>
      </c>
      <c r="H39" s="9">
        <f>D39+F39+'02-18-21'!H39</f>
        <v>0</v>
      </c>
      <c r="I39" s="9">
        <f>E39+G39+'02-18-21'!I39</f>
        <v>0</v>
      </c>
      <c r="J39" s="9">
        <f t="shared" si="13"/>
        <v>0</v>
      </c>
      <c r="K39" s="9">
        <f t="shared" si="15"/>
        <v>0</v>
      </c>
      <c r="L39" s="9">
        <f t="shared" si="14"/>
        <v>0</v>
      </c>
      <c r="M39" s="126"/>
    </row>
    <row r="40" spans="1:13" s="106" customFormat="1" ht="11.45" customHeight="1" x14ac:dyDescent="0.25">
      <c r="A40" s="25" t="s">
        <v>105</v>
      </c>
      <c r="B40" s="108" t="s">
        <v>69</v>
      </c>
      <c r="C40" s="9">
        <v>1500</v>
      </c>
      <c r="D40" s="9">
        <v>0</v>
      </c>
      <c r="E40" s="9">
        <v>0</v>
      </c>
      <c r="F40" s="9">
        <v>0</v>
      </c>
      <c r="G40" s="9">
        <v>0</v>
      </c>
      <c r="H40" s="9">
        <f>D40+F40+'02-18-21'!H40</f>
        <v>1122.3499999999997</v>
      </c>
      <c r="I40" s="9">
        <f>E40+G40+'02-18-21'!I40</f>
        <v>21.117000000000004</v>
      </c>
      <c r="J40" s="9">
        <f t="shared" si="13"/>
        <v>1143.4669999999996</v>
      </c>
      <c r="K40" s="9">
        <f t="shared" si="15"/>
        <v>356.53300000000036</v>
      </c>
      <c r="L40" s="9">
        <f t="shared" si="14"/>
        <v>-156.21212301586797</v>
      </c>
      <c r="M40" s="126"/>
    </row>
    <row r="41" spans="1:13" s="106" customFormat="1" ht="11.45" customHeight="1" x14ac:dyDescent="0.25">
      <c r="A41" s="25" t="s">
        <v>89</v>
      </c>
      <c r="B41" s="108" t="s">
        <v>88</v>
      </c>
      <c r="C41" s="9">
        <v>1200</v>
      </c>
      <c r="D41" s="9">
        <v>150</v>
      </c>
      <c r="E41" s="9">
        <v>2.84</v>
      </c>
      <c r="F41" s="9">
        <v>0</v>
      </c>
      <c r="G41" s="9">
        <v>0</v>
      </c>
      <c r="H41" s="9">
        <f>D41+F41+'02-18-21'!H41</f>
        <v>498.79999999999995</v>
      </c>
      <c r="I41" s="9">
        <f>E41+G41+'02-18-21'!I41</f>
        <v>9.4199999999999982</v>
      </c>
      <c r="J41" s="9">
        <f t="shared" si="13"/>
        <v>508.21999999999997</v>
      </c>
      <c r="K41" s="9">
        <f>C41-J41</f>
        <v>691.78</v>
      </c>
      <c r="L41" s="9">
        <f t="shared" si="14"/>
        <v>463.8876984127005</v>
      </c>
      <c r="M41" s="120"/>
    </row>
    <row r="42" spans="1:13" s="98" customFormat="1" ht="11.45" customHeight="1" x14ac:dyDescent="0.25">
      <c r="A42" s="25" t="s">
        <v>61</v>
      </c>
      <c r="B42" s="108" t="s">
        <v>62</v>
      </c>
      <c r="C42" s="9">
        <f>9800+1200</f>
        <v>11000</v>
      </c>
      <c r="D42" s="9">
        <v>270</v>
      </c>
      <c r="E42" s="9">
        <v>5.12</v>
      </c>
      <c r="F42" s="9">
        <v>0</v>
      </c>
      <c r="G42" s="9">
        <v>0</v>
      </c>
      <c r="H42" s="9">
        <f>D42+F42+'02-18-21'!H42</f>
        <v>9801</v>
      </c>
      <c r="I42" s="9">
        <f>E42+G42+'02-18-21'!I42</f>
        <v>424.59</v>
      </c>
      <c r="J42" s="9">
        <f t="shared" si="13"/>
        <v>10225.59</v>
      </c>
      <c r="K42" s="9">
        <f>C42-J42</f>
        <v>774.40999999999985</v>
      </c>
      <c r="L42" s="9">
        <f t="shared" si="14"/>
        <v>-3810.8744047618638</v>
      </c>
      <c r="M42" s="116"/>
    </row>
    <row r="43" spans="1:13" s="98" customFormat="1" ht="11.45" customHeight="1" x14ac:dyDescent="0.25">
      <c r="A43" s="25" t="s">
        <v>59</v>
      </c>
      <c r="B43" s="108" t="s">
        <v>60</v>
      </c>
      <c r="C43" s="9">
        <f>2453.12+2598.45+16442.41</f>
        <v>21493.98</v>
      </c>
      <c r="D43" s="9">
        <v>0</v>
      </c>
      <c r="E43" s="9">
        <v>0</v>
      </c>
      <c r="F43" s="9">
        <v>0</v>
      </c>
      <c r="G43" s="9">
        <v>0</v>
      </c>
      <c r="H43" s="9">
        <f>D43+F43+'02-18-21'!H43</f>
        <v>5232.58</v>
      </c>
      <c r="I43" s="9">
        <f>E43+G43+'02-18-21'!I43</f>
        <v>99.32</v>
      </c>
      <c r="J43" s="9">
        <f t="shared" si="13"/>
        <v>5331.9</v>
      </c>
      <c r="K43" s="9">
        <f>C43-J43</f>
        <v>16162.08</v>
      </c>
      <c r="L43" s="9">
        <f t="shared" si="14"/>
        <v>13771.188333333355</v>
      </c>
      <c r="M43" s="116"/>
    </row>
    <row r="44" spans="1:13" s="98" customFormat="1" ht="11.45" customHeight="1" x14ac:dyDescent="0.25">
      <c r="A44" s="25" t="s">
        <v>70</v>
      </c>
      <c r="B44" s="108" t="s">
        <v>71</v>
      </c>
      <c r="C44" s="9">
        <v>5600</v>
      </c>
      <c r="D44" s="9">
        <v>0</v>
      </c>
      <c r="E44" s="9">
        <v>0</v>
      </c>
      <c r="F44" s="9">
        <v>0</v>
      </c>
      <c r="G44" s="9">
        <v>0</v>
      </c>
      <c r="H44" s="9">
        <f>D44+F44+'02-18-21'!H44</f>
        <v>4041.7000000000003</v>
      </c>
      <c r="I44" s="9">
        <f>E44+G44+'02-18-21'!I44</f>
        <v>76.720000000000013</v>
      </c>
      <c r="J44" s="9">
        <f t="shared" si="13"/>
        <v>4118.42</v>
      </c>
      <c r="K44" s="9">
        <f t="shared" ref="K44" si="16">C44-J44</f>
        <v>1481.58</v>
      </c>
      <c r="L44" s="9">
        <f t="shared" si="14"/>
        <v>-365.17182539680834</v>
      </c>
      <c r="M44" s="116"/>
    </row>
    <row r="45" spans="1:13" s="98" customFormat="1" ht="11.45" customHeight="1" x14ac:dyDescent="0.25">
      <c r="A45" s="25" t="s">
        <v>7</v>
      </c>
      <c r="B45" s="108" t="s">
        <v>6</v>
      </c>
      <c r="C45" s="9">
        <v>1609.56</v>
      </c>
      <c r="D45" s="9">
        <v>180</v>
      </c>
      <c r="E45" s="9">
        <v>3.41</v>
      </c>
      <c r="F45" s="9">
        <v>0</v>
      </c>
      <c r="G45" s="9">
        <v>0</v>
      </c>
      <c r="H45" s="9">
        <f>D45+F45+'02-18-21'!H45</f>
        <v>667.5</v>
      </c>
      <c r="I45" s="9">
        <f>E45+G45+'02-18-21'!I45</f>
        <v>12.66</v>
      </c>
      <c r="J45" s="9">
        <f t="shared" si="13"/>
        <v>680.16</v>
      </c>
      <c r="K45" s="9">
        <f>C45-J45</f>
        <v>929.4</v>
      </c>
      <c r="L45" s="9">
        <f t="shared" si="14"/>
        <v>624.40761904762189</v>
      </c>
      <c r="M45" s="116"/>
    </row>
    <row r="46" spans="1:13" s="98" customFormat="1" ht="11.45" customHeight="1" x14ac:dyDescent="0.25">
      <c r="A46" s="25" t="s">
        <v>9</v>
      </c>
      <c r="B46" s="108" t="s">
        <v>8</v>
      </c>
      <c r="C46" s="9">
        <v>0</v>
      </c>
      <c r="D46" s="10">
        <v>0</v>
      </c>
      <c r="E46" s="10">
        <v>0</v>
      </c>
      <c r="F46" s="10">
        <v>0</v>
      </c>
      <c r="G46" s="10">
        <v>0</v>
      </c>
      <c r="H46" s="9">
        <f>D46+F46+'02-18-21'!H46</f>
        <v>0</v>
      </c>
      <c r="I46" s="9">
        <f>E46+G46+'02-18-21'!I46</f>
        <v>0</v>
      </c>
      <c r="J46" s="9">
        <f t="shared" si="13"/>
        <v>0</v>
      </c>
      <c r="K46" s="9">
        <f t="shared" si="15"/>
        <v>0</v>
      </c>
      <c r="L46" s="9">
        <f t="shared" si="14"/>
        <v>0</v>
      </c>
      <c r="M46" s="116"/>
    </row>
    <row r="47" spans="1:13" s="98" customFormat="1" ht="11.45" customHeight="1" x14ac:dyDescent="0.25">
      <c r="A47" s="25" t="s">
        <v>63</v>
      </c>
      <c r="B47" s="108" t="s">
        <v>66</v>
      </c>
      <c r="C47" s="9">
        <v>1784.19</v>
      </c>
      <c r="D47" s="10">
        <v>0</v>
      </c>
      <c r="E47" s="10">
        <v>0</v>
      </c>
      <c r="F47" s="10">
        <v>0</v>
      </c>
      <c r="G47" s="10">
        <v>0</v>
      </c>
      <c r="H47" s="9">
        <f>D47+F47+'02-18-21'!H47</f>
        <v>1504</v>
      </c>
      <c r="I47" s="9">
        <f>E47+G47+'02-18-21'!I47</f>
        <v>78.179999999999993</v>
      </c>
      <c r="J47" s="9">
        <f t="shared" si="13"/>
        <v>1582.18</v>
      </c>
      <c r="K47" s="9">
        <f t="shared" si="15"/>
        <v>202.01</v>
      </c>
      <c r="L47" s="9">
        <f t="shared" si="14"/>
        <v>-507.45960317459685</v>
      </c>
      <c r="M47" s="116"/>
    </row>
    <row r="48" spans="1:13" s="98" customFormat="1" ht="11.45" hidden="1" customHeight="1" x14ac:dyDescent="0.25">
      <c r="A48" s="25" t="s">
        <v>64</v>
      </c>
      <c r="B48" s="108" t="s">
        <v>65</v>
      </c>
      <c r="C48" s="97"/>
      <c r="D48" s="10"/>
      <c r="E48" s="10"/>
      <c r="F48" s="10"/>
      <c r="G48" s="10"/>
      <c r="H48" s="9">
        <f>D48+F48+'02-18-21'!H48</f>
        <v>0</v>
      </c>
      <c r="I48" s="9">
        <f>E48+G48+'02-18-21'!I48</f>
        <v>0</v>
      </c>
      <c r="J48" s="9">
        <f t="shared" si="13"/>
        <v>0</v>
      </c>
      <c r="K48" s="9">
        <f t="shared" si="15"/>
        <v>0</v>
      </c>
      <c r="L48" s="9">
        <f t="shared" si="14"/>
        <v>0</v>
      </c>
      <c r="M48" s="116"/>
    </row>
    <row r="49" spans="1:13" s="110" customFormat="1" ht="11.25" customHeight="1" x14ac:dyDescent="0.25">
      <c r="A49" s="25" t="s">
        <v>57</v>
      </c>
      <c r="B49" s="108" t="s">
        <v>58</v>
      </c>
      <c r="C49" s="109">
        <v>5369</v>
      </c>
      <c r="D49" s="109">
        <v>56.47</v>
      </c>
      <c r="E49" s="109">
        <v>1.06</v>
      </c>
      <c r="F49" s="109">
        <v>0</v>
      </c>
      <c r="G49" s="109">
        <v>0</v>
      </c>
      <c r="H49" s="9">
        <f>D49+F49+'02-18-21'!H49</f>
        <v>1066.6600000000001</v>
      </c>
      <c r="I49" s="9">
        <f>E49+G49+'02-18-21'!I49</f>
        <v>20.16</v>
      </c>
      <c r="J49" s="9">
        <f t="shared" si="13"/>
        <v>1086.8200000000002</v>
      </c>
      <c r="K49" s="9">
        <f>C49-J49</f>
        <v>4282.18</v>
      </c>
      <c r="L49" s="9">
        <f t="shared" si="14"/>
        <v>3794.8361111111153</v>
      </c>
      <c r="M49" s="121"/>
    </row>
    <row r="50" spans="1:13" s="110" customFormat="1" ht="11.25" customHeight="1" x14ac:dyDescent="0.25">
      <c r="A50" s="25" t="s">
        <v>95</v>
      </c>
      <c r="B50" s="108" t="s">
        <v>94</v>
      </c>
      <c r="C50" s="109">
        <f>2000+1000</f>
        <v>3000</v>
      </c>
      <c r="D50" s="109">
        <v>240</v>
      </c>
      <c r="E50" s="109">
        <v>4.55</v>
      </c>
      <c r="F50" s="109">
        <v>0</v>
      </c>
      <c r="G50" s="109">
        <v>0</v>
      </c>
      <c r="H50" s="9">
        <f>D50+F50+'02-18-21'!H50</f>
        <v>2211.5</v>
      </c>
      <c r="I50" s="9">
        <f>E50+G50+'02-18-21'!I50</f>
        <v>42.8</v>
      </c>
      <c r="J50" s="9">
        <f t="shared" si="13"/>
        <v>2254.3000000000002</v>
      </c>
      <c r="K50" s="9">
        <f>C50-J50</f>
        <v>745.69999999999982</v>
      </c>
      <c r="L50" s="9">
        <f t="shared" si="14"/>
        <v>-265.15674603173693</v>
      </c>
      <c r="M50" s="116"/>
    </row>
    <row r="51" spans="1:13" ht="21.6" customHeight="1" x14ac:dyDescent="0.25">
      <c r="A51" s="153" t="s">
        <v>5</v>
      </c>
      <c r="B51" s="154"/>
      <c r="C51" s="7">
        <f t="shared" ref="C51" si="17">SUM(C33:C49)</f>
        <v>73110.95</v>
      </c>
      <c r="D51" s="7">
        <f t="shared" ref="D51:L51" si="18">SUM(D33:D50)</f>
        <v>1005.03</v>
      </c>
      <c r="E51" s="7">
        <f t="shared" si="18"/>
        <v>19.03</v>
      </c>
      <c r="F51" s="7">
        <f t="shared" si="18"/>
        <v>2160</v>
      </c>
      <c r="G51" s="7">
        <f t="shared" si="18"/>
        <v>112.31</v>
      </c>
      <c r="H51" s="7">
        <f t="shared" si="18"/>
        <v>40718.43</v>
      </c>
      <c r="I51" s="7">
        <f t="shared" si="18"/>
        <v>1349.7570000000001</v>
      </c>
      <c r="J51" s="7">
        <f t="shared" si="18"/>
        <v>42068.187000000005</v>
      </c>
      <c r="K51" s="7">
        <f t="shared" si="18"/>
        <v>34042.762999999992</v>
      </c>
      <c r="L51" s="7">
        <f t="shared" si="18"/>
        <v>15178.853750000173</v>
      </c>
    </row>
    <row r="52" spans="1:13" ht="10.9" customHeight="1" x14ac:dyDescent="0.25">
      <c r="A52" s="17"/>
      <c r="B52" s="16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3" ht="10.9" customHeight="1" x14ac:dyDescent="0.25">
      <c r="A53" s="17"/>
      <c r="B53" s="16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3" s="92" customFormat="1" ht="10.9" customHeight="1" x14ac:dyDescent="0.25">
      <c r="A54" s="22" t="s">
        <v>4</v>
      </c>
      <c r="B54" s="29" t="s">
        <v>3</v>
      </c>
      <c r="C54" s="9">
        <v>62583</v>
      </c>
      <c r="D54" s="10">
        <v>985.77</v>
      </c>
      <c r="E54" s="10">
        <v>18.72</v>
      </c>
      <c r="F54" s="10">
        <v>0</v>
      </c>
      <c r="G54" s="10">
        <v>0</v>
      </c>
      <c r="H54" s="9">
        <f>D54+F54+'02-18-21'!H54</f>
        <v>13915.13</v>
      </c>
      <c r="I54" s="9">
        <f>E54+G54+'02-18-21'!I54</f>
        <v>290.92200000000003</v>
      </c>
      <c r="J54" s="9">
        <f t="shared" ref="J54:J55" si="19">H54+I54</f>
        <v>14206.052</v>
      </c>
      <c r="K54" s="9">
        <f>C54-J54</f>
        <v>48376.948000000004</v>
      </c>
      <c r="L54" s="9">
        <f t="shared" ref="L54:L55" si="20">C54-((J54/18)*26.0714285714285)</f>
        <v>42006.773888888943</v>
      </c>
      <c r="M54" s="115"/>
    </row>
    <row r="55" spans="1:13" s="92" customFormat="1" ht="10.9" customHeight="1" x14ac:dyDescent="0.25">
      <c r="A55" s="22" t="s">
        <v>112</v>
      </c>
      <c r="B55" s="29" t="s">
        <v>111</v>
      </c>
      <c r="C55" s="9">
        <v>11243</v>
      </c>
      <c r="D55" s="9">
        <v>0</v>
      </c>
      <c r="E55" s="9">
        <v>0</v>
      </c>
      <c r="F55" s="9">
        <v>0</v>
      </c>
      <c r="G55" s="9">
        <v>0</v>
      </c>
      <c r="H55" s="9">
        <f>D55+F55+'02-18-21'!H55</f>
        <v>0</v>
      </c>
      <c r="I55" s="9">
        <f>E55+G55+'02-18-21'!I55</f>
        <v>0</v>
      </c>
      <c r="J55" s="9">
        <f t="shared" si="19"/>
        <v>0</v>
      </c>
      <c r="K55" s="9">
        <f>C55-J55</f>
        <v>11243</v>
      </c>
      <c r="L55" s="9">
        <f t="shared" si="20"/>
        <v>11243</v>
      </c>
      <c r="M55" s="115"/>
    </row>
    <row r="56" spans="1:13" ht="21.6" customHeight="1" x14ac:dyDescent="0.25">
      <c r="A56" s="20" t="s">
        <v>2</v>
      </c>
      <c r="B56" s="19"/>
      <c r="C56" s="18">
        <f>C54+C55</f>
        <v>73826</v>
      </c>
      <c r="D56" s="18">
        <f t="shared" ref="D56:L56" si="21">D54+D55</f>
        <v>985.77</v>
      </c>
      <c r="E56" s="18">
        <f t="shared" si="21"/>
        <v>18.72</v>
      </c>
      <c r="F56" s="18">
        <f t="shared" si="21"/>
        <v>0</v>
      </c>
      <c r="G56" s="18">
        <f t="shared" si="21"/>
        <v>0</v>
      </c>
      <c r="H56" s="18">
        <f t="shared" si="21"/>
        <v>13915.13</v>
      </c>
      <c r="I56" s="18">
        <f t="shared" si="21"/>
        <v>290.92200000000003</v>
      </c>
      <c r="J56" s="18">
        <f t="shared" si="21"/>
        <v>14206.052</v>
      </c>
      <c r="K56" s="18">
        <f t="shared" si="21"/>
        <v>59619.948000000004</v>
      </c>
      <c r="L56" s="18">
        <f t="shared" si="21"/>
        <v>53249.773888888943</v>
      </c>
    </row>
    <row r="57" spans="1:13" ht="10.9" customHeight="1" x14ac:dyDescent="0.25">
      <c r="A57" s="17"/>
      <c r="B57" s="16"/>
      <c r="C57" s="15"/>
      <c r="D57" s="15"/>
      <c r="E57" s="15"/>
      <c r="F57" s="15"/>
      <c r="G57" s="15"/>
      <c r="H57" s="15"/>
      <c r="I57" s="15"/>
      <c r="J57" s="15"/>
      <c r="K57" s="15"/>
      <c r="L57" s="15"/>
    </row>
    <row r="58" spans="1:13" ht="10.9" customHeight="1" x14ac:dyDescent="0.25">
      <c r="A58" s="17"/>
      <c r="B58" s="16"/>
      <c r="C58" s="15"/>
      <c r="D58" s="15"/>
      <c r="E58" s="15"/>
      <c r="F58" s="15"/>
      <c r="G58" s="15"/>
      <c r="H58" s="15"/>
      <c r="I58" s="15"/>
      <c r="J58" s="15"/>
      <c r="K58" s="15"/>
      <c r="L58" s="15"/>
    </row>
    <row r="59" spans="1:13" s="92" customFormat="1" ht="10.9" customHeight="1" x14ac:dyDescent="0.25">
      <c r="A59" s="13" t="s">
        <v>1</v>
      </c>
      <c r="B59" s="33">
        <v>55180000</v>
      </c>
      <c r="C59" s="9">
        <v>37736</v>
      </c>
      <c r="D59" s="10">
        <v>0</v>
      </c>
      <c r="E59" s="10">
        <v>0</v>
      </c>
      <c r="F59" s="10">
        <v>511.7</v>
      </c>
      <c r="G59" s="10">
        <v>26.6</v>
      </c>
      <c r="H59" s="9">
        <f>D59+F59+'02-18-21'!H59</f>
        <v>7500.0600000000013</v>
      </c>
      <c r="I59" s="9">
        <f>E59+G59+'02-18-21'!I59</f>
        <v>389.88000000000005</v>
      </c>
      <c r="J59" s="9">
        <f t="shared" ref="J59" si="22">H59+I59</f>
        <v>7889.9400000000014</v>
      </c>
      <c r="K59" s="9">
        <f>C59-J59</f>
        <v>29846.059999999998</v>
      </c>
      <c r="L59" s="9">
        <f>C59-((J59/18)*26.0714285714285)</f>
        <v>26308.110714285744</v>
      </c>
      <c r="M59" s="115"/>
    </row>
    <row r="60" spans="1:13" s="3" customFormat="1" ht="21.6" customHeight="1" x14ac:dyDescent="0.25">
      <c r="A60" s="153" t="s">
        <v>0</v>
      </c>
      <c r="B60" s="154"/>
      <c r="C60" s="7">
        <f t="shared" ref="C60:L60" si="23">SUM(C59)</f>
        <v>37736</v>
      </c>
      <c r="D60" s="7">
        <f t="shared" si="23"/>
        <v>0</v>
      </c>
      <c r="E60" s="7">
        <f t="shared" si="23"/>
        <v>0</v>
      </c>
      <c r="F60" s="7">
        <f t="shared" si="23"/>
        <v>511.7</v>
      </c>
      <c r="G60" s="7">
        <f t="shared" si="23"/>
        <v>26.6</v>
      </c>
      <c r="H60" s="7">
        <f t="shared" si="23"/>
        <v>7500.0600000000013</v>
      </c>
      <c r="I60" s="7">
        <f t="shared" si="23"/>
        <v>389.88000000000005</v>
      </c>
      <c r="J60" s="7">
        <f t="shared" si="23"/>
        <v>7889.9400000000014</v>
      </c>
      <c r="K60" s="7">
        <f t="shared" si="23"/>
        <v>29846.059999999998</v>
      </c>
      <c r="L60" s="7">
        <f t="shared" si="23"/>
        <v>26308.110714285744</v>
      </c>
      <c r="M60" s="122"/>
    </row>
    <row r="61" spans="1:13" s="3" customFormat="1" ht="11.25" customHeight="1" x14ac:dyDescent="0.25">
      <c r="A61" s="6"/>
      <c r="B61" s="5"/>
      <c r="C61" s="4"/>
      <c r="D61" s="4"/>
      <c r="E61" s="4"/>
      <c r="F61" s="4"/>
      <c r="G61" s="4"/>
      <c r="H61" s="4"/>
      <c r="I61" s="4"/>
      <c r="J61" s="4"/>
      <c r="K61" s="4"/>
      <c r="L61" s="4"/>
      <c r="M61" s="122"/>
    </row>
    <row r="62" spans="1:13" s="2" customFormat="1" ht="10.5" customHeight="1" x14ac:dyDescent="0.25">
      <c r="A62" s="160" t="s">
        <v>72</v>
      </c>
      <c r="B62" s="160"/>
      <c r="C62" s="160"/>
      <c r="D62" s="160"/>
      <c r="E62" s="160"/>
      <c r="F62" s="160"/>
      <c r="G62" s="82">
        <v>12000</v>
      </c>
      <c r="M62" s="111"/>
    </row>
    <row r="63" spans="1:13" s="2" customFormat="1" ht="10.5" customHeight="1" x14ac:dyDescent="0.25">
      <c r="A63" s="160" t="s">
        <v>73</v>
      </c>
      <c r="B63" s="160"/>
      <c r="C63" s="160"/>
      <c r="D63" s="160"/>
      <c r="E63" s="160"/>
      <c r="F63" s="160"/>
      <c r="G63" s="82">
        <v>5600</v>
      </c>
      <c r="M63" s="111"/>
    </row>
    <row r="64" spans="1:13" ht="10.5" customHeight="1" x14ac:dyDescent="0.25">
      <c r="A64" s="160" t="s">
        <v>76</v>
      </c>
      <c r="B64" s="160"/>
      <c r="C64" s="160"/>
      <c r="D64" s="160"/>
      <c r="E64" s="160"/>
      <c r="F64" s="160"/>
      <c r="G64" s="82">
        <v>9800</v>
      </c>
    </row>
    <row r="65" spans="1:13" ht="10.5" customHeight="1" x14ac:dyDescent="0.25">
      <c r="A65" s="160" t="s">
        <v>75</v>
      </c>
      <c r="B65" s="160"/>
      <c r="C65" s="160"/>
      <c r="D65" s="160"/>
      <c r="E65" s="160"/>
      <c r="F65" s="160"/>
      <c r="G65" s="82">
        <v>1500</v>
      </c>
    </row>
    <row r="66" spans="1:13" ht="10.5" customHeight="1" x14ac:dyDescent="0.25">
      <c r="A66" s="160" t="s">
        <v>74</v>
      </c>
      <c r="B66" s="160"/>
      <c r="C66" s="160"/>
      <c r="D66" s="160"/>
      <c r="E66" s="160"/>
      <c r="F66" s="160"/>
      <c r="G66" s="82">
        <v>843.44</v>
      </c>
    </row>
    <row r="67" spans="1:13" ht="10.5" customHeight="1" x14ac:dyDescent="0.25">
      <c r="A67" s="160" t="s">
        <v>77</v>
      </c>
      <c r="B67" s="160"/>
      <c r="C67" s="160"/>
      <c r="D67" s="160"/>
      <c r="E67" s="160"/>
      <c r="F67" s="160"/>
      <c r="G67" s="82">
        <v>1784.19</v>
      </c>
    </row>
    <row r="68" spans="1:13" ht="10.5" customHeight="1" x14ac:dyDescent="0.25">
      <c r="A68" s="160" t="s">
        <v>78</v>
      </c>
      <c r="B68" s="160"/>
      <c r="C68" s="160"/>
      <c r="D68" s="160"/>
      <c r="E68" s="160"/>
      <c r="F68" s="160"/>
      <c r="G68" s="82">
        <v>2453.12</v>
      </c>
    </row>
    <row r="69" spans="1:13" s="2" customFormat="1" ht="10.5" customHeight="1" x14ac:dyDescent="0.25">
      <c r="A69" s="160" t="s">
        <v>84</v>
      </c>
      <c r="B69" s="160"/>
      <c r="C69" s="160"/>
      <c r="D69" s="160"/>
      <c r="E69" s="160"/>
      <c r="F69" s="160"/>
      <c r="G69" s="82">
        <v>2598.4499999999998</v>
      </c>
      <c r="M69" s="112"/>
    </row>
    <row r="70" spans="1:13" s="2" customFormat="1" ht="10.5" customHeight="1" x14ac:dyDescent="0.25">
      <c r="A70" s="160" t="s">
        <v>85</v>
      </c>
      <c r="B70" s="160"/>
      <c r="C70" s="160"/>
      <c r="D70" s="160"/>
      <c r="E70" s="160"/>
      <c r="F70" s="160"/>
      <c r="G70" s="82">
        <v>2659</v>
      </c>
      <c r="M70" s="112"/>
    </row>
    <row r="71" spans="1:13" s="2" customFormat="1" ht="10.5" customHeight="1" x14ac:dyDescent="0.25">
      <c r="A71" s="160" t="s">
        <v>90</v>
      </c>
      <c r="B71" s="160"/>
      <c r="C71" s="160"/>
      <c r="D71" s="160"/>
      <c r="E71" s="160"/>
      <c r="F71" s="160"/>
      <c r="G71" s="82">
        <v>1200</v>
      </c>
      <c r="M71" s="112"/>
    </row>
    <row r="72" spans="1:13" s="2" customFormat="1" ht="10.5" customHeight="1" x14ac:dyDescent="0.25">
      <c r="A72" s="160" t="s">
        <v>93</v>
      </c>
      <c r="B72" s="160"/>
      <c r="C72" s="160"/>
      <c r="D72" s="160"/>
      <c r="E72" s="160"/>
      <c r="F72" s="160"/>
      <c r="G72" s="82">
        <v>2109</v>
      </c>
      <c r="M72" s="111"/>
    </row>
    <row r="73" spans="1:13" s="2" customFormat="1" ht="10.5" customHeight="1" x14ac:dyDescent="0.25">
      <c r="A73" s="160" t="s">
        <v>100</v>
      </c>
      <c r="B73" s="160"/>
      <c r="C73" s="160"/>
      <c r="D73" s="160"/>
      <c r="E73" s="160"/>
      <c r="F73" s="160"/>
      <c r="G73" s="82">
        <v>6100</v>
      </c>
      <c r="M73" s="111"/>
    </row>
    <row r="74" spans="1:13" s="2" customFormat="1" ht="10.5" customHeight="1" x14ac:dyDescent="0.25">
      <c r="A74" s="160" t="s">
        <v>102</v>
      </c>
      <c r="B74" s="160"/>
      <c r="C74" s="160"/>
      <c r="D74" s="160"/>
      <c r="E74" s="160"/>
      <c r="F74" s="160"/>
      <c r="G74" s="82">
        <v>5369</v>
      </c>
      <c r="M74" s="112"/>
    </row>
    <row r="75" spans="1:13" ht="10.5" customHeight="1" x14ac:dyDescent="0.25">
      <c r="A75" s="160" t="s">
        <v>106</v>
      </c>
      <c r="B75" s="160"/>
      <c r="C75" s="160"/>
      <c r="D75" s="160"/>
      <c r="E75" s="160"/>
      <c r="F75" s="160"/>
      <c r="G75" s="82">
        <v>16442.41</v>
      </c>
    </row>
    <row r="76" spans="1:13" ht="10.5" customHeight="1" x14ac:dyDescent="0.25">
      <c r="A76" s="160" t="s">
        <v>107</v>
      </c>
      <c r="B76" s="160"/>
      <c r="C76" s="160"/>
      <c r="D76" s="160"/>
      <c r="E76" s="160"/>
      <c r="F76" s="160"/>
      <c r="G76" s="82">
        <v>1609.56</v>
      </c>
    </row>
    <row r="77" spans="1:13" s="2" customFormat="1" ht="10.5" customHeight="1" x14ac:dyDescent="0.25">
      <c r="A77" s="160" t="s">
        <v>109</v>
      </c>
      <c r="B77" s="160"/>
      <c r="C77" s="160"/>
      <c r="D77" s="160"/>
      <c r="E77" s="160"/>
      <c r="F77" s="160"/>
      <c r="G77" s="82">
        <v>1000</v>
      </c>
      <c r="M77" s="112"/>
    </row>
    <row r="78" spans="1:13" ht="20.25" customHeight="1" x14ac:dyDescent="0.25">
      <c r="A78" s="160" t="s">
        <v>113</v>
      </c>
      <c r="B78" s="160"/>
      <c r="C78" s="160"/>
      <c r="D78" s="160"/>
      <c r="E78" s="160"/>
      <c r="F78" s="160"/>
      <c r="G78" s="82">
        <v>75940.289999999994</v>
      </c>
    </row>
    <row r="79" spans="1:13" s="2" customFormat="1" ht="10.5" customHeight="1" x14ac:dyDescent="0.25">
      <c r="A79" s="160" t="s">
        <v>115</v>
      </c>
      <c r="B79" s="160"/>
      <c r="C79" s="160"/>
      <c r="D79" s="160"/>
      <c r="E79" s="160"/>
      <c r="F79" s="160"/>
      <c r="G79" s="82">
        <v>1200</v>
      </c>
      <c r="M79" s="112"/>
    </row>
    <row r="80" spans="1:13" x14ac:dyDescent="0.25">
      <c r="D80" s="111"/>
      <c r="E80" s="111"/>
      <c r="F80" s="111"/>
      <c r="G80" s="111"/>
    </row>
    <row r="81" spans="1:13" x14ac:dyDescent="0.25">
      <c r="D81" s="111"/>
      <c r="E81" s="111"/>
      <c r="F81" s="111"/>
      <c r="G81" s="111"/>
    </row>
    <row r="82" spans="1:13" s="2" customFormat="1" x14ac:dyDescent="0.25">
      <c r="A82" s="1"/>
      <c r="B82" s="1"/>
      <c r="C82" s="77"/>
      <c r="D82" s="111"/>
      <c r="E82" s="111"/>
      <c r="F82" s="111"/>
      <c r="G82" s="111"/>
      <c r="M82" s="112"/>
    </row>
    <row r="83" spans="1:13" s="2" customFormat="1" x14ac:dyDescent="0.25">
      <c r="A83" s="1"/>
      <c r="B83" s="1"/>
      <c r="C83" s="77"/>
      <c r="D83" s="111"/>
      <c r="E83" s="111"/>
      <c r="F83" s="111"/>
      <c r="G83" s="111"/>
      <c r="M83" s="112"/>
    </row>
    <row r="84" spans="1:13" s="2" customFormat="1" x14ac:dyDescent="0.25">
      <c r="A84" s="1"/>
      <c r="B84" s="1"/>
      <c r="C84" s="77"/>
      <c r="D84" s="111"/>
      <c r="E84" s="111"/>
      <c r="F84" s="111"/>
      <c r="G84" s="111"/>
      <c r="M84" s="112"/>
    </row>
  </sheetData>
  <mergeCells count="24">
    <mergeCell ref="A67:F67"/>
    <mergeCell ref="A15:B15"/>
    <mergeCell ref="A21:B21"/>
    <mergeCell ref="A27:B27"/>
    <mergeCell ref="A30:B30"/>
    <mergeCell ref="A51:B51"/>
    <mergeCell ref="A60:B60"/>
    <mergeCell ref="A62:F62"/>
    <mergeCell ref="A63:F63"/>
    <mergeCell ref="A64:F64"/>
    <mergeCell ref="A65:F65"/>
    <mergeCell ref="A66:F66"/>
    <mergeCell ref="A79:F79"/>
    <mergeCell ref="A68:F68"/>
    <mergeCell ref="A69:F69"/>
    <mergeCell ref="A70:F70"/>
    <mergeCell ref="A71:F71"/>
    <mergeCell ref="A72:F72"/>
    <mergeCell ref="A73:F73"/>
    <mergeCell ref="A74:F74"/>
    <mergeCell ref="A75:F75"/>
    <mergeCell ref="A76:F76"/>
    <mergeCell ref="A77:F77"/>
    <mergeCell ref="A78:F78"/>
  </mergeCells>
  <pageMargins left="0.25" right="0" top="0.4" bottom="0" header="0.3" footer="0"/>
  <pageSetup scale="86" fitToWidth="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M84"/>
  <sheetViews>
    <sheetView zoomScale="160" zoomScaleNormal="160" workbookViewId="0">
      <pane ySplit="2" topLeftCell="A27" activePane="bottomLeft" state="frozen"/>
      <selection pane="bottomLeft" activeCell="C38" sqref="C38"/>
    </sheetView>
  </sheetViews>
  <sheetFormatPr defaultColWidth="28" defaultRowHeight="15" x14ac:dyDescent="0.25"/>
  <cols>
    <col min="1" max="1" width="34" style="1" bestFit="1" customWidth="1"/>
    <col min="2" max="2" width="19" style="1" bestFit="1" customWidth="1"/>
    <col min="3" max="3" width="11" style="77" customWidth="1"/>
    <col min="4" max="4" width="8.140625" style="2" bestFit="1" customWidth="1"/>
    <col min="5" max="5" width="6.28515625" style="2" bestFit="1" customWidth="1"/>
    <col min="6" max="6" width="9" style="2" bestFit="1" customWidth="1"/>
    <col min="7" max="7" width="8.7109375" style="2" bestFit="1" customWidth="1"/>
    <col min="8" max="8" width="9.28515625" style="2" bestFit="1" customWidth="1"/>
    <col min="9" max="9" width="9.42578125" style="2" bestFit="1" customWidth="1"/>
    <col min="10" max="10" width="9.7109375" style="2" bestFit="1" customWidth="1"/>
    <col min="11" max="11" width="9.28515625" style="2" bestFit="1" customWidth="1"/>
    <col min="12" max="12" width="13.42578125" style="2" bestFit="1" customWidth="1"/>
    <col min="13" max="13" width="84.5703125" style="112" bestFit="1" customWidth="1"/>
    <col min="14" max="16384" width="28" style="1"/>
  </cols>
  <sheetData>
    <row r="1" spans="1:13" ht="11.25" customHeight="1" x14ac:dyDescent="0.25">
      <c r="A1" s="68"/>
      <c r="B1" s="67"/>
      <c r="C1" s="76"/>
      <c r="D1" s="66"/>
      <c r="E1" s="66"/>
      <c r="F1" s="66"/>
      <c r="G1" s="66"/>
      <c r="H1" s="66"/>
      <c r="I1" s="66"/>
      <c r="J1" s="66"/>
      <c r="K1" s="66"/>
      <c r="L1" s="65" t="s">
        <v>116</v>
      </c>
    </row>
    <row r="2" spans="1:13" s="61" customFormat="1" ht="23.25" x14ac:dyDescent="0.25">
      <c r="A2" s="64" t="s">
        <v>53</v>
      </c>
      <c r="B2" s="64" t="s">
        <v>52</v>
      </c>
      <c r="C2" s="63" t="s">
        <v>51</v>
      </c>
      <c r="D2" s="63" t="s">
        <v>50</v>
      </c>
      <c r="E2" s="63" t="s">
        <v>48</v>
      </c>
      <c r="F2" s="63" t="s">
        <v>49</v>
      </c>
      <c r="G2" s="63" t="s">
        <v>48</v>
      </c>
      <c r="H2" s="62" t="s">
        <v>47</v>
      </c>
      <c r="I2" s="62" t="s">
        <v>46</v>
      </c>
      <c r="J2" s="62" t="s">
        <v>45</v>
      </c>
      <c r="K2" s="62" t="s">
        <v>44</v>
      </c>
      <c r="L2" s="62" t="s">
        <v>43</v>
      </c>
      <c r="M2" s="113"/>
    </row>
    <row r="3" spans="1:13" s="101" customFormat="1" ht="11.25" customHeight="1" x14ac:dyDescent="0.25">
      <c r="A3" s="22" t="s">
        <v>42</v>
      </c>
      <c r="B3" s="29">
        <v>55010300</v>
      </c>
      <c r="C3" s="89">
        <v>4208</v>
      </c>
      <c r="D3" s="9">
        <v>0</v>
      </c>
      <c r="E3" s="9">
        <v>0</v>
      </c>
      <c r="F3" s="9">
        <v>0</v>
      </c>
      <c r="G3" s="9">
        <v>0</v>
      </c>
      <c r="H3" s="9">
        <f>D3+F3+'03-04-21'!H3</f>
        <v>0</v>
      </c>
      <c r="I3" s="9">
        <f>E3+G3+'03-04-21'!I3</f>
        <v>0</v>
      </c>
      <c r="J3" s="9">
        <f>H3+I3</f>
        <v>0</v>
      </c>
      <c r="K3" s="9">
        <f>C3-J3</f>
        <v>4208</v>
      </c>
      <c r="L3" s="9">
        <f>C3-((J3/19)*26.0714285714285)</f>
        <v>4208</v>
      </c>
      <c r="M3" s="114"/>
    </row>
    <row r="4" spans="1:13" s="101" customFormat="1" ht="11.25" customHeight="1" x14ac:dyDescent="0.25">
      <c r="A4" s="22" t="s">
        <v>41</v>
      </c>
      <c r="B4" s="29">
        <v>55010500</v>
      </c>
      <c r="C4" s="9">
        <v>3229</v>
      </c>
      <c r="D4" s="10">
        <v>0</v>
      </c>
      <c r="E4" s="10">
        <v>0</v>
      </c>
      <c r="F4" s="10">
        <v>0</v>
      </c>
      <c r="G4" s="10">
        <v>0</v>
      </c>
      <c r="H4" s="9">
        <f>D4+F4+'03-04-21'!H4</f>
        <v>0</v>
      </c>
      <c r="I4" s="9">
        <f>E4+G4+'03-04-21'!I4</f>
        <v>0</v>
      </c>
      <c r="J4" s="9">
        <f t="shared" ref="J4:J14" si="0">H4+I4</f>
        <v>0</v>
      </c>
      <c r="K4" s="9">
        <f t="shared" ref="K4:K14" si="1">C4-J4</f>
        <v>3229</v>
      </c>
      <c r="L4" s="9">
        <f t="shared" ref="L4:L14" si="2">C4-((J4/19)*26.0714285714285)</f>
        <v>3229</v>
      </c>
      <c r="M4" s="114"/>
    </row>
    <row r="5" spans="1:13" s="92" customFormat="1" ht="11.25" customHeight="1" x14ac:dyDescent="0.25">
      <c r="A5" s="58" t="s">
        <v>40</v>
      </c>
      <c r="B5" s="102">
        <v>55020200</v>
      </c>
      <c r="C5" s="103">
        <f>24649+14202</f>
        <v>38851</v>
      </c>
      <c r="D5" s="55">
        <v>986.7</v>
      </c>
      <c r="E5" s="55">
        <v>18.739999999999998</v>
      </c>
      <c r="F5" s="55">
        <v>1731.25</v>
      </c>
      <c r="G5" s="55">
        <v>90.02</v>
      </c>
      <c r="H5" s="9">
        <f>D5+F5+'03-04-21'!H5</f>
        <v>19456.560000000001</v>
      </c>
      <c r="I5" s="9">
        <f>E5+G5+'03-04-21'!I5</f>
        <v>642.48</v>
      </c>
      <c r="J5" s="9">
        <f t="shared" si="0"/>
        <v>20099.04</v>
      </c>
      <c r="K5" s="9">
        <f t="shared" si="1"/>
        <v>18751.96</v>
      </c>
      <c r="L5" s="9">
        <f t="shared" si="2"/>
        <v>11271.490225563983</v>
      </c>
      <c r="M5" s="115"/>
    </row>
    <row r="6" spans="1:13" s="92" customFormat="1" ht="11.25" customHeight="1" x14ac:dyDescent="0.25">
      <c r="A6" s="22" t="s">
        <v>39</v>
      </c>
      <c r="B6" s="29">
        <v>55020300</v>
      </c>
      <c r="C6" s="9">
        <f>17974+9665</f>
        <v>27639</v>
      </c>
      <c r="D6" s="10">
        <v>718.78</v>
      </c>
      <c r="E6" s="10">
        <v>13.65</v>
      </c>
      <c r="F6" s="10">
        <v>975</v>
      </c>
      <c r="G6" s="10">
        <v>50.7</v>
      </c>
      <c r="H6" s="9">
        <f>D6+F6+'03-04-21'!H6</f>
        <v>10300.11</v>
      </c>
      <c r="I6" s="9">
        <f>E6+G6+'03-04-21'!I6</f>
        <v>349.86</v>
      </c>
      <c r="J6" s="9">
        <f t="shared" si="0"/>
        <v>10649.970000000001</v>
      </c>
      <c r="K6" s="9">
        <f t="shared" si="1"/>
        <v>16989.03</v>
      </c>
      <c r="L6" s="9">
        <f t="shared" si="2"/>
        <v>13025.319360902295</v>
      </c>
      <c r="M6" s="115"/>
    </row>
    <row r="7" spans="1:13" s="92" customFormat="1" ht="11.25" customHeight="1" x14ac:dyDescent="0.25">
      <c r="A7" s="22" t="s">
        <v>38</v>
      </c>
      <c r="B7" s="29">
        <v>55020400</v>
      </c>
      <c r="C7" s="9">
        <f>17974+9665</f>
        <v>27639</v>
      </c>
      <c r="D7" s="10">
        <v>277.07</v>
      </c>
      <c r="E7" s="10">
        <v>5.26</v>
      </c>
      <c r="F7" s="10">
        <v>1075</v>
      </c>
      <c r="G7" s="10">
        <v>55.9</v>
      </c>
      <c r="H7" s="9">
        <f>D7+F7+'03-04-21'!H7</f>
        <v>8481.98</v>
      </c>
      <c r="I7" s="9">
        <f>E7+G7+'03-04-21'!I7</f>
        <v>293.36</v>
      </c>
      <c r="J7" s="9">
        <f t="shared" si="0"/>
        <v>8775.34</v>
      </c>
      <c r="K7" s="9">
        <f t="shared" si="1"/>
        <v>18863.66</v>
      </c>
      <c r="L7" s="9">
        <f t="shared" si="2"/>
        <v>15597.650000000034</v>
      </c>
      <c r="M7" s="115"/>
    </row>
    <row r="8" spans="1:13" s="92" customFormat="1" ht="11.25" customHeight="1" x14ac:dyDescent="0.25">
      <c r="A8" s="22" t="s">
        <v>92</v>
      </c>
      <c r="B8" s="29">
        <v>55030100</v>
      </c>
      <c r="C8" s="9">
        <v>2109</v>
      </c>
      <c r="D8" s="9">
        <v>0</v>
      </c>
      <c r="E8" s="9">
        <v>0</v>
      </c>
      <c r="F8" s="9">
        <v>0</v>
      </c>
      <c r="G8" s="9">
        <v>0</v>
      </c>
      <c r="H8" s="9">
        <f>D8+F8+'03-04-21'!H8</f>
        <v>841.91000000000008</v>
      </c>
      <c r="I8" s="9">
        <f>E8+G8+'03-04-21'!I8</f>
        <v>15.939999999999998</v>
      </c>
      <c r="J8" s="9">
        <f t="shared" si="0"/>
        <v>857.85000000000014</v>
      </c>
      <c r="K8" s="9">
        <f t="shared" si="1"/>
        <v>1251.1499999999999</v>
      </c>
      <c r="L8" s="9">
        <f t="shared" si="2"/>
        <v>931.87500000000318</v>
      </c>
      <c r="M8" s="115"/>
    </row>
    <row r="9" spans="1:13" s="92" customFormat="1" ht="11.25" customHeight="1" x14ac:dyDescent="0.25">
      <c r="A9" s="54" t="s">
        <v>37</v>
      </c>
      <c r="B9" s="29">
        <v>55030200</v>
      </c>
      <c r="C9" s="9">
        <v>24330</v>
      </c>
      <c r="D9" s="10">
        <v>394.01</v>
      </c>
      <c r="E9" s="10">
        <v>7.48</v>
      </c>
      <c r="F9" s="10">
        <v>0</v>
      </c>
      <c r="G9" s="10">
        <v>0</v>
      </c>
      <c r="H9" s="9">
        <f>D9+F9+'03-04-21'!H9</f>
        <v>6733.7600000000011</v>
      </c>
      <c r="I9" s="9">
        <f>E9+G9+'03-04-21'!I9</f>
        <v>128.11000000000001</v>
      </c>
      <c r="J9" s="9">
        <f t="shared" si="0"/>
        <v>6861.8700000000008</v>
      </c>
      <c r="K9" s="9">
        <f t="shared" si="1"/>
        <v>17468.129999999997</v>
      </c>
      <c r="L9" s="9">
        <f t="shared" si="2"/>
        <v>14914.276127819574</v>
      </c>
      <c r="M9" s="123"/>
    </row>
    <row r="10" spans="1:13" s="92" customFormat="1" ht="11.25" customHeight="1" x14ac:dyDescent="0.25">
      <c r="A10" s="22" t="s">
        <v>36</v>
      </c>
      <c r="B10" s="29">
        <v>55050200</v>
      </c>
      <c r="C10" s="9">
        <f>34000+21500.29</f>
        <v>55500.29</v>
      </c>
      <c r="D10" s="10">
        <v>1204.5999999999999</v>
      </c>
      <c r="E10" s="10">
        <v>22.88</v>
      </c>
      <c r="F10" s="10">
        <v>2000</v>
      </c>
      <c r="G10" s="10">
        <v>104</v>
      </c>
      <c r="H10" s="9">
        <f>D10+F10+'03-04-21'!H10</f>
        <v>29588.69</v>
      </c>
      <c r="I10" s="9">
        <f>E10+G10+'03-04-21'!I10</f>
        <v>904.81999999999994</v>
      </c>
      <c r="J10" s="9">
        <f t="shared" si="0"/>
        <v>30493.51</v>
      </c>
      <c r="K10" s="9">
        <f t="shared" si="1"/>
        <v>25006.780000000002</v>
      </c>
      <c r="L10" s="9">
        <f t="shared" si="2"/>
        <v>13657.691691729444</v>
      </c>
      <c r="M10" s="123"/>
    </row>
    <row r="11" spans="1:13" s="92" customFormat="1" ht="11.25" hidden="1" customHeight="1" x14ac:dyDescent="0.25">
      <c r="A11" s="22" t="s">
        <v>80</v>
      </c>
      <c r="B11" s="29">
        <v>55050300</v>
      </c>
      <c r="C11" s="97"/>
      <c r="D11" s="9"/>
      <c r="E11" s="9"/>
      <c r="F11" s="9"/>
      <c r="G11" s="9"/>
      <c r="H11" s="9">
        <f>D11+F11+'03-04-21'!H11</f>
        <v>-310</v>
      </c>
      <c r="I11" s="9">
        <f>E11+G11+'03-04-21'!I11</f>
        <v>-5.8900000000000006</v>
      </c>
      <c r="J11" s="9">
        <f t="shared" si="0"/>
        <v>-315.89</v>
      </c>
      <c r="K11" s="9">
        <f t="shared" si="1"/>
        <v>315.89</v>
      </c>
      <c r="L11" s="9">
        <f t="shared" si="2"/>
        <v>433.45808270676571</v>
      </c>
      <c r="M11" s="116"/>
    </row>
    <row r="12" spans="1:13" s="98" customFormat="1" ht="11.25" customHeight="1" x14ac:dyDescent="0.25">
      <c r="A12" s="22" t="s">
        <v>35</v>
      </c>
      <c r="B12" s="29">
        <v>55070100</v>
      </c>
      <c r="C12" s="9">
        <f>42741+9665</f>
        <v>52406</v>
      </c>
      <c r="D12" s="10">
        <v>3017.37</v>
      </c>
      <c r="E12" s="10">
        <v>57.32</v>
      </c>
      <c r="F12" s="10">
        <v>1225</v>
      </c>
      <c r="G12" s="10">
        <v>63.7</v>
      </c>
      <c r="H12" s="9">
        <f>D12+F12+'03-04-21'!H12</f>
        <v>29936.329999999994</v>
      </c>
      <c r="I12" s="9">
        <f>E12+G12+'03-04-21'!I12</f>
        <v>819.9899999999999</v>
      </c>
      <c r="J12" s="9">
        <f t="shared" si="0"/>
        <v>30756.319999999996</v>
      </c>
      <c r="K12" s="9">
        <f t="shared" si="1"/>
        <v>21649.680000000004</v>
      </c>
      <c r="L12" s="9">
        <f t="shared" si="2"/>
        <v>10202.778947368541</v>
      </c>
      <c r="M12" s="124"/>
    </row>
    <row r="13" spans="1:13" s="92" customFormat="1" ht="11.25" customHeight="1" x14ac:dyDescent="0.25">
      <c r="A13" s="22" t="s">
        <v>34</v>
      </c>
      <c r="B13" s="29">
        <v>55080100</v>
      </c>
      <c r="C13" s="9">
        <v>23173</v>
      </c>
      <c r="D13" s="10">
        <v>1265.49</v>
      </c>
      <c r="E13" s="10">
        <v>24.04</v>
      </c>
      <c r="F13" s="10">
        <v>0</v>
      </c>
      <c r="G13" s="10">
        <v>0</v>
      </c>
      <c r="H13" s="9">
        <f>D13+F13+'03-04-21'!H13</f>
        <v>15850.820000000002</v>
      </c>
      <c r="I13" s="9">
        <f>E13+G13+'03-04-21'!I13</f>
        <v>301.07</v>
      </c>
      <c r="J13" s="9">
        <f t="shared" si="0"/>
        <v>16151.890000000001</v>
      </c>
      <c r="K13" s="9">
        <f t="shared" si="1"/>
        <v>7021.1099999999988</v>
      </c>
      <c r="L13" s="9">
        <f t="shared" si="2"/>
        <v>1009.6922932331436</v>
      </c>
      <c r="M13" s="123"/>
    </row>
    <row r="14" spans="1:13" s="99" customFormat="1" ht="11.25" customHeight="1" x14ac:dyDescent="0.25">
      <c r="A14" s="53" t="s">
        <v>33</v>
      </c>
      <c r="B14" s="33">
        <v>55190000</v>
      </c>
      <c r="C14" s="9">
        <v>6000</v>
      </c>
      <c r="D14" s="10">
        <v>382.2</v>
      </c>
      <c r="E14" s="10">
        <v>7.26</v>
      </c>
      <c r="F14" s="10">
        <v>0</v>
      </c>
      <c r="G14" s="10">
        <v>0</v>
      </c>
      <c r="H14" s="9">
        <f>D14+F14+'03-04-21'!H14</f>
        <v>1172.6300000000001</v>
      </c>
      <c r="I14" s="9">
        <f>E14+G14+'03-04-21'!I14</f>
        <v>22.22</v>
      </c>
      <c r="J14" s="9">
        <f t="shared" si="0"/>
        <v>1194.8500000000001</v>
      </c>
      <c r="K14" s="9">
        <f t="shared" si="1"/>
        <v>4805.1499999999996</v>
      </c>
      <c r="L14" s="9">
        <f t="shared" si="2"/>
        <v>4360.4501879699292</v>
      </c>
      <c r="M14" s="117"/>
    </row>
    <row r="15" spans="1:13" ht="21.6" customHeight="1" thickBot="1" x14ac:dyDescent="0.3">
      <c r="A15" s="155" t="s">
        <v>32</v>
      </c>
      <c r="B15" s="156"/>
      <c r="C15" s="49">
        <f t="shared" ref="C15:L15" si="3">SUM(C3:C14)</f>
        <v>265084.29000000004</v>
      </c>
      <c r="D15" s="7">
        <f t="shared" si="3"/>
        <v>8246.2199999999993</v>
      </c>
      <c r="E15" s="7">
        <f t="shared" si="3"/>
        <v>156.62999999999997</v>
      </c>
      <c r="F15" s="7">
        <f t="shared" si="3"/>
        <v>7006.25</v>
      </c>
      <c r="G15" s="7">
        <f t="shared" si="3"/>
        <v>364.32</v>
      </c>
      <c r="H15" s="7">
        <f t="shared" si="3"/>
        <v>122052.79000000001</v>
      </c>
      <c r="I15" s="7">
        <f t="shared" si="3"/>
        <v>3471.9599999999996</v>
      </c>
      <c r="J15" s="49">
        <f t="shared" si="3"/>
        <v>125524.75</v>
      </c>
      <c r="K15" s="49">
        <f t="shared" si="3"/>
        <v>139559.53999999998</v>
      </c>
      <c r="L15" s="7">
        <f t="shared" si="3"/>
        <v>92841.681917293725</v>
      </c>
    </row>
    <row r="16" spans="1:13" ht="11.25" customHeight="1" x14ac:dyDescent="0.25">
      <c r="A16" s="52"/>
      <c r="B16" s="41"/>
      <c r="C16" s="39"/>
      <c r="D16" s="39"/>
      <c r="E16" s="39"/>
      <c r="F16" s="39"/>
      <c r="G16" s="39"/>
      <c r="H16" s="39"/>
      <c r="I16" s="39"/>
      <c r="J16" s="39"/>
      <c r="K16" s="39"/>
      <c r="L16" s="51"/>
    </row>
    <row r="17" spans="1:13" ht="11.25" customHeight="1" thickBot="1" x14ac:dyDescent="0.3">
      <c r="A17" s="38"/>
      <c r="B17" s="37"/>
      <c r="C17" s="35"/>
      <c r="D17" s="35"/>
      <c r="E17" s="35"/>
      <c r="F17" s="35"/>
      <c r="G17" s="35"/>
      <c r="H17" s="35"/>
      <c r="I17" s="35"/>
      <c r="J17" s="35"/>
      <c r="K17" s="35"/>
      <c r="L17" s="50"/>
    </row>
    <row r="18" spans="1:13" s="92" customFormat="1" ht="11.45" customHeight="1" x14ac:dyDescent="0.25">
      <c r="A18" s="13" t="s">
        <v>31</v>
      </c>
      <c r="B18" s="33">
        <v>55090100</v>
      </c>
      <c r="C18" s="9">
        <v>26923</v>
      </c>
      <c r="D18" s="10">
        <v>0</v>
      </c>
      <c r="E18" s="10">
        <v>0</v>
      </c>
      <c r="F18" s="10">
        <v>0</v>
      </c>
      <c r="G18" s="10">
        <v>0</v>
      </c>
      <c r="H18" s="9">
        <f>D18+F18+'03-04-21'!H18</f>
        <v>13503</v>
      </c>
      <c r="I18" s="9">
        <f>E18+G18+'03-04-21'!I18</f>
        <v>702.13999999999987</v>
      </c>
      <c r="J18" s="9">
        <f t="shared" ref="J18:J20" si="4">H18+I18</f>
        <v>14205.14</v>
      </c>
      <c r="K18" s="9">
        <f>C18-J18</f>
        <v>12717.86</v>
      </c>
      <c r="L18" s="9">
        <f t="shared" ref="L18:L20" si="5">C18-((J18/19)*26.0714285714285)</f>
        <v>7430.9845864662202</v>
      </c>
      <c r="M18" s="115"/>
    </row>
    <row r="19" spans="1:13" s="92" customFormat="1" ht="11.45" customHeight="1" x14ac:dyDescent="0.25">
      <c r="A19" s="22" t="s">
        <v>30</v>
      </c>
      <c r="B19" s="29">
        <v>55160100</v>
      </c>
      <c r="C19" s="9">
        <f>16062-2109</f>
        <v>13953</v>
      </c>
      <c r="D19" s="9">
        <v>0</v>
      </c>
      <c r="E19" s="9">
        <v>0</v>
      </c>
      <c r="F19" s="10">
        <v>0</v>
      </c>
      <c r="G19" s="10">
        <v>0</v>
      </c>
      <c r="H19" s="9">
        <f>D19+F19+'03-04-21'!H19</f>
        <v>0</v>
      </c>
      <c r="I19" s="9">
        <f>E19+G19+'03-04-21'!I19</f>
        <v>0</v>
      </c>
      <c r="J19" s="9">
        <f t="shared" si="4"/>
        <v>0</v>
      </c>
      <c r="K19" s="9">
        <f t="shared" ref="K19:K20" si="6">C19-J19</f>
        <v>13953</v>
      </c>
      <c r="L19" s="9">
        <f t="shared" si="5"/>
        <v>13953</v>
      </c>
      <c r="M19" s="115"/>
    </row>
    <row r="20" spans="1:13" s="92" customFormat="1" ht="11.45" customHeight="1" x14ac:dyDescent="0.25">
      <c r="A20" s="13" t="s">
        <v>29</v>
      </c>
      <c r="B20" s="33">
        <v>55100100</v>
      </c>
      <c r="C20" s="9">
        <v>2026</v>
      </c>
      <c r="D20" s="10">
        <v>0</v>
      </c>
      <c r="E20" s="10">
        <v>0</v>
      </c>
      <c r="F20" s="10">
        <v>0</v>
      </c>
      <c r="G20" s="10">
        <v>0</v>
      </c>
      <c r="H20" s="9">
        <f>D20+F20+'03-04-21'!H20</f>
        <v>936.46</v>
      </c>
      <c r="I20" s="9">
        <f>E20+G20+'03-04-21'!I20</f>
        <v>16.864999999999998</v>
      </c>
      <c r="J20" s="9">
        <f t="shared" si="4"/>
        <v>953.32500000000005</v>
      </c>
      <c r="K20" s="9">
        <f t="shared" si="6"/>
        <v>1072.675</v>
      </c>
      <c r="L20" s="9">
        <f t="shared" si="5"/>
        <v>717.86607142857497</v>
      </c>
      <c r="M20" s="115"/>
    </row>
    <row r="21" spans="1:13" ht="21.6" customHeight="1" thickBot="1" x14ac:dyDescent="0.3">
      <c r="A21" s="155" t="s">
        <v>28</v>
      </c>
      <c r="B21" s="156"/>
      <c r="C21" s="7">
        <f t="shared" ref="C21:L21" si="7">SUM(C18:C20)</f>
        <v>42902</v>
      </c>
      <c r="D21" s="7">
        <f t="shared" si="7"/>
        <v>0</v>
      </c>
      <c r="E21" s="7">
        <f t="shared" si="7"/>
        <v>0</v>
      </c>
      <c r="F21" s="7">
        <f t="shared" si="7"/>
        <v>0</v>
      </c>
      <c r="G21" s="7">
        <f t="shared" si="7"/>
        <v>0</v>
      </c>
      <c r="H21" s="7">
        <f t="shared" si="7"/>
        <v>14439.46</v>
      </c>
      <c r="I21" s="7">
        <f t="shared" si="7"/>
        <v>719.00499999999988</v>
      </c>
      <c r="J21" s="49">
        <f t="shared" si="7"/>
        <v>15158.465</v>
      </c>
      <c r="K21" s="7">
        <f t="shared" si="7"/>
        <v>27743.535</v>
      </c>
      <c r="L21" s="7">
        <f t="shared" si="7"/>
        <v>22101.850657894796</v>
      </c>
    </row>
    <row r="22" spans="1:13" ht="11.25" customHeight="1" x14ac:dyDescent="0.25">
      <c r="A22" s="42"/>
      <c r="B22" s="41"/>
      <c r="C22" s="39"/>
      <c r="D22" s="39"/>
      <c r="E22" s="39"/>
      <c r="F22" s="39"/>
      <c r="G22" s="39"/>
      <c r="H22" s="39"/>
      <c r="I22" s="39"/>
      <c r="J22" s="39"/>
      <c r="K22" s="39"/>
      <c r="L22" s="51"/>
    </row>
    <row r="23" spans="1:13" ht="11.25" customHeight="1" thickBot="1" x14ac:dyDescent="0.3">
      <c r="A23" s="38"/>
      <c r="B23" s="37"/>
      <c r="C23" s="35"/>
      <c r="D23" s="35"/>
      <c r="E23" s="35"/>
      <c r="F23" s="35"/>
      <c r="G23" s="35"/>
      <c r="H23" s="35"/>
      <c r="I23" s="35"/>
      <c r="J23" s="35"/>
      <c r="K23" s="35"/>
      <c r="L23" s="50"/>
    </row>
    <row r="24" spans="1:13" s="99" customFormat="1" ht="11.45" customHeight="1" x14ac:dyDescent="0.25">
      <c r="A24" s="13" t="s">
        <v>27</v>
      </c>
      <c r="B24" s="33">
        <v>55200000</v>
      </c>
      <c r="C24" s="9">
        <v>25000</v>
      </c>
      <c r="D24" s="10">
        <v>300</v>
      </c>
      <c r="E24" s="10">
        <v>5.7</v>
      </c>
      <c r="F24" s="10">
        <v>0</v>
      </c>
      <c r="G24" s="10">
        <v>0</v>
      </c>
      <c r="H24" s="9">
        <f>D24+F24+'03-04-21'!H24</f>
        <v>7826.25</v>
      </c>
      <c r="I24" s="9">
        <f>E24+G24+'03-04-21'!I24</f>
        <v>148.6</v>
      </c>
      <c r="J24" s="9">
        <f t="shared" ref="J24:J26" si="8">H24+I24</f>
        <v>7974.85</v>
      </c>
      <c r="K24" s="9">
        <f>C24-J24</f>
        <v>17025.150000000001</v>
      </c>
      <c r="L24" s="9">
        <f t="shared" ref="L24:L26" si="9">C24-((J24/19)*26.0714285714285)</f>
        <v>14057.066729323338</v>
      </c>
      <c r="M24" s="118"/>
    </row>
    <row r="25" spans="1:13" s="99" customFormat="1" ht="11.45" hidden="1" customHeight="1" x14ac:dyDescent="0.25">
      <c r="A25" s="13" t="s">
        <v>26</v>
      </c>
      <c r="B25" s="100" t="s">
        <v>25</v>
      </c>
      <c r="C25" s="46">
        <v>0</v>
      </c>
      <c r="D25" s="45"/>
      <c r="E25" s="45"/>
      <c r="F25" s="45"/>
      <c r="G25" s="45"/>
      <c r="H25" s="9">
        <f>D25+F25+'03-04-21'!H25</f>
        <v>0</v>
      </c>
      <c r="I25" s="9">
        <f>E25+G25+'03-04-21'!I25</f>
        <v>-9.9999999999997868E-3</v>
      </c>
      <c r="J25" s="9">
        <f t="shared" si="8"/>
        <v>-9.9999999999997868E-3</v>
      </c>
      <c r="K25" s="75">
        <f t="shared" ref="K25:K26" si="10">C25-J25</f>
        <v>9.9999999999997868E-3</v>
      </c>
      <c r="L25" s="9">
        <f t="shared" si="9"/>
        <v>1.3721804511277866E-2</v>
      </c>
      <c r="M25" s="118"/>
    </row>
    <row r="26" spans="1:13" s="99" customFormat="1" ht="10.9" customHeight="1" x14ac:dyDescent="0.25">
      <c r="A26" s="28" t="s">
        <v>24</v>
      </c>
      <c r="B26" s="47" t="s">
        <v>23</v>
      </c>
      <c r="C26" s="46">
        <v>0</v>
      </c>
      <c r="D26" s="45">
        <v>0</v>
      </c>
      <c r="E26" s="45">
        <v>0</v>
      </c>
      <c r="F26" s="45">
        <v>0</v>
      </c>
      <c r="G26" s="45">
        <v>0</v>
      </c>
      <c r="H26" s="9">
        <f>D26+F26+'03-04-21'!H26</f>
        <v>0</v>
      </c>
      <c r="I26" s="9">
        <f>E26+G26+'03-04-21'!I26</f>
        <v>0</v>
      </c>
      <c r="J26" s="9">
        <f t="shared" si="8"/>
        <v>0</v>
      </c>
      <c r="K26" s="9">
        <f t="shared" si="10"/>
        <v>0</v>
      </c>
      <c r="L26" s="9">
        <f t="shared" si="9"/>
        <v>0</v>
      </c>
      <c r="M26" s="117"/>
    </row>
    <row r="27" spans="1:13" ht="24.75" customHeight="1" thickBot="1" x14ac:dyDescent="0.3">
      <c r="A27" s="157" t="s">
        <v>22</v>
      </c>
      <c r="B27" s="158"/>
      <c r="C27" s="43">
        <f>SUM(C24:C25)</f>
        <v>25000</v>
      </c>
      <c r="D27" s="43">
        <f t="shared" ref="D27:L27" si="11">SUM(D24:D26)</f>
        <v>300</v>
      </c>
      <c r="E27" s="43">
        <f t="shared" si="11"/>
        <v>5.7</v>
      </c>
      <c r="F27" s="43">
        <f t="shared" si="11"/>
        <v>0</v>
      </c>
      <c r="G27" s="43">
        <f t="shared" si="11"/>
        <v>0</v>
      </c>
      <c r="H27" s="43">
        <f t="shared" si="11"/>
        <v>7826.25</v>
      </c>
      <c r="I27" s="43">
        <f t="shared" si="11"/>
        <v>148.59</v>
      </c>
      <c r="J27" s="43">
        <f t="shared" si="11"/>
        <v>7974.84</v>
      </c>
      <c r="K27" s="43">
        <f t="shared" si="11"/>
        <v>17025.16</v>
      </c>
      <c r="L27" s="34">
        <f t="shared" si="11"/>
        <v>14057.080451127849</v>
      </c>
    </row>
    <row r="28" spans="1:13" ht="11.25" customHeight="1" x14ac:dyDescent="0.25">
      <c r="A28" s="42"/>
      <c r="B28" s="41"/>
      <c r="C28" s="39"/>
      <c r="D28" s="39"/>
      <c r="E28" s="39"/>
      <c r="F28" s="39"/>
      <c r="G28" s="39"/>
      <c r="H28" s="39"/>
      <c r="I28" s="39"/>
      <c r="J28" s="39"/>
      <c r="K28" s="39"/>
      <c r="L28" s="39"/>
    </row>
    <row r="29" spans="1:13" ht="11.25" customHeight="1" thickBot="1" x14ac:dyDescent="0.3">
      <c r="A29" s="38"/>
      <c r="B29" s="37"/>
      <c r="C29" s="35"/>
      <c r="D29" s="35"/>
      <c r="E29" s="35"/>
      <c r="F29" s="35"/>
      <c r="G29" s="35"/>
      <c r="H29" s="35"/>
      <c r="I29" s="35"/>
      <c r="J29" s="35"/>
      <c r="K29" s="35"/>
      <c r="L29" s="35"/>
    </row>
    <row r="30" spans="1:13" ht="21.6" customHeight="1" x14ac:dyDescent="0.25">
      <c r="A30" s="159" t="s">
        <v>21</v>
      </c>
      <c r="B30" s="159"/>
      <c r="C30" s="34">
        <f>C15+C21+C27</f>
        <v>332986.29000000004</v>
      </c>
      <c r="D30" s="34">
        <f t="shared" ref="D30:L30" si="12">D15+D21+D27</f>
        <v>8546.2199999999993</v>
      </c>
      <c r="E30" s="34">
        <f t="shared" si="12"/>
        <v>162.32999999999996</v>
      </c>
      <c r="F30" s="34">
        <f t="shared" si="12"/>
        <v>7006.25</v>
      </c>
      <c r="G30" s="34">
        <f t="shared" si="12"/>
        <v>364.32</v>
      </c>
      <c r="H30" s="34">
        <f t="shared" si="12"/>
        <v>144318.5</v>
      </c>
      <c r="I30" s="34">
        <f t="shared" si="12"/>
        <v>4339.5549999999994</v>
      </c>
      <c r="J30" s="34">
        <f t="shared" si="12"/>
        <v>148658.05499999999</v>
      </c>
      <c r="K30" s="34">
        <f t="shared" si="12"/>
        <v>184328.23499999999</v>
      </c>
      <c r="L30" s="34">
        <f t="shared" si="12"/>
        <v>129000.61302631638</v>
      </c>
    </row>
    <row r="31" spans="1:13" ht="10.9" customHeight="1" x14ac:dyDescent="0.25">
      <c r="A31" s="17"/>
      <c r="B31" s="16"/>
      <c r="C31" s="15"/>
      <c r="D31" s="15"/>
      <c r="E31" s="15"/>
      <c r="F31" s="15"/>
      <c r="G31" s="15"/>
      <c r="H31" s="15"/>
      <c r="I31" s="15"/>
      <c r="J31" s="15"/>
      <c r="K31" s="15"/>
      <c r="L31" s="15"/>
    </row>
    <row r="32" spans="1:13" ht="11.25" customHeight="1" x14ac:dyDescent="0.25">
      <c r="A32" s="17"/>
      <c r="B32" s="16"/>
      <c r="C32" s="15"/>
      <c r="D32" s="15"/>
      <c r="E32" s="15"/>
      <c r="F32" s="15"/>
      <c r="G32" s="15"/>
      <c r="H32" s="15"/>
      <c r="I32" s="15"/>
      <c r="J32" s="15"/>
      <c r="K32" s="15"/>
      <c r="L32" s="15"/>
    </row>
    <row r="33" spans="1:13" s="104" customFormat="1" ht="11.25" customHeight="1" x14ac:dyDescent="0.25">
      <c r="A33" s="28" t="s">
        <v>20</v>
      </c>
      <c r="B33" s="27" t="s">
        <v>19</v>
      </c>
      <c r="C33" s="9">
        <v>0</v>
      </c>
      <c r="D33" s="10">
        <v>0</v>
      </c>
      <c r="E33" s="10">
        <v>0</v>
      </c>
      <c r="F33" s="10">
        <v>0</v>
      </c>
      <c r="G33" s="10">
        <v>0</v>
      </c>
      <c r="H33" s="9">
        <f>D33+F33+'03-04-21'!H33</f>
        <v>0</v>
      </c>
      <c r="I33" s="9">
        <f>E33+G33+'03-04-21'!I33</f>
        <v>0</v>
      </c>
      <c r="J33" s="9">
        <f t="shared" ref="J33:J50" si="13">H33+I33</f>
        <v>0</v>
      </c>
      <c r="K33" s="9">
        <f>C33-J33</f>
        <v>0</v>
      </c>
      <c r="L33" s="9">
        <f t="shared" ref="L33:L50" si="14">C33-((J33/19)*26.0714285714285)</f>
        <v>0</v>
      </c>
      <c r="M33" s="119"/>
    </row>
    <row r="34" spans="1:13" s="104" customFormat="1" ht="12" customHeight="1" x14ac:dyDescent="0.25">
      <c r="A34" s="32" t="s">
        <v>123</v>
      </c>
      <c r="B34" s="33" t="s">
        <v>55</v>
      </c>
      <c r="C34" s="9">
        <f>2795.22+12000</f>
        <v>14795.22</v>
      </c>
      <c r="D34" s="10">
        <v>0</v>
      </c>
      <c r="E34" s="10">
        <v>0</v>
      </c>
      <c r="F34" s="130">
        <v>864</v>
      </c>
      <c r="G34" s="130">
        <v>44.92</v>
      </c>
      <c r="H34" s="9">
        <f>D34+F34+'03-04-21'!H34</f>
        <v>7562</v>
      </c>
      <c r="I34" s="9">
        <f>E34+G34+'03-04-21'!I34</f>
        <v>341.42</v>
      </c>
      <c r="J34" s="9">
        <f t="shared" si="13"/>
        <v>7903.42</v>
      </c>
      <c r="K34" s="130">
        <f>C34-J34</f>
        <v>6891.7999999999993</v>
      </c>
      <c r="L34" s="9">
        <f t="shared" si="14"/>
        <v>3950.3015789473975</v>
      </c>
      <c r="M34" s="129" t="s">
        <v>121</v>
      </c>
    </row>
    <row r="35" spans="1:13" s="104" customFormat="1" ht="11.25" hidden="1" customHeight="1" x14ac:dyDescent="0.25">
      <c r="A35" s="32" t="s">
        <v>18</v>
      </c>
      <c r="B35" s="27" t="s">
        <v>17</v>
      </c>
      <c r="C35" s="105">
        <v>0</v>
      </c>
      <c r="D35" s="10"/>
      <c r="E35" s="10"/>
      <c r="F35" s="10"/>
      <c r="G35" s="10"/>
      <c r="H35" s="9">
        <f>D35+F35+'03-04-21'!H35</f>
        <v>0</v>
      </c>
      <c r="I35" s="9">
        <f>E35+G35+'03-04-21'!I35</f>
        <v>-1.0000000000005116E-2</v>
      </c>
      <c r="J35" s="9">
        <f t="shared" si="13"/>
        <v>-1.0000000000005116E-2</v>
      </c>
      <c r="K35" s="9">
        <f t="shared" ref="K35:K48" si="15">C35-J35</f>
        <v>1.0000000000005116E-2</v>
      </c>
      <c r="L35" s="9">
        <f t="shared" si="14"/>
        <v>1.3721804511285178E-2</v>
      </c>
      <c r="M35" s="119"/>
    </row>
    <row r="36" spans="1:13" s="106" customFormat="1" ht="11.25" customHeight="1" x14ac:dyDescent="0.25">
      <c r="A36" s="28" t="s">
        <v>16</v>
      </c>
      <c r="B36" s="29" t="s">
        <v>15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f>D36+F36+'03-04-21'!H36</f>
        <v>0</v>
      </c>
      <c r="I36" s="9">
        <f>E36+G36+'03-04-21'!I36</f>
        <v>0</v>
      </c>
      <c r="J36" s="9">
        <f t="shared" si="13"/>
        <v>0</v>
      </c>
      <c r="K36" s="9">
        <f t="shared" si="15"/>
        <v>0</v>
      </c>
      <c r="L36" s="9">
        <f t="shared" si="14"/>
        <v>0</v>
      </c>
      <c r="M36" s="120"/>
    </row>
    <row r="37" spans="1:13" s="106" customFormat="1" ht="11.25" customHeight="1" x14ac:dyDescent="0.25">
      <c r="A37" s="28" t="s">
        <v>97</v>
      </c>
      <c r="B37" s="29" t="s">
        <v>13</v>
      </c>
      <c r="C37" s="9">
        <v>0</v>
      </c>
      <c r="D37" s="130">
        <v>74.790000000000006</v>
      </c>
      <c r="E37" s="130">
        <v>1.42</v>
      </c>
      <c r="F37" s="9">
        <v>0</v>
      </c>
      <c r="G37" s="9">
        <v>0</v>
      </c>
      <c r="H37" s="9">
        <f>D37+F37+'03-04-21'!H37</f>
        <v>1289.1299999999997</v>
      </c>
      <c r="I37" s="9">
        <f>E37+G37+'03-04-21'!I37</f>
        <v>24.39</v>
      </c>
      <c r="J37" s="9">
        <f t="shared" si="13"/>
        <v>1313.5199999999998</v>
      </c>
      <c r="K37" s="9">
        <f t="shared" si="15"/>
        <v>-1313.5199999999998</v>
      </c>
      <c r="L37" s="9">
        <f t="shared" si="14"/>
        <v>-1802.3864661654081</v>
      </c>
      <c r="M37" s="116" t="s">
        <v>122</v>
      </c>
    </row>
    <row r="38" spans="1:13" s="106" customFormat="1" ht="11.25" customHeight="1" x14ac:dyDescent="0.25">
      <c r="A38" s="28" t="s">
        <v>12</v>
      </c>
      <c r="B38" s="29">
        <v>55110100</v>
      </c>
      <c r="C38" s="9">
        <f>2659+6100</f>
        <v>8759</v>
      </c>
      <c r="D38" s="9">
        <v>0</v>
      </c>
      <c r="E38" s="9">
        <v>0</v>
      </c>
      <c r="F38" s="9">
        <v>1200</v>
      </c>
      <c r="G38" s="9">
        <v>62.4</v>
      </c>
      <c r="H38" s="9">
        <f>D38+F38+'03-04-21'!H38</f>
        <v>7860</v>
      </c>
      <c r="I38" s="9">
        <f>E38+G38+'03-04-21'!I38</f>
        <v>307.73</v>
      </c>
      <c r="J38" s="9">
        <f t="shared" si="13"/>
        <v>8167.73</v>
      </c>
      <c r="K38" s="9">
        <f t="shared" si="15"/>
        <v>591.27000000000044</v>
      </c>
      <c r="L38" s="9">
        <f t="shared" si="14"/>
        <v>-2448.5994360901932</v>
      </c>
      <c r="M38" s="124"/>
    </row>
    <row r="39" spans="1:13" s="106" customFormat="1" ht="11.45" customHeight="1" x14ac:dyDescent="0.25">
      <c r="A39" s="28" t="s">
        <v>11</v>
      </c>
      <c r="B39" s="27" t="s">
        <v>10</v>
      </c>
      <c r="C39" s="9">
        <v>0</v>
      </c>
      <c r="D39" s="10">
        <v>0</v>
      </c>
      <c r="E39" s="10">
        <v>0</v>
      </c>
      <c r="F39" s="10">
        <v>0</v>
      </c>
      <c r="G39" s="10">
        <v>0</v>
      </c>
      <c r="H39" s="9">
        <f>D39+F39+'03-04-21'!H39</f>
        <v>0</v>
      </c>
      <c r="I39" s="9">
        <f>E39+G39+'03-04-21'!I39</f>
        <v>0</v>
      </c>
      <c r="J39" s="9">
        <f t="shared" si="13"/>
        <v>0</v>
      </c>
      <c r="K39" s="9">
        <f t="shared" si="15"/>
        <v>0</v>
      </c>
      <c r="L39" s="9">
        <f t="shared" si="14"/>
        <v>0</v>
      </c>
      <c r="M39" s="126"/>
    </row>
    <row r="40" spans="1:13" s="106" customFormat="1" ht="11.45" customHeight="1" x14ac:dyDescent="0.25">
      <c r="A40" s="25" t="s">
        <v>105</v>
      </c>
      <c r="B40" s="108" t="s">
        <v>69</v>
      </c>
      <c r="C40" s="9">
        <v>1500</v>
      </c>
      <c r="D40" s="9">
        <v>0</v>
      </c>
      <c r="E40" s="9">
        <v>0</v>
      </c>
      <c r="F40" s="9">
        <v>0</v>
      </c>
      <c r="G40" s="9">
        <v>0</v>
      </c>
      <c r="H40" s="9">
        <f>D40+F40+'03-04-21'!H40</f>
        <v>1122.3499999999997</v>
      </c>
      <c r="I40" s="9">
        <f>E40+G40+'03-04-21'!I40</f>
        <v>21.117000000000004</v>
      </c>
      <c r="J40" s="9">
        <f t="shared" si="13"/>
        <v>1143.4669999999996</v>
      </c>
      <c r="K40" s="9">
        <f t="shared" si="15"/>
        <v>356.53300000000036</v>
      </c>
      <c r="L40" s="9">
        <f t="shared" si="14"/>
        <v>-69.043063909769444</v>
      </c>
      <c r="M40" s="126"/>
    </row>
    <row r="41" spans="1:13" s="106" customFormat="1" ht="11.45" customHeight="1" x14ac:dyDescent="0.25">
      <c r="A41" s="25" t="s">
        <v>89</v>
      </c>
      <c r="B41" s="108" t="s">
        <v>88</v>
      </c>
      <c r="C41" s="9">
        <v>1200</v>
      </c>
      <c r="D41" s="9">
        <v>60</v>
      </c>
      <c r="E41" s="9">
        <v>1.1399999999999999</v>
      </c>
      <c r="F41" s="9">
        <v>0</v>
      </c>
      <c r="G41" s="9">
        <v>0</v>
      </c>
      <c r="H41" s="9">
        <f>D41+F41+'03-04-21'!H41</f>
        <v>558.79999999999995</v>
      </c>
      <c r="I41" s="9">
        <f>E41+G41+'03-04-21'!I41</f>
        <v>10.559999999999999</v>
      </c>
      <c r="J41" s="9">
        <f t="shared" si="13"/>
        <v>569.3599999999999</v>
      </c>
      <c r="K41" s="9">
        <f>C41-J41</f>
        <v>630.6400000000001</v>
      </c>
      <c r="L41" s="9">
        <f t="shared" si="14"/>
        <v>418.73533834586704</v>
      </c>
      <c r="M41" s="120"/>
    </row>
    <row r="42" spans="1:13" s="98" customFormat="1" ht="11.45" customHeight="1" x14ac:dyDescent="0.25">
      <c r="A42" s="25" t="s">
        <v>61</v>
      </c>
      <c r="B42" s="108" t="s">
        <v>62</v>
      </c>
      <c r="C42" s="9">
        <f>9800+1200</f>
        <v>11000</v>
      </c>
      <c r="D42" s="9">
        <v>270</v>
      </c>
      <c r="E42" s="9">
        <v>5.13</v>
      </c>
      <c r="F42" s="9">
        <v>0</v>
      </c>
      <c r="G42" s="9">
        <v>0</v>
      </c>
      <c r="H42" s="9">
        <f>D42+F42+'03-04-21'!H42</f>
        <v>10071</v>
      </c>
      <c r="I42" s="9">
        <f>E42+G42+'03-04-21'!I42</f>
        <v>429.71999999999997</v>
      </c>
      <c r="J42" s="9">
        <f t="shared" si="13"/>
        <v>10500.72</v>
      </c>
      <c r="K42" s="9">
        <f>C42-J42</f>
        <v>499.28000000000065</v>
      </c>
      <c r="L42" s="9">
        <f t="shared" si="14"/>
        <v>-3408.8827067668772</v>
      </c>
      <c r="M42" s="116"/>
    </row>
    <row r="43" spans="1:13" s="98" customFormat="1" ht="11.45" customHeight="1" x14ac:dyDescent="0.25">
      <c r="A43" s="25" t="s">
        <v>59</v>
      </c>
      <c r="B43" s="108" t="s">
        <v>60</v>
      </c>
      <c r="C43" s="9">
        <f>2453.12+2598.45+16442.41</f>
        <v>21493.98</v>
      </c>
      <c r="D43" s="9">
        <v>0</v>
      </c>
      <c r="E43" s="9">
        <v>0</v>
      </c>
      <c r="F43" s="9">
        <v>0</v>
      </c>
      <c r="G43" s="9">
        <v>0</v>
      </c>
      <c r="H43" s="9">
        <f>D43+F43+'03-04-21'!H43</f>
        <v>5232.58</v>
      </c>
      <c r="I43" s="9">
        <f>E43+G43+'03-04-21'!I43</f>
        <v>99.32</v>
      </c>
      <c r="J43" s="9">
        <f t="shared" si="13"/>
        <v>5331.9</v>
      </c>
      <c r="K43" s="9">
        <f>C43-J43</f>
        <v>16162.08</v>
      </c>
      <c r="L43" s="9">
        <f t="shared" si="14"/>
        <v>14177.6510526316</v>
      </c>
      <c r="M43" s="116"/>
    </row>
    <row r="44" spans="1:13" s="98" customFormat="1" ht="11.45" customHeight="1" x14ac:dyDescent="0.25">
      <c r="A44" s="25" t="s">
        <v>70</v>
      </c>
      <c r="B44" s="108" t="s">
        <v>71</v>
      </c>
      <c r="C44" s="9">
        <v>5600</v>
      </c>
      <c r="D44" s="9">
        <v>0</v>
      </c>
      <c r="E44" s="9">
        <v>0</v>
      </c>
      <c r="F44" s="9">
        <v>0</v>
      </c>
      <c r="G44" s="9">
        <v>0</v>
      </c>
      <c r="H44" s="9">
        <f>D44+F44+'03-04-21'!H44</f>
        <v>4041.7000000000003</v>
      </c>
      <c r="I44" s="9">
        <f>E44+G44+'03-04-21'!I44</f>
        <v>76.720000000000013</v>
      </c>
      <c r="J44" s="9">
        <f t="shared" si="13"/>
        <v>4118.42</v>
      </c>
      <c r="K44" s="9">
        <f t="shared" ref="K44" si="16">C44-J44</f>
        <v>1481.58</v>
      </c>
      <c r="L44" s="9">
        <f t="shared" si="14"/>
        <v>-51.215413533818719</v>
      </c>
      <c r="M44" s="116"/>
    </row>
    <row r="45" spans="1:13" s="98" customFormat="1" ht="11.45" customHeight="1" x14ac:dyDescent="0.25">
      <c r="A45" s="25" t="s">
        <v>7</v>
      </c>
      <c r="B45" s="108" t="s">
        <v>6</v>
      </c>
      <c r="C45" s="9">
        <v>1609.56</v>
      </c>
      <c r="D45" s="9">
        <f>225</f>
        <v>225</v>
      </c>
      <c r="E45" s="9">
        <f>4.27</f>
        <v>4.2699999999999996</v>
      </c>
      <c r="F45" s="9">
        <v>0</v>
      </c>
      <c r="G45" s="9">
        <v>0</v>
      </c>
      <c r="H45" s="9">
        <f>D45+F45+'03-04-21'!H45</f>
        <v>892.5</v>
      </c>
      <c r="I45" s="9">
        <f>E45+G45+'03-04-21'!I45</f>
        <v>16.93</v>
      </c>
      <c r="J45" s="9">
        <f t="shared" si="13"/>
        <v>909.43</v>
      </c>
      <c r="K45" s="9">
        <f>C45-J45</f>
        <v>700.13</v>
      </c>
      <c r="L45" s="9">
        <f t="shared" si="14"/>
        <v>361.65793233083059</v>
      </c>
      <c r="M45" s="116"/>
    </row>
    <row r="46" spans="1:13" s="98" customFormat="1" ht="11.45" customHeight="1" x14ac:dyDescent="0.25">
      <c r="A46" s="25" t="s">
        <v>9</v>
      </c>
      <c r="B46" s="108" t="s">
        <v>8</v>
      </c>
      <c r="C46" s="9">
        <v>0</v>
      </c>
      <c r="D46" s="10">
        <v>0</v>
      </c>
      <c r="E46" s="10">
        <v>0</v>
      </c>
      <c r="F46" s="10">
        <v>0</v>
      </c>
      <c r="G46" s="10">
        <v>0</v>
      </c>
      <c r="H46" s="9">
        <f>D46+F46+'03-04-21'!H46</f>
        <v>0</v>
      </c>
      <c r="I46" s="9">
        <f>E46+G46+'03-04-21'!I46</f>
        <v>0</v>
      </c>
      <c r="J46" s="9">
        <f t="shared" si="13"/>
        <v>0</v>
      </c>
      <c r="K46" s="9">
        <f t="shared" si="15"/>
        <v>0</v>
      </c>
      <c r="L46" s="9">
        <f t="shared" si="14"/>
        <v>0</v>
      </c>
      <c r="M46" s="116"/>
    </row>
    <row r="47" spans="1:13" s="98" customFormat="1" ht="11.45" customHeight="1" x14ac:dyDescent="0.25">
      <c r="A47" s="25" t="s">
        <v>63</v>
      </c>
      <c r="B47" s="108" t="s">
        <v>66</v>
      </c>
      <c r="C47" s="9">
        <v>1784.19</v>
      </c>
      <c r="D47" s="10">
        <v>0</v>
      </c>
      <c r="E47" s="10">
        <v>0</v>
      </c>
      <c r="F47" s="10">
        <v>0</v>
      </c>
      <c r="G47" s="10">
        <v>0</v>
      </c>
      <c r="H47" s="9">
        <f>D47+F47+'03-04-21'!H47</f>
        <v>1504</v>
      </c>
      <c r="I47" s="9">
        <f>E47+G47+'03-04-21'!I47</f>
        <v>78.179999999999993</v>
      </c>
      <c r="J47" s="9">
        <f t="shared" si="13"/>
        <v>1582.18</v>
      </c>
      <c r="K47" s="9">
        <f t="shared" si="15"/>
        <v>202.01</v>
      </c>
      <c r="L47" s="9">
        <f t="shared" si="14"/>
        <v>-386.84646616540749</v>
      </c>
      <c r="M47" s="116"/>
    </row>
    <row r="48" spans="1:13" s="98" customFormat="1" ht="11.45" hidden="1" customHeight="1" x14ac:dyDescent="0.25">
      <c r="A48" s="25" t="s">
        <v>64</v>
      </c>
      <c r="B48" s="108" t="s">
        <v>65</v>
      </c>
      <c r="C48" s="97"/>
      <c r="D48" s="10"/>
      <c r="E48" s="10"/>
      <c r="F48" s="10"/>
      <c r="G48" s="10"/>
      <c r="H48" s="9">
        <f>D48+F48+'03-04-21'!H48</f>
        <v>0</v>
      </c>
      <c r="I48" s="9">
        <f>E48+G48+'03-04-21'!I48</f>
        <v>0</v>
      </c>
      <c r="J48" s="9">
        <f t="shared" si="13"/>
        <v>0</v>
      </c>
      <c r="K48" s="9">
        <f t="shared" si="15"/>
        <v>0</v>
      </c>
      <c r="L48" s="9">
        <f t="shared" si="14"/>
        <v>0</v>
      </c>
      <c r="M48" s="116"/>
    </row>
    <row r="49" spans="1:13" s="110" customFormat="1" ht="11.25" customHeight="1" x14ac:dyDescent="0.25">
      <c r="A49" s="25" t="s">
        <v>57</v>
      </c>
      <c r="B49" s="108" t="s">
        <v>58</v>
      </c>
      <c r="C49" s="109">
        <v>5369</v>
      </c>
      <c r="D49" s="109">
        <f>-149.57</f>
        <v>-149.57</v>
      </c>
      <c r="E49" s="109">
        <f>-2.84</f>
        <v>-2.84</v>
      </c>
      <c r="F49" s="109">
        <v>0</v>
      </c>
      <c r="G49" s="109">
        <v>0</v>
      </c>
      <c r="H49" s="9">
        <f>D49+F49+'03-04-21'!H49</f>
        <v>917.09000000000015</v>
      </c>
      <c r="I49" s="9">
        <f>E49+G49+'03-04-21'!I49</f>
        <v>17.32</v>
      </c>
      <c r="J49" s="9">
        <f t="shared" si="13"/>
        <v>934.4100000000002</v>
      </c>
      <c r="K49" s="9">
        <f>C49-J49</f>
        <v>4434.59</v>
      </c>
      <c r="L49" s="9">
        <f t="shared" si="14"/>
        <v>4086.8208646616577</v>
      </c>
      <c r="M49" s="121"/>
    </row>
    <row r="50" spans="1:13" s="110" customFormat="1" ht="11.25" customHeight="1" x14ac:dyDescent="0.25">
      <c r="A50" s="25" t="s">
        <v>95</v>
      </c>
      <c r="B50" s="108" t="s">
        <v>94</v>
      </c>
      <c r="C50" s="109">
        <f>2000+1000+500</f>
        <v>3500</v>
      </c>
      <c r="D50" s="109">
        <f>240</f>
        <v>240</v>
      </c>
      <c r="E50" s="109">
        <f>4.56</f>
        <v>4.5599999999999996</v>
      </c>
      <c r="F50" s="109">
        <v>0</v>
      </c>
      <c r="G50" s="109">
        <v>0</v>
      </c>
      <c r="H50" s="9">
        <f>D50+F50+'03-04-21'!H50</f>
        <v>2451.5</v>
      </c>
      <c r="I50" s="9">
        <f>E50+G50+'03-04-21'!I50</f>
        <v>47.36</v>
      </c>
      <c r="J50" s="9">
        <f t="shared" si="13"/>
        <v>2498.86</v>
      </c>
      <c r="K50" s="9">
        <f>C50-J50</f>
        <v>1001.1399999999999</v>
      </c>
      <c r="L50" s="9">
        <f t="shared" si="14"/>
        <v>71.113157894746109</v>
      </c>
      <c r="M50" s="116"/>
    </row>
    <row r="51" spans="1:13" ht="21.6" customHeight="1" x14ac:dyDescent="0.25">
      <c r="A51" s="153" t="s">
        <v>5</v>
      </c>
      <c r="B51" s="154"/>
      <c r="C51" s="7">
        <f t="shared" ref="C51" si="17">SUM(C33:C49)</f>
        <v>73110.95</v>
      </c>
      <c r="D51" s="7">
        <f t="shared" ref="D51:L51" si="18">SUM(D33:D50)</f>
        <v>720.22</v>
      </c>
      <c r="E51" s="7">
        <f t="shared" si="18"/>
        <v>13.68</v>
      </c>
      <c r="F51" s="7">
        <f t="shared" si="18"/>
        <v>2064</v>
      </c>
      <c r="G51" s="7">
        <f t="shared" si="18"/>
        <v>107.32</v>
      </c>
      <c r="H51" s="7">
        <f t="shared" si="18"/>
        <v>43502.649999999994</v>
      </c>
      <c r="I51" s="7">
        <f t="shared" si="18"/>
        <v>1470.7569999999998</v>
      </c>
      <c r="J51" s="7">
        <f t="shared" si="18"/>
        <v>44973.407000000007</v>
      </c>
      <c r="K51" s="7">
        <f t="shared" si="18"/>
        <v>31637.543000000001</v>
      </c>
      <c r="L51" s="7">
        <f t="shared" si="18"/>
        <v>14899.320093985138</v>
      </c>
    </row>
    <row r="52" spans="1:13" ht="10.9" customHeight="1" x14ac:dyDescent="0.25">
      <c r="A52" s="17"/>
      <c r="B52" s="16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3" ht="10.9" customHeight="1" x14ac:dyDescent="0.25">
      <c r="A53" s="17"/>
      <c r="B53" s="16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3" s="92" customFormat="1" ht="10.9" customHeight="1" x14ac:dyDescent="0.25">
      <c r="A54" s="22" t="s">
        <v>4</v>
      </c>
      <c r="B54" s="29" t="s">
        <v>3</v>
      </c>
      <c r="C54" s="9">
        <v>62583</v>
      </c>
      <c r="D54" s="10">
        <v>1424.61</v>
      </c>
      <c r="E54" s="10">
        <v>27.06</v>
      </c>
      <c r="F54" s="10">
        <v>0</v>
      </c>
      <c r="G54" s="10">
        <v>0</v>
      </c>
      <c r="H54" s="9">
        <f>D54+F54+'03-04-21'!H54</f>
        <v>15339.74</v>
      </c>
      <c r="I54" s="9">
        <f>E54+G54+'03-04-21'!I54</f>
        <v>317.98200000000003</v>
      </c>
      <c r="J54" s="9">
        <f t="shared" ref="J54:J55" si="19">H54+I54</f>
        <v>15657.722</v>
      </c>
      <c r="K54" s="9">
        <f>C54-J54</f>
        <v>46925.277999999998</v>
      </c>
      <c r="L54" s="9">
        <f t="shared" ref="L54:L55" si="20">C54-((J54/19)*26.0714285714285)</f>
        <v>41097.779962406072</v>
      </c>
      <c r="M54" s="115"/>
    </row>
    <row r="55" spans="1:13" s="92" customFormat="1" ht="10.9" customHeight="1" x14ac:dyDescent="0.25">
      <c r="A55" s="22" t="s">
        <v>112</v>
      </c>
      <c r="B55" s="29" t="s">
        <v>111</v>
      </c>
      <c r="C55" s="9">
        <v>11243</v>
      </c>
      <c r="D55" s="9">
        <v>0</v>
      </c>
      <c r="E55" s="9">
        <v>0</v>
      </c>
      <c r="F55" s="9">
        <v>0</v>
      </c>
      <c r="G55" s="9">
        <v>0</v>
      </c>
      <c r="H55" s="9">
        <f>D55+F55+'03-04-21'!H55</f>
        <v>0</v>
      </c>
      <c r="I55" s="9">
        <f>E55+G55+'03-04-21'!I55</f>
        <v>0</v>
      </c>
      <c r="J55" s="9">
        <f t="shared" si="19"/>
        <v>0</v>
      </c>
      <c r="K55" s="9">
        <f>C55-J55</f>
        <v>11243</v>
      </c>
      <c r="L55" s="9">
        <f t="shared" si="20"/>
        <v>11243</v>
      </c>
      <c r="M55" s="115"/>
    </row>
    <row r="56" spans="1:13" ht="21.6" customHeight="1" x14ac:dyDescent="0.25">
      <c r="A56" s="20" t="s">
        <v>2</v>
      </c>
      <c r="B56" s="19"/>
      <c r="C56" s="18">
        <f>C54+C55</f>
        <v>73826</v>
      </c>
      <c r="D56" s="18">
        <f t="shared" ref="D56:L56" si="21">D54+D55</f>
        <v>1424.61</v>
      </c>
      <c r="E56" s="18">
        <f t="shared" si="21"/>
        <v>27.06</v>
      </c>
      <c r="F56" s="18">
        <f t="shared" si="21"/>
        <v>0</v>
      </c>
      <c r="G56" s="18">
        <f t="shared" si="21"/>
        <v>0</v>
      </c>
      <c r="H56" s="18">
        <f t="shared" si="21"/>
        <v>15339.74</v>
      </c>
      <c r="I56" s="18">
        <f t="shared" si="21"/>
        <v>317.98200000000003</v>
      </c>
      <c r="J56" s="18">
        <f t="shared" si="21"/>
        <v>15657.722</v>
      </c>
      <c r="K56" s="18">
        <f t="shared" si="21"/>
        <v>58168.277999999998</v>
      </c>
      <c r="L56" s="18">
        <f t="shared" si="21"/>
        <v>52340.779962406072</v>
      </c>
    </row>
    <row r="57" spans="1:13" ht="10.9" customHeight="1" x14ac:dyDescent="0.25">
      <c r="A57" s="17"/>
      <c r="B57" s="16"/>
      <c r="C57" s="15"/>
      <c r="D57" s="15"/>
      <c r="E57" s="15"/>
      <c r="F57" s="15"/>
      <c r="G57" s="15"/>
      <c r="H57" s="15"/>
      <c r="I57" s="15"/>
      <c r="J57" s="15"/>
      <c r="K57" s="15"/>
      <c r="L57" s="15"/>
    </row>
    <row r="58" spans="1:13" ht="10.9" customHeight="1" x14ac:dyDescent="0.25">
      <c r="A58" s="17"/>
      <c r="B58" s="16"/>
      <c r="C58" s="15"/>
      <c r="D58" s="15"/>
      <c r="E58" s="15"/>
      <c r="F58" s="15"/>
      <c r="G58" s="15"/>
      <c r="H58" s="15"/>
      <c r="I58" s="15"/>
      <c r="J58" s="15"/>
      <c r="K58" s="15"/>
      <c r="L58" s="15"/>
    </row>
    <row r="59" spans="1:13" s="92" customFormat="1" ht="10.9" customHeight="1" x14ac:dyDescent="0.25">
      <c r="A59" s="13" t="s">
        <v>1</v>
      </c>
      <c r="B59" s="33">
        <v>55180000</v>
      </c>
      <c r="C59" s="9">
        <v>37736</v>
      </c>
      <c r="D59" s="10">
        <v>0</v>
      </c>
      <c r="E59" s="10">
        <v>0</v>
      </c>
      <c r="F59" s="10">
        <v>438.6</v>
      </c>
      <c r="G59" s="10">
        <v>22.8</v>
      </c>
      <c r="H59" s="9">
        <f>D59+F59+'03-04-21'!H59</f>
        <v>7938.6600000000017</v>
      </c>
      <c r="I59" s="9">
        <f>E59+G59+'03-04-21'!I59</f>
        <v>412.68000000000006</v>
      </c>
      <c r="J59" s="9">
        <f t="shared" ref="J59" si="22">H59+I59</f>
        <v>8351.340000000002</v>
      </c>
      <c r="K59" s="9">
        <f>C59-J59</f>
        <v>29384.659999999996</v>
      </c>
      <c r="L59" s="9">
        <f>C59-((J59/19)*26.0714285714285)</f>
        <v>26276.454511278225</v>
      </c>
      <c r="M59" s="115"/>
    </row>
    <row r="60" spans="1:13" s="3" customFormat="1" ht="21.6" customHeight="1" x14ac:dyDescent="0.25">
      <c r="A60" s="153" t="s">
        <v>0</v>
      </c>
      <c r="B60" s="154"/>
      <c r="C60" s="7">
        <f t="shared" ref="C60:L60" si="23">SUM(C59)</f>
        <v>37736</v>
      </c>
      <c r="D60" s="7">
        <f t="shared" si="23"/>
        <v>0</v>
      </c>
      <c r="E60" s="7">
        <f t="shared" si="23"/>
        <v>0</v>
      </c>
      <c r="F60" s="7">
        <f t="shared" si="23"/>
        <v>438.6</v>
      </c>
      <c r="G60" s="7">
        <f t="shared" si="23"/>
        <v>22.8</v>
      </c>
      <c r="H60" s="7">
        <f t="shared" si="23"/>
        <v>7938.6600000000017</v>
      </c>
      <c r="I60" s="7">
        <f t="shared" si="23"/>
        <v>412.68000000000006</v>
      </c>
      <c r="J60" s="7">
        <f t="shared" si="23"/>
        <v>8351.340000000002</v>
      </c>
      <c r="K60" s="7">
        <f t="shared" si="23"/>
        <v>29384.659999999996</v>
      </c>
      <c r="L60" s="7">
        <f t="shared" si="23"/>
        <v>26276.454511278225</v>
      </c>
      <c r="M60" s="122"/>
    </row>
    <row r="61" spans="1:13" s="3" customFormat="1" ht="11.25" customHeight="1" x14ac:dyDescent="0.25">
      <c r="A61" s="6"/>
      <c r="B61" s="5"/>
      <c r="C61" s="4"/>
      <c r="D61" s="4"/>
      <c r="E61" s="4"/>
      <c r="F61" s="4"/>
      <c r="G61" s="4"/>
      <c r="H61" s="4"/>
      <c r="I61" s="4"/>
      <c r="J61" s="4"/>
      <c r="K61" s="4"/>
      <c r="L61" s="4"/>
      <c r="M61" s="122"/>
    </row>
    <row r="62" spans="1:13" s="2" customFormat="1" ht="10.5" customHeight="1" x14ac:dyDescent="0.25">
      <c r="A62" s="160" t="s">
        <v>72</v>
      </c>
      <c r="B62" s="160"/>
      <c r="C62" s="160"/>
      <c r="D62" s="160"/>
      <c r="E62" s="160"/>
      <c r="F62" s="160"/>
      <c r="G62" s="82">
        <v>12000</v>
      </c>
      <c r="M62" s="111"/>
    </row>
    <row r="63" spans="1:13" s="2" customFormat="1" ht="10.5" customHeight="1" x14ac:dyDescent="0.25">
      <c r="A63" s="160" t="s">
        <v>73</v>
      </c>
      <c r="B63" s="160"/>
      <c r="C63" s="160"/>
      <c r="D63" s="160"/>
      <c r="E63" s="160"/>
      <c r="F63" s="160"/>
      <c r="G63" s="82">
        <v>5600</v>
      </c>
      <c r="M63" s="111"/>
    </row>
    <row r="64" spans="1:13" ht="10.5" customHeight="1" x14ac:dyDescent="0.25">
      <c r="A64" s="160" t="s">
        <v>76</v>
      </c>
      <c r="B64" s="160"/>
      <c r="C64" s="160"/>
      <c r="D64" s="160"/>
      <c r="E64" s="160"/>
      <c r="F64" s="160"/>
      <c r="G64" s="82">
        <v>9800</v>
      </c>
    </row>
    <row r="65" spans="1:13" ht="10.5" customHeight="1" x14ac:dyDescent="0.25">
      <c r="A65" s="160" t="s">
        <v>75</v>
      </c>
      <c r="B65" s="160"/>
      <c r="C65" s="160"/>
      <c r="D65" s="160"/>
      <c r="E65" s="160"/>
      <c r="F65" s="160"/>
      <c r="G65" s="82">
        <v>1500</v>
      </c>
    </row>
    <row r="66" spans="1:13" ht="10.5" customHeight="1" x14ac:dyDescent="0.25">
      <c r="A66" s="160" t="s">
        <v>74</v>
      </c>
      <c r="B66" s="160"/>
      <c r="C66" s="160"/>
      <c r="D66" s="160"/>
      <c r="E66" s="160"/>
      <c r="F66" s="160"/>
      <c r="G66" s="82">
        <v>843.44</v>
      </c>
    </row>
    <row r="67" spans="1:13" ht="10.5" customHeight="1" x14ac:dyDescent="0.25">
      <c r="A67" s="160" t="s">
        <v>77</v>
      </c>
      <c r="B67" s="160"/>
      <c r="C67" s="160"/>
      <c r="D67" s="160"/>
      <c r="E67" s="160"/>
      <c r="F67" s="160"/>
      <c r="G67" s="82">
        <v>1784.19</v>
      </c>
    </row>
    <row r="68" spans="1:13" ht="10.5" customHeight="1" x14ac:dyDescent="0.25">
      <c r="A68" s="160" t="s">
        <v>78</v>
      </c>
      <c r="B68" s="160"/>
      <c r="C68" s="160"/>
      <c r="D68" s="160"/>
      <c r="E68" s="160"/>
      <c r="F68" s="160"/>
      <c r="G68" s="82">
        <v>2453.12</v>
      </c>
    </row>
    <row r="69" spans="1:13" s="2" customFormat="1" ht="10.5" customHeight="1" x14ac:dyDescent="0.25">
      <c r="A69" s="160" t="s">
        <v>84</v>
      </c>
      <c r="B69" s="160"/>
      <c r="C69" s="160"/>
      <c r="D69" s="160"/>
      <c r="E69" s="160"/>
      <c r="F69" s="160"/>
      <c r="G69" s="82">
        <v>2598.4499999999998</v>
      </c>
      <c r="M69" s="112"/>
    </row>
    <row r="70" spans="1:13" s="2" customFormat="1" ht="10.5" customHeight="1" x14ac:dyDescent="0.25">
      <c r="A70" s="160" t="s">
        <v>85</v>
      </c>
      <c r="B70" s="160"/>
      <c r="C70" s="160"/>
      <c r="D70" s="160"/>
      <c r="E70" s="160"/>
      <c r="F70" s="160"/>
      <c r="G70" s="82">
        <v>2659</v>
      </c>
      <c r="M70" s="112"/>
    </row>
    <row r="71" spans="1:13" s="2" customFormat="1" ht="10.5" customHeight="1" x14ac:dyDescent="0.25">
      <c r="A71" s="160" t="s">
        <v>90</v>
      </c>
      <c r="B71" s="160"/>
      <c r="C71" s="160"/>
      <c r="D71" s="160"/>
      <c r="E71" s="160"/>
      <c r="F71" s="160"/>
      <c r="G71" s="82">
        <v>1200</v>
      </c>
      <c r="M71" s="112"/>
    </row>
    <row r="72" spans="1:13" s="2" customFormat="1" ht="10.5" customHeight="1" x14ac:dyDescent="0.25">
      <c r="A72" s="160" t="s">
        <v>93</v>
      </c>
      <c r="B72" s="160"/>
      <c r="C72" s="160"/>
      <c r="D72" s="160"/>
      <c r="E72" s="160"/>
      <c r="F72" s="160"/>
      <c r="G72" s="82">
        <v>2109</v>
      </c>
      <c r="M72" s="111"/>
    </row>
    <row r="73" spans="1:13" s="2" customFormat="1" ht="10.5" customHeight="1" x14ac:dyDescent="0.25">
      <c r="A73" s="160" t="s">
        <v>100</v>
      </c>
      <c r="B73" s="160"/>
      <c r="C73" s="160"/>
      <c r="D73" s="160"/>
      <c r="E73" s="160"/>
      <c r="F73" s="160"/>
      <c r="G73" s="82">
        <v>6100</v>
      </c>
      <c r="M73" s="111"/>
    </row>
    <row r="74" spans="1:13" s="2" customFormat="1" ht="10.5" customHeight="1" x14ac:dyDescent="0.25">
      <c r="A74" s="160" t="s">
        <v>102</v>
      </c>
      <c r="B74" s="160"/>
      <c r="C74" s="160"/>
      <c r="D74" s="160"/>
      <c r="E74" s="160"/>
      <c r="F74" s="160"/>
      <c r="G74" s="82">
        <v>5369</v>
      </c>
      <c r="M74" s="112"/>
    </row>
    <row r="75" spans="1:13" ht="10.5" customHeight="1" x14ac:dyDescent="0.25">
      <c r="A75" s="160" t="s">
        <v>106</v>
      </c>
      <c r="B75" s="160"/>
      <c r="C75" s="160"/>
      <c r="D75" s="160"/>
      <c r="E75" s="160"/>
      <c r="F75" s="160"/>
      <c r="G75" s="82">
        <v>16442.41</v>
      </c>
    </row>
    <row r="76" spans="1:13" ht="10.5" customHeight="1" x14ac:dyDescent="0.25">
      <c r="A76" s="160" t="s">
        <v>107</v>
      </c>
      <c r="B76" s="160"/>
      <c r="C76" s="160"/>
      <c r="D76" s="160"/>
      <c r="E76" s="160"/>
      <c r="F76" s="160"/>
      <c r="G76" s="82">
        <v>1609.56</v>
      </c>
    </row>
    <row r="77" spans="1:13" s="2" customFormat="1" ht="10.5" customHeight="1" x14ac:dyDescent="0.25">
      <c r="A77" s="160" t="s">
        <v>109</v>
      </c>
      <c r="B77" s="160"/>
      <c r="C77" s="160"/>
      <c r="D77" s="160"/>
      <c r="E77" s="160"/>
      <c r="F77" s="160"/>
      <c r="G77" s="82">
        <v>1000</v>
      </c>
      <c r="M77" s="112"/>
    </row>
    <row r="78" spans="1:13" ht="20.25" customHeight="1" x14ac:dyDescent="0.25">
      <c r="A78" s="160" t="s">
        <v>113</v>
      </c>
      <c r="B78" s="160"/>
      <c r="C78" s="160"/>
      <c r="D78" s="160"/>
      <c r="E78" s="160"/>
      <c r="F78" s="160"/>
      <c r="G78" s="82">
        <v>75940.289999999994</v>
      </c>
    </row>
    <row r="79" spans="1:13" s="2" customFormat="1" ht="10.5" customHeight="1" x14ac:dyDescent="0.25">
      <c r="A79" s="160" t="s">
        <v>115</v>
      </c>
      <c r="B79" s="160"/>
      <c r="C79" s="160"/>
      <c r="D79" s="160"/>
      <c r="E79" s="160"/>
      <c r="F79" s="160"/>
      <c r="G79" s="82">
        <v>1200</v>
      </c>
      <c r="M79" s="112"/>
    </row>
    <row r="80" spans="1:13" s="2" customFormat="1" ht="10.5" customHeight="1" x14ac:dyDescent="0.25">
      <c r="A80" s="160" t="s">
        <v>117</v>
      </c>
      <c r="B80" s="160"/>
      <c r="C80" s="160"/>
      <c r="D80" s="160"/>
      <c r="E80" s="160"/>
      <c r="F80" s="160"/>
      <c r="G80" s="82">
        <v>4208</v>
      </c>
      <c r="M80" s="112"/>
    </row>
    <row r="81" spans="1:13" ht="10.5" customHeight="1" x14ac:dyDescent="0.25">
      <c r="A81" s="160" t="s">
        <v>118</v>
      </c>
      <c r="B81" s="160"/>
      <c r="C81" s="160"/>
      <c r="D81" s="160"/>
      <c r="E81" s="160"/>
      <c r="F81" s="160"/>
      <c r="G81" s="82">
        <v>500</v>
      </c>
    </row>
    <row r="82" spans="1:13" s="2" customFormat="1" x14ac:dyDescent="0.25">
      <c r="A82" s="1"/>
      <c r="B82" s="1"/>
      <c r="C82" s="77"/>
      <c r="D82" s="111"/>
      <c r="E82" s="111"/>
      <c r="F82" s="111"/>
      <c r="G82" s="111"/>
      <c r="M82" s="112"/>
    </row>
    <row r="83" spans="1:13" s="2" customFormat="1" x14ac:dyDescent="0.25">
      <c r="A83" s="1"/>
      <c r="B83" s="1"/>
      <c r="C83" s="77"/>
      <c r="D83" s="111"/>
      <c r="E83" s="111"/>
      <c r="F83" s="111"/>
      <c r="G83" s="111"/>
      <c r="M83" s="112"/>
    </row>
    <row r="84" spans="1:13" s="2" customFormat="1" x14ac:dyDescent="0.25">
      <c r="A84" s="1"/>
      <c r="B84" s="1"/>
      <c r="C84" s="77"/>
      <c r="D84" s="111"/>
      <c r="E84" s="111"/>
      <c r="F84" s="111"/>
      <c r="G84" s="111"/>
      <c r="M84" s="112"/>
    </row>
  </sheetData>
  <mergeCells count="26">
    <mergeCell ref="A80:F80"/>
    <mergeCell ref="A81:F81"/>
    <mergeCell ref="A74:F74"/>
    <mergeCell ref="A75:F75"/>
    <mergeCell ref="A76:F76"/>
    <mergeCell ref="A77:F77"/>
    <mergeCell ref="A78:F78"/>
    <mergeCell ref="A79:F79"/>
    <mergeCell ref="A73:F73"/>
    <mergeCell ref="A62:F62"/>
    <mergeCell ref="A63:F63"/>
    <mergeCell ref="A64:F64"/>
    <mergeCell ref="A65:F65"/>
    <mergeCell ref="A66:F66"/>
    <mergeCell ref="A67:F67"/>
    <mergeCell ref="A68:F68"/>
    <mergeCell ref="A69:F69"/>
    <mergeCell ref="A70:F70"/>
    <mergeCell ref="A71:F71"/>
    <mergeCell ref="A72:F72"/>
    <mergeCell ref="A60:B60"/>
    <mergeCell ref="A15:B15"/>
    <mergeCell ref="A21:B21"/>
    <mergeCell ref="A27:B27"/>
    <mergeCell ref="A30:B30"/>
    <mergeCell ref="A51:B51"/>
  </mergeCells>
  <pageMargins left="0.25" right="0" top="0.4" bottom="0" header="0.3" footer="0"/>
  <pageSetup scale="84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63"/>
  <sheetViews>
    <sheetView zoomScale="130" zoomScaleNormal="130" workbookViewId="0">
      <pane ySplit="2" topLeftCell="A30" activePane="bottomLeft" state="frozen"/>
      <selection pane="bottomLeft" activeCell="A35" sqref="A35:XFD35"/>
    </sheetView>
  </sheetViews>
  <sheetFormatPr defaultColWidth="28" defaultRowHeight="15" x14ac:dyDescent="0.25"/>
  <cols>
    <col min="1" max="1" width="33.140625" style="1" bestFit="1" customWidth="1"/>
    <col min="2" max="2" width="18.7109375" style="1" bestFit="1" customWidth="1"/>
    <col min="3" max="3" width="10.42578125" style="77" customWidth="1"/>
    <col min="4" max="4" width="8.140625" style="2" bestFit="1" customWidth="1"/>
    <col min="5" max="5" width="6.28515625" style="2" bestFit="1" customWidth="1"/>
    <col min="6" max="6" width="8.28515625" style="2" bestFit="1" customWidth="1"/>
    <col min="7" max="7" width="8.7109375" style="2" bestFit="1" customWidth="1"/>
    <col min="8" max="8" width="9.28515625" style="2" bestFit="1" customWidth="1"/>
    <col min="9" max="9" width="10.7109375" style="2" bestFit="1" customWidth="1"/>
    <col min="10" max="10" width="9.7109375" style="2" bestFit="1" customWidth="1"/>
    <col min="11" max="11" width="11.140625" style="2" customWidth="1"/>
    <col min="12" max="12" width="13.42578125" style="2" bestFit="1" customWidth="1"/>
    <col min="13" max="16384" width="28" style="1"/>
  </cols>
  <sheetData>
    <row r="1" spans="1:12" ht="11.25" customHeight="1" x14ac:dyDescent="0.25">
      <c r="A1" s="68"/>
      <c r="B1" s="67"/>
      <c r="C1" s="76"/>
      <c r="D1" s="66"/>
      <c r="E1" s="66"/>
      <c r="F1" s="66"/>
      <c r="G1" s="66"/>
      <c r="H1" s="66"/>
      <c r="I1" s="66"/>
      <c r="J1" s="66"/>
      <c r="K1" s="66"/>
      <c r="L1" s="65" t="s">
        <v>67</v>
      </c>
    </row>
    <row r="2" spans="1:12" s="61" customFormat="1" ht="34.5" x14ac:dyDescent="0.25">
      <c r="A2" s="64" t="s">
        <v>53</v>
      </c>
      <c r="B2" s="64" t="s">
        <v>52</v>
      </c>
      <c r="C2" s="63" t="s">
        <v>51</v>
      </c>
      <c r="D2" s="63" t="s">
        <v>50</v>
      </c>
      <c r="E2" s="63" t="s">
        <v>48</v>
      </c>
      <c r="F2" s="63" t="s">
        <v>49</v>
      </c>
      <c r="G2" s="63" t="s">
        <v>48</v>
      </c>
      <c r="H2" s="62" t="s">
        <v>47</v>
      </c>
      <c r="I2" s="62" t="s">
        <v>46</v>
      </c>
      <c r="J2" s="62" t="s">
        <v>45</v>
      </c>
      <c r="K2" s="62" t="s">
        <v>44</v>
      </c>
      <c r="L2" s="62" t="s">
        <v>43</v>
      </c>
    </row>
    <row r="3" spans="1:12" s="60" customFormat="1" ht="11.25" customHeight="1" x14ac:dyDescent="0.25">
      <c r="A3" s="22" t="s">
        <v>42</v>
      </c>
      <c r="B3" s="21">
        <v>55010300</v>
      </c>
      <c r="C3" s="11">
        <v>0</v>
      </c>
      <c r="D3" s="9">
        <v>0</v>
      </c>
      <c r="E3" s="9">
        <v>0</v>
      </c>
      <c r="F3" s="9">
        <v>0</v>
      </c>
      <c r="G3" s="9">
        <v>0</v>
      </c>
      <c r="H3" s="9">
        <f>D3+F3+'07-09-20'!H3</f>
        <v>0</v>
      </c>
      <c r="I3" s="9">
        <f>E3+G3+'07-09-20'!I3</f>
        <v>0</v>
      </c>
      <c r="J3" s="9">
        <f t="shared" ref="J3:J12" si="0">H3+I3</f>
        <v>0</v>
      </c>
      <c r="K3" s="9">
        <f>C3-J3</f>
        <v>0</v>
      </c>
      <c r="L3" s="9">
        <f>C3-((J3/2)*26.0714285714285)</f>
        <v>0</v>
      </c>
    </row>
    <row r="4" spans="1:12" s="59" customFormat="1" ht="11.25" customHeight="1" x14ac:dyDescent="0.25">
      <c r="A4" s="22" t="s">
        <v>41</v>
      </c>
      <c r="B4" s="21">
        <v>55010500</v>
      </c>
      <c r="C4" s="11">
        <v>3229</v>
      </c>
      <c r="D4" s="10">
        <v>0</v>
      </c>
      <c r="E4" s="10">
        <v>0</v>
      </c>
      <c r="F4" s="10">
        <v>0</v>
      </c>
      <c r="G4" s="10">
        <v>0</v>
      </c>
      <c r="H4" s="9">
        <f>D4+F4+'07-09-20'!H4</f>
        <v>0</v>
      </c>
      <c r="I4" s="9">
        <f>E4+G4+'07-09-20'!I4</f>
        <v>0</v>
      </c>
      <c r="J4" s="9">
        <f t="shared" si="0"/>
        <v>0</v>
      </c>
      <c r="K4" s="9">
        <f t="shared" ref="K4:K12" si="1">C4-J4</f>
        <v>3229</v>
      </c>
      <c r="L4" s="9">
        <f t="shared" ref="L4:L12" si="2">C4-((J4/2)*26.0714285714285)</f>
        <v>3229</v>
      </c>
    </row>
    <row r="5" spans="1:12" s="8" customFormat="1" ht="11.25" customHeight="1" x14ac:dyDescent="0.25">
      <c r="A5" s="58" t="s">
        <v>40</v>
      </c>
      <c r="B5" s="57">
        <v>55020200</v>
      </c>
      <c r="C5" s="56">
        <v>24649</v>
      </c>
      <c r="D5" s="55">
        <v>1027.18</v>
      </c>
      <c r="E5" s="55">
        <v>19.510000000000002</v>
      </c>
      <c r="F5" s="55">
        <v>0</v>
      </c>
      <c r="G5" s="55">
        <v>0</v>
      </c>
      <c r="H5" s="9">
        <f>D5+F5+'07-09-20'!H5</f>
        <v>3552</v>
      </c>
      <c r="I5" s="9">
        <f>E5+G5+'07-09-20'!I5</f>
        <v>67.47</v>
      </c>
      <c r="J5" s="9">
        <f t="shared" si="0"/>
        <v>3619.47</v>
      </c>
      <c r="K5" s="9">
        <f t="shared" si="1"/>
        <v>21029.53</v>
      </c>
      <c r="L5" s="9">
        <f t="shared" si="2"/>
        <v>-22533.37678571415</v>
      </c>
    </row>
    <row r="6" spans="1:12" s="8" customFormat="1" ht="11.25" customHeight="1" x14ac:dyDescent="0.25">
      <c r="A6" s="22" t="s">
        <v>39</v>
      </c>
      <c r="B6" s="21">
        <v>55020300</v>
      </c>
      <c r="C6" s="11">
        <v>17974</v>
      </c>
      <c r="D6" s="10">
        <v>0</v>
      </c>
      <c r="E6" s="10">
        <v>0</v>
      </c>
      <c r="F6" s="10">
        <v>0</v>
      </c>
      <c r="G6" s="10">
        <v>0</v>
      </c>
      <c r="H6" s="9">
        <f>D6+F6+'07-09-20'!H6</f>
        <v>0</v>
      </c>
      <c r="I6" s="9">
        <f>E6+G6+'07-09-20'!I6</f>
        <v>0</v>
      </c>
      <c r="J6" s="9">
        <f t="shared" si="0"/>
        <v>0</v>
      </c>
      <c r="K6" s="9">
        <f t="shared" si="1"/>
        <v>17974</v>
      </c>
      <c r="L6" s="9">
        <f t="shared" si="2"/>
        <v>17974</v>
      </c>
    </row>
    <row r="7" spans="1:12" s="8" customFormat="1" ht="11.25" customHeight="1" x14ac:dyDescent="0.25">
      <c r="A7" s="22" t="s">
        <v>38</v>
      </c>
      <c r="B7" s="21">
        <v>55020400</v>
      </c>
      <c r="C7" s="11">
        <v>17974</v>
      </c>
      <c r="D7" s="10">
        <v>0</v>
      </c>
      <c r="E7" s="10">
        <v>0</v>
      </c>
      <c r="F7" s="10">
        <v>0</v>
      </c>
      <c r="G7" s="10">
        <v>0</v>
      </c>
      <c r="H7" s="9">
        <f>D7+F7+'07-09-20'!H7</f>
        <v>0</v>
      </c>
      <c r="I7" s="9">
        <f>E7+G7+'07-09-20'!I7</f>
        <v>0</v>
      </c>
      <c r="J7" s="9">
        <f t="shared" si="0"/>
        <v>0</v>
      </c>
      <c r="K7" s="9">
        <f t="shared" si="1"/>
        <v>17974</v>
      </c>
      <c r="L7" s="9">
        <f t="shared" si="2"/>
        <v>17974</v>
      </c>
    </row>
    <row r="8" spans="1:12" s="8" customFormat="1" ht="11.25" customHeight="1" x14ac:dyDescent="0.25">
      <c r="A8" s="54" t="s">
        <v>37</v>
      </c>
      <c r="B8" s="21">
        <v>55030200</v>
      </c>
      <c r="C8" s="11">
        <v>24330</v>
      </c>
      <c r="D8" s="10">
        <v>842.72</v>
      </c>
      <c r="E8" s="10">
        <v>16.010000000000002</v>
      </c>
      <c r="F8" s="10">
        <v>0</v>
      </c>
      <c r="G8" s="10">
        <v>0</v>
      </c>
      <c r="H8" s="9">
        <f>D8+F8+'07-09-20'!H8</f>
        <v>1106.92</v>
      </c>
      <c r="I8" s="9">
        <f>E8+G8+'07-09-20'!I8</f>
        <v>21.020000000000003</v>
      </c>
      <c r="J8" s="9">
        <f t="shared" si="0"/>
        <v>1127.94</v>
      </c>
      <c r="K8" s="9">
        <f t="shared" si="1"/>
        <v>23202.06</v>
      </c>
      <c r="L8" s="9">
        <f t="shared" si="2"/>
        <v>9626.4964285714686</v>
      </c>
    </row>
    <row r="9" spans="1:12" s="8" customFormat="1" ht="11.25" customHeight="1" x14ac:dyDescent="0.25">
      <c r="A9" s="22" t="s">
        <v>36</v>
      </c>
      <c r="B9" s="21">
        <v>55050200</v>
      </c>
      <c r="C9" s="11">
        <v>34000</v>
      </c>
      <c r="D9" s="10">
        <v>186.2</v>
      </c>
      <c r="E9" s="10">
        <v>3.53</v>
      </c>
      <c r="F9" s="10">
        <v>0</v>
      </c>
      <c r="G9" s="10">
        <v>0</v>
      </c>
      <c r="H9" s="9">
        <f>D9+F9+'07-09-20'!H9</f>
        <v>780.1400000000001</v>
      </c>
      <c r="I9" s="9">
        <f>E9+G9+'07-09-20'!I9</f>
        <v>14.809999999999999</v>
      </c>
      <c r="J9" s="9">
        <f t="shared" si="0"/>
        <v>794.95</v>
      </c>
      <c r="K9" s="9">
        <f t="shared" si="1"/>
        <v>33205.050000000003</v>
      </c>
      <c r="L9" s="9">
        <f t="shared" si="2"/>
        <v>23637.258928571457</v>
      </c>
    </row>
    <row r="10" spans="1:12" s="23" customFormat="1" ht="11.25" customHeight="1" x14ac:dyDescent="0.25">
      <c r="A10" s="22" t="s">
        <v>35</v>
      </c>
      <c r="B10" s="21">
        <v>55070100</v>
      </c>
      <c r="C10" s="11">
        <v>42741</v>
      </c>
      <c r="D10" s="10">
        <v>855.27</v>
      </c>
      <c r="E10" s="10">
        <v>16.25</v>
      </c>
      <c r="F10" s="10">
        <v>0</v>
      </c>
      <c r="G10" s="10">
        <v>0</v>
      </c>
      <c r="H10" s="9">
        <f>D10+F10+'07-09-20'!H10</f>
        <v>1503.42</v>
      </c>
      <c r="I10" s="9">
        <f>E10+G10+'07-09-20'!I10</f>
        <v>28.560000000000002</v>
      </c>
      <c r="J10" s="9">
        <f t="shared" si="0"/>
        <v>1531.98</v>
      </c>
      <c r="K10" s="9">
        <f t="shared" si="1"/>
        <v>41209.019999999997</v>
      </c>
      <c r="L10" s="9">
        <f t="shared" si="2"/>
        <v>22770.546428571484</v>
      </c>
    </row>
    <row r="11" spans="1:12" s="8" customFormat="1" ht="11.25" customHeight="1" x14ac:dyDescent="0.25">
      <c r="A11" s="22" t="s">
        <v>34</v>
      </c>
      <c r="B11" s="21">
        <v>55080100</v>
      </c>
      <c r="C11" s="11">
        <v>23173</v>
      </c>
      <c r="D11" s="10">
        <v>634.37</v>
      </c>
      <c r="E11" s="10">
        <v>12.05</v>
      </c>
      <c r="F11" s="10">
        <v>0</v>
      </c>
      <c r="G11" s="10">
        <v>0</v>
      </c>
      <c r="H11" s="9">
        <f>D11+F11+'07-09-20'!H11</f>
        <v>761.24</v>
      </c>
      <c r="I11" s="9">
        <f>E11+G11+'07-09-20'!I11</f>
        <v>14.46</v>
      </c>
      <c r="J11" s="9">
        <f t="shared" si="0"/>
        <v>775.7</v>
      </c>
      <c r="K11" s="9">
        <f t="shared" si="1"/>
        <v>22397.3</v>
      </c>
      <c r="L11" s="9">
        <f t="shared" si="2"/>
        <v>13061.196428571457</v>
      </c>
    </row>
    <row r="12" spans="1:12" s="44" customFormat="1" ht="11.25" customHeight="1" x14ac:dyDescent="0.25">
      <c r="A12" s="53" t="s">
        <v>33</v>
      </c>
      <c r="B12" s="12">
        <v>55190000</v>
      </c>
      <c r="C12" s="11">
        <v>6000</v>
      </c>
      <c r="D12" s="10">
        <v>0</v>
      </c>
      <c r="E12" s="10">
        <v>0</v>
      </c>
      <c r="F12" s="10">
        <v>0</v>
      </c>
      <c r="G12" s="10">
        <v>0</v>
      </c>
      <c r="H12" s="9">
        <f>D12+F12+'07-09-20'!H12</f>
        <v>0</v>
      </c>
      <c r="I12" s="9">
        <f>E12+G12+'07-09-20'!I12</f>
        <v>0</v>
      </c>
      <c r="J12" s="9">
        <f t="shared" si="0"/>
        <v>0</v>
      </c>
      <c r="K12" s="9">
        <f t="shared" si="1"/>
        <v>6000</v>
      </c>
      <c r="L12" s="9">
        <f t="shared" si="2"/>
        <v>6000</v>
      </c>
    </row>
    <row r="13" spans="1:12" ht="21.6" customHeight="1" thickBot="1" x14ac:dyDescent="0.3">
      <c r="A13" s="155" t="s">
        <v>32</v>
      </c>
      <c r="B13" s="156"/>
      <c r="C13" s="49">
        <f t="shared" ref="C13:L13" si="3">SUM(C3:C12)</f>
        <v>194070</v>
      </c>
      <c r="D13" s="7">
        <f t="shared" si="3"/>
        <v>3545.74</v>
      </c>
      <c r="E13" s="7">
        <f t="shared" si="3"/>
        <v>67.350000000000009</v>
      </c>
      <c r="F13" s="7">
        <f t="shared" si="3"/>
        <v>0</v>
      </c>
      <c r="G13" s="7">
        <f t="shared" si="3"/>
        <v>0</v>
      </c>
      <c r="H13" s="7">
        <f t="shared" si="3"/>
        <v>7703.72</v>
      </c>
      <c r="I13" s="7">
        <f t="shared" si="3"/>
        <v>146.32000000000002</v>
      </c>
      <c r="J13" s="49">
        <f t="shared" si="3"/>
        <v>7850.04</v>
      </c>
      <c r="K13" s="49">
        <f t="shared" si="3"/>
        <v>186219.96</v>
      </c>
      <c r="L13" s="7">
        <f t="shared" si="3"/>
        <v>91739.1214285717</v>
      </c>
    </row>
    <row r="14" spans="1:12" ht="11.25" customHeight="1" x14ac:dyDescent="0.25">
      <c r="A14" s="52"/>
      <c r="B14" s="41"/>
      <c r="C14" s="40"/>
      <c r="D14" s="40"/>
      <c r="E14" s="40"/>
      <c r="F14" s="40"/>
      <c r="G14" s="40"/>
      <c r="H14" s="39"/>
      <c r="I14" s="39"/>
      <c r="J14" s="39"/>
      <c r="K14" s="39"/>
      <c r="L14" s="51"/>
    </row>
    <row r="15" spans="1:12" ht="11.25" customHeight="1" thickBot="1" x14ac:dyDescent="0.3">
      <c r="A15" s="38"/>
      <c r="B15" s="37"/>
      <c r="C15" s="36"/>
      <c r="D15" s="36"/>
      <c r="E15" s="36"/>
      <c r="F15" s="36"/>
      <c r="G15" s="36"/>
      <c r="H15" s="35"/>
      <c r="I15" s="35"/>
      <c r="J15" s="35"/>
      <c r="K15" s="35"/>
      <c r="L15" s="50"/>
    </row>
    <row r="16" spans="1:12" s="8" customFormat="1" ht="11.45" customHeight="1" x14ac:dyDescent="0.25">
      <c r="A16" s="13" t="s">
        <v>31</v>
      </c>
      <c r="B16" s="12">
        <v>55090100</v>
      </c>
      <c r="C16" s="11">
        <v>26923</v>
      </c>
      <c r="D16" s="10">
        <v>0</v>
      </c>
      <c r="E16" s="10">
        <v>0</v>
      </c>
      <c r="F16" s="10">
        <f>720+1200</f>
        <v>1920</v>
      </c>
      <c r="G16" s="10">
        <f>37.44+62.4</f>
        <v>99.84</v>
      </c>
      <c r="H16" s="9">
        <f>D16+F16+'07-09-20'!H16</f>
        <v>1920</v>
      </c>
      <c r="I16" s="9">
        <f>E16+G16+'07-09-20'!I16</f>
        <v>99.84</v>
      </c>
      <c r="J16" s="9">
        <f t="shared" ref="J16:J18" si="4">H16+I16</f>
        <v>2019.84</v>
      </c>
      <c r="K16" s="9">
        <f>C16-J16</f>
        <v>24903.16</v>
      </c>
      <c r="L16" s="9">
        <f t="shared" ref="L16:L18" si="5">C16-((J16/2)*26.0714285714285)</f>
        <v>592.94285714293073</v>
      </c>
    </row>
    <row r="17" spans="1:13" s="8" customFormat="1" ht="11.45" customHeight="1" x14ac:dyDescent="0.25">
      <c r="A17" s="22" t="s">
        <v>30</v>
      </c>
      <c r="B17" s="21">
        <v>55160100</v>
      </c>
      <c r="C17" s="11">
        <v>16062</v>
      </c>
      <c r="D17" s="9">
        <v>0</v>
      </c>
      <c r="E17" s="9">
        <v>0</v>
      </c>
      <c r="F17" s="10">
        <v>0</v>
      </c>
      <c r="G17" s="10">
        <v>0</v>
      </c>
      <c r="H17" s="9">
        <f>D17+F17+'07-09-20'!H17</f>
        <v>0</v>
      </c>
      <c r="I17" s="9">
        <f>E17+G17+'07-09-20'!I17</f>
        <v>0</v>
      </c>
      <c r="J17" s="9">
        <f t="shared" si="4"/>
        <v>0</v>
      </c>
      <c r="K17" s="9">
        <f t="shared" ref="K17:K18" si="6">C17-J17</f>
        <v>16062</v>
      </c>
      <c r="L17" s="9">
        <f t="shared" si="5"/>
        <v>16062</v>
      </c>
    </row>
    <row r="18" spans="1:13" s="8" customFormat="1" ht="11.45" customHeight="1" x14ac:dyDescent="0.25">
      <c r="A18" s="13" t="s">
        <v>29</v>
      </c>
      <c r="B18" s="12">
        <v>55100100</v>
      </c>
      <c r="C18" s="11">
        <v>2026</v>
      </c>
      <c r="D18" s="10">
        <v>72.760000000000005</v>
      </c>
      <c r="E18" s="10">
        <v>1.38</v>
      </c>
      <c r="F18" s="10">
        <v>0</v>
      </c>
      <c r="G18" s="10">
        <v>0</v>
      </c>
      <c r="H18" s="9">
        <f>D18+F18+'07-09-20'!H18</f>
        <v>123.26</v>
      </c>
      <c r="I18" s="9">
        <f>E18+G18+'07-09-20'!I18</f>
        <v>1.4749999999999999</v>
      </c>
      <c r="J18" s="9">
        <f t="shared" si="4"/>
        <v>124.735</v>
      </c>
      <c r="K18" s="9">
        <f t="shared" si="6"/>
        <v>1901.2650000000001</v>
      </c>
      <c r="L18" s="9">
        <f t="shared" si="5"/>
        <v>399.99017857143303</v>
      </c>
    </row>
    <row r="19" spans="1:13" ht="21.6" customHeight="1" thickBot="1" x14ac:dyDescent="0.3">
      <c r="A19" s="155" t="s">
        <v>28</v>
      </c>
      <c r="B19" s="156"/>
      <c r="C19" s="7">
        <f t="shared" ref="C19:L19" si="7">SUM(C16:C18)</f>
        <v>45011</v>
      </c>
      <c r="D19" s="7">
        <f t="shared" si="7"/>
        <v>72.760000000000005</v>
      </c>
      <c r="E19" s="7">
        <f t="shared" si="7"/>
        <v>1.38</v>
      </c>
      <c r="F19" s="7">
        <f t="shared" si="7"/>
        <v>1920</v>
      </c>
      <c r="G19" s="7">
        <f t="shared" si="7"/>
        <v>99.84</v>
      </c>
      <c r="H19" s="7">
        <f t="shared" si="7"/>
        <v>2043.26</v>
      </c>
      <c r="I19" s="7">
        <f t="shared" si="7"/>
        <v>101.315</v>
      </c>
      <c r="J19" s="49">
        <f t="shared" si="7"/>
        <v>2144.5749999999998</v>
      </c>
      <c r="K19" s="7">
        <f t="shared" si="7"/>
        <v>42866.425000000003</v>
      </c>
      <c r="L19" s="7">
        <f t="shared" si="7"/>
        <v>17054.933035714363</v>
      </c>
    </row>
    <row r="20" spans="1:13" ht="11.25" customHeight="1" x14ac:dyDescent="0.25">
      <c r="A20" s="42"/>
      <c r="B20" s="41"/>
      <c r="C20" s="40"/>
      <c r="D20" s="39"/>
      <c r="E20" s="39"/>
      <c r="F20" s="39"/>
      <c r="G20" s="39"/>
      <c r="H20" s="39"/>
      <c r="I20" s="39"/>
      <c r="J20" s="39"/>
      <c r="K20" s="39"/>
      <c r="L20" s="51"/>
    </row>
    <row r="21" spans="1:13" ht="11.25" customHeight="1" thickBot="1" x14ac:dyDescent="0.3">
      <c r="A21" s="38"/>
      <c r="B21" s="37"/>
      <c r="C21" s="36"/>
      <c r="D21" s="35"/>
      <c r="E21" s="35"/>
      <c r="F21" s="35"/>
      <c r="G21" s="35"/>
      <c r="H21" s="35"/>
      <c r="I21" s="35"/>
      <c r="J21" s="35"/>
      <c r="K21" s="35"/>
      <c r="L21" s="50"/>
    </row>
    <row r="22" spans="1:13" s="44" customFormat="1" ht="11.45" customHeight="1" x14ac:dyDescent="0.25">
      <c r="A22" s="13" t="s">
        <v>27</v>
      </c>
      <c r="B22" s="12">
        <v>55200000</v>
      </c>
      <c r="C22" s="11">
        <v>25000</v>
      </c>
      <c r="D22" s="10">
        <v>480</v>
      </c>
      <c r="E22" s="10">
        <v>9.1199999999999992</v>
      </c>
      <c r="F22" s="10">
        <v>0</v>
      </c>
      <c r="G22" s="10">
        <v>0</v>
      </c>
      <c r="H22" s="9">
        <f>D22+F22+'07-09-20'!H22</f>
        <v>1158.75</v>
      </c>
      <c r="I22" s="9">
        <f>E22+G22+'07-09-20'!I22</f>
        <v>22</v>
      </c>
      <c r="J22" s="9">
        <f t="shared" ref="J22:J24" si="8">H22+I22</f>
        <v>1180.75</v>
      </c>
      <c r="K22" s="9">
        <f>C22-J22</f>
        <v>23819.25</v>
      </c>
      <c r="L22" s="9">
        <f t="shared" ref="L22:L24" si="9">C22-((J22/2)*26.0714285714285)</f>
        <v>9608.0803571429005</v>
      </c>
      <c r="M22" s="31"/>
    </row>
    <row r="23" spans="1:13" s="44" customFormat="1" ht="11.45" customHeight="1" x14ac:dyDescent="0.25">
      <c r="A23" s="13" t="s">
        <v>26</v>
      </c>
      <c r="B23" s="48" t="s">
        <v>25</v>
      </c>
      <c r="C23" s="84">
        <v>0</v>
      </c>
      <c r="D23" s="45">
        <v>279.3</v>
      </c>
      <c r="E23" s="45">
        <v>5.3</v>
      </c>
      <c r="F23" s="45">
        <v>0</v>
      </c>
      <c r="G23" s="45">
        <v>0</v>
      </c>
      <c r="H23" s="9">
        <f>D23+F23+'07-09-20'!H23</f>
        <v>446.88</v>
      </c>
      <c r="I23" s="9">
        <f>E23+G23+'07-09-20'!I23</f>
        <v>8.48</v>
      </c>
      <c r="J23" s="9">
        <f t="shared" si="8"/>
        <v>455.36</v>
      </c>
      <c r="K23" s="75">
        <f t="shared" ref="K23:K24" si="10">C23-J23</f>
        <v>-455.36</v>
      </c>
      <c r="L23" s="9">
        <f t="shared" si="9"/>
        <v>-5935.9428571428407</v>
      </c>
      <c r="M23" s="31"/>
    </row>
    <row r="24" spans="1:13" s="44" customFormat="1" ht="10.9" customHeight="1" x14ac:dyDescent="0.25">
      <c r="A24" s="28" t="s">
        <v>24</v>
      </c>
      <c r="B24" s="47" t="s">
        <v>23</v>
      </c>
      <c r="C24" s="46">
        <v>0</v>
      </c>
      <c r="D24" s="45">
        <v>0</v>
      </c>
      <c r="E24" s="45">
        <v>0</v>
      </c>
      <c r="F24" s="45">
        <v>0</v>
      </c>
      <c r="G24" s="45">
        <v>0</v>
      </c>
      <c r="H24" s="9">
        <f>D24+F24+'07-09-20'!H24</f>
        <v>0</v>
      </c>
      <c r="I24" s="9">
        <f>E24+G24+'07-09-20'!I24</f>
        <v>0</v>
      </c>
      <c r="J24" s="9">
        <f t="shared" si="8"/>
        <v>0</v>
      </c>
      <c r="K24" s="9">
        <f t="shared" si="10"/>
        <v>0</v>
      </c>
      <c r="L24" s="9">
        <f t="shared" si="9"/>
        <v>0</v>
      </c>
    </row>
    <row r="25" spans="1:13" ht="24.75" customHeight="1" thickBot="1" x14ac:dyDescent="0.3">
      <c r="A25" s="157" t="s">
        <v>22</v>
      </c>
      <c r="B25" s="158"/>
      <c r="C25" s="43">
        <f>SUM(C22:C23)</f>
        <v>25000</v>
      </c>
      <c r="D25" s="43">
        <f t="shared" ref="D25:L25" si="11">SUM(D22:D24)</f>
        <v>759.3</v>
      </c>
      <c r="E25" s="43">
        <f t="shared" si="11"/>
        <v>14.419999999999998</v>
      </c>
      <c r="F25" s="43">
        <f t="shared" si="11"/>
        <v>0</v>
      </c>
      <c r="G25" s="43">
        <f t="shared" si="11"/>
        <v>0</v>
      </c>
      <c r="H25" s="43">
        <f t="shared" si="11"/>
        <v>1605.63</v>
      </c>
      <c r="I25" s="43">
        <f t="shared" si="11"/>
        <v>30.48</v>
      </c>
      <c r="J25" s="43">
        <f t="shared" si="11"/>
        <v>1636.1100000000001</v>
      </c>
      <c r="K25" s="43">
        <f t="shared" si="11"/>
        <v>23363.89</v>
      </c>
      <c r="L25" s="34">
        <f t="shared" si="11"/>
        <v>3672.1375000000598</v>
      </c>
    </row>
    <row r="26" spans="1:13" ht="11.25" customHeight="1" x14ac:dyDescent="0.25">
      <c r="A26" s="42"/>
      <c r="B26" s="41"/>
      <c r="C26" s="40"/>
      <c r="D26" s="40"/>
      <c r="E26" s="40"/>
      <c r="F26" s="40"/>
      <c r="G26" s="40"/>
      <c r="H26" s="39"/>
      <c r="I26" s="39"/>
      <c r="J26" s="39"/>
      <c r="K26" s="39"/>
      <c r="L26" s="39"/>
    </row>
    <row r="27" spans="1:13" ht="11.25" customHeight="1" thickBot="1" x14ac:dyDescent="0.3">
      <c r="A27" s="38"/>
      <c r="B27" s="37"/>
      <c r="C27" s="36"/>
      <c r="D27" s="36"/>
      <c r="E27" s="36"/>
      <c r="F27" s="36"/>
      <c r="G27" s="36"/>
      <c r="H27" s="35"/>
      <c r="I27" s="35"/>
      <c r="J27" s="35"/>
      <c r="K27" s="35"/>
      <c r="L27" s="35"/>
    </row>
    <row r="28" spans="1:13" ht="21.6" customHeight="1" x14ac:dyDescent="0.25">
      <c r="A28" s="159" t="s">
        <v>21</v>
      </c>
      <c r="B28" s="159"/>
      <c r="C28" s="34">
        <f t="shared" ref="C28:L28" si="12">C13+C19+C25</f>
        <v>264081</v>
      </c>
      <c r="D28" s="34">
        <f t="shared" si="12"/>
        <v>4377.8</v>
      </c>
      <c r="E28" s="34">
        <f t="shared" si="12"/>
        <v>83.15</v>
      </c>
      <c r="F28" s="34">
        <f t="shared" si="12"/>
        <v>1920</v>
      </c>
      <c r="G28" s="34">
        <f t="shared" si="12"/>
        <v>99.84</v>
      </c>
      <c r="H28" s="34">
        <f t="shared" si="12"/>
        <v>11352.61</v>
      </c>
      <c r="I28" s="34">
        <f t="shared" si="12"/>
        <v>278.11500000000001</v>
      </c>
      <c r="J28" s="34">
        <f t="shared" si="12"/>
        <v>11630.725</v>
      </c>
      <c r="K28" s="34">
        <f t="shared" si="12"/>
        <v>252450.27500000002</v>
      </c>
      <c r="L28" s="34">
        <f t="shared" si="12"/>
        <v>112466.19196428612</v>
      </c>
    </row>
    <row r="29" spans="1:13" ht="10.9" customHeight="1" x14ac:dyDescent="0.25">
      <c r="A29" s="17"/>
      <c r="B29" s="16"/>
      <c r="C29" s="14"/>
      <c r="D29" s="15"/>
      <c r="E29" s="15"/>
      <c r="F29" s="15"/>
      <c r="G29" s="15"/>
      <c r="H29" s="14"/>
      <c r="I29" s="14"/>
      <c r="J29" s="14"/>
      <c r="K29" s="14"/>
      <c r="L29" s="14"/>
    </row>
    <row r="30" spans="1:13" ht="11.25" customHeight="1" x14ac:dyDescent="0.25">
      <c r="A30" s="17"/>
      <c r="B30" s="16"/>
      <c r="C30" s="14"/>
      <c r="D30" s="15"/>
      <c r="E30" s="15"/>
      <c r="F30" s="15"/>
      <c r="G30" s="15"/>
      <c r="H30" s="14"/>
      <c r="I30" s="14"/>
      <c r="J30" s="14"/>
      <c r="K30" s="14"/>
      <c r="L30" s="14"/>
    </row>
    <row r="31" spans="1:13" s="30" customFormat="1" ht="11.25" customHeight="1" x14ac:dyDescent="0.25">
      <c r="A31" s="28" t="s">
        <v>20</v>
      </c>
      <c r="B31" s="27" t="s">
        <v>19</v>
      </c>
      <c r="C31" s="9">
        <v>0</v>
      </c>
      <c r="D31" s="10">
        <v>0</v>
      </c>
      <c r="E31" s="10">
        <v>0</v>
      </c>
      <c r="F31" s="10">
        <v>0</v>
      </c>
      <c r="G31" s="10">
        <v>0</v>
      </c>
      <c r="H31" s="9">
        <f>D31+F31+'07-09-20'!H31</f>
        <v>0</v>
      </c>
      <c r="I31" s="9">
        <f>E31+G31+'07-09-20'!I31</f>
        <v>0</v>
      </c>
      <c r="J31" s="9">
        <f t="shared" ref="J31:J45" si="13">H31+I31</f>
        <v>0</v>
      </c>
      <c r="K31" s="9">
        <f>C31-J31</f>
        <v>0</v>
      </c>
      <c r="L31" s="9">
        <f t="shared" ref="L31:L46" si="14">C31-((J31/2)*26.0714285714285)</f>
        <v>0</v>
      </c>
    </row>
    <row r="32" spans="1:13" s="30" customFormat="1" ht="12" customHeight="1" x14ac:dyDescent="0.25">
      <c r="A32" s="32" t="s">
        <v>123</v>
      </c>
      <c r="B32" s="33" t="s">
        <v>55</v>
      </c>
      <c r="C32" s="9">
        <f>2795.22+12000</f>
        <v>14795.22</v>
      </c>
      <c r="D32" s="10">
        <v>0</v>
      </c>
      <c r="E32" s="10">
        <v>0</v>
      </c>
      <c r="F32" s="10">
        <v>0</v>
      </c>
      <c r="G32" s="10">
        <v>0</v>
      </c>
      <c r="H32" s="9">
        <f>D32+F32+'07-09-20'!H32</f>
        <v>0</v>
      </c>
      <c r="I32" s="9">
        <f>E32+G32+'07-09-20'!I32</f>
        <v>0</v>
      </c>
      <c r="J32" s="9">
        <f t="shared" si="13"/>
        <v>0</v>
      </c>
      <c r="K32" s="9">
        <f>C32-J32</f>
        <v>14795.22</v>
      </c>
      <c r="L32" s="9">
        <f t="shared" si="14"/>
        <v>14795.22</v>
      </c>
    </row>
    <row r="33" spans="1:13" s="31" customFormat="1" ht="11.25" customHeight="1" x14ac:dyDescent="0.25">
      <c r="A33" s="78" t="s">
        <v>18</v>
      </c>
      <c r="B33" s="79" t="s">
        <v>17</v>
      </c>
      <c r="C33" s="81">
        <v>0</v>
      </c>
      <c r="D33" s="80">
        <v>570</v>
      </c>
      <c r="E33" s="80">
        <v>10.83</v>
      </c>
      <c r="F33" s="80">
        <v>408</v>
      </c>
      <c r="G33" s="80">
        <v>21.21</v>
      </c>
      <c r="H33" s="75">
        <f>D33+F33+'07-09-20'!H33</f>
        <v>1550</v>
      </c>
      <c r="I33" s="75">
        <f>E33+G33+'07-09-20'!I33</f>
        <v>49.629999999999995</v>
      </c>
      <c r="J33" s="75">
        <f t="shared" si="13"/>
        <v>1599.63</v>
      </c>
      <c r="K33" s="75">
        <f t="shared" ref="K33:K45" si="15">C33-J33</f>
        <v>-1599.63</v>
      </c>
      <c r="L33" s="75">
        <f t="shared" si="14"/>
        <v>-20852.319642857085</v>
      </c>
    </row>
    <row r="34" spans="1:13" s="26" customFormat="1" ht="11.25" customHeight="1" x14ac:dyDescent="0.25">
      <c r="A34" s="28" t="s">
        <v>16</v>
      </c>
      <c r="B34" s="29" t="s">
        <v>15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f>D34+F34+'07-09-20'!H34</f>
        <v>0</v>
      </c>
      <c r="I34" s="9">
        <f>E34+G34+'07-09-20'!I34</f>
        <v>0</v>
      </c>
      <c r="J34" s="9">
        <f t="shared" si="13"/>
        <v>0</v>
      </c>
      <c r="K34" s="9">
        <f t="shared" si="15"/>
        <v>0</v>
      </c>
      <c r="L34" s="9">
        <f t="shared" si="14"/>
        <v>0</v>
      </c>
    </row>
    <row r="35" spans="1:13" s="26" customFormat="1" ht="11.25" hidden="1" customHeight="1" x14ac:dyDescent="0.25">
      <c r="A35" s="28" t="s">
        <v>14</v>
      </c>
      <c r="B35" s="29" t="s">
        <v>13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f>D35+F35+'07-09-20'!H35</f>
        <v>0</v>
      </c>
      <c r="I35" s="9">
        <f>E35+G35+'07-09-20'!I35</f>
        <v>0</v>
      </c>
      <c r="J35" s="9">
        <f>H35+I35</f>
        <v>0</v>
      </c>
      <c r="K35" s="9">
        <f t="shared" si="15"/>
        <v>0</v>
      </c>
      <c r="L35" s="9">
        <f t="shared" si="14"/>
        <v>0</v>
      </c>
      <c r="M35" s="23"/>
    </row>
    <row r="36" spans="1:13" s="26" customFormat="1" ht="11.25" customHeight="1" x14ac:dyDescent="0.25">
      <c r="A36" s="28" t="s">
        <v>12</v>
      </c>
      <c r="B36" s="29">
        <v>55110000</v>
      </c>
      <c r="C36" s="9">
        <v>2659</v>
      </c>
      <c r="D36" s="9">
        <v>0</v>
      </c>
      <c r="E36" s="9">
        <v>0</v>
      </c>
      <c r="F36" s="9">
        <v>0</v>
      </c>
      <c r="G36" s="9">
        <v>0</v>
      </c>
      <c r="H36" s="9">
        <f>D36+F36+'07-09-20'!H36</f>
        <v>0</v>
      </c>
      <c r="I36" s="9">
        <f>E36+G36+'07-09-20'!I36</f>
        <v>0</v>
      </c>
      <c r="J36" s="9">
        <f t="shared" si="13"/>
        <v>0</v>
      </c>
      <c r="K36" s="9">
        <f t="shared" si="15"/>
        <v>2659</v>
      </c>
      <c r="L36" s="9">
        <f t="shared" si="14"/>
        <v>2659</v>
      </c>
      <c r="M36" s="23"/>
    </row>
    <row r="37" spans="1:13" s="26" customFormat="1" ht="11.45" customHeight="1" x14ac:dyDescent="0.25">
      <c r="A37" s="28" t="s">
        <v>11</v>
      </c>
      <c r="B37" s="27" t="s">
        <v>10</v>
      </c>
      <c r="C37" s="11">
        <v>0</v>
      </c>
      <c r="D37" s="10">
        <v>0</v>
      </c>
      <c r="E37" s="10">
        <v>0</v>
      </c>
      <c r="F37" s="10">
        <v>0</v>
      </c>
      <c r="G37" s="10">
        <v>0</v>
      </c>
      <c r="H37" s="9">
        <f>D37+F37+'07-09-20'!H37</f>
        <v>0</v>
      </c>
      <c r="I37" s="9">
        <f>E37+G37+'07-09-20'!I37</f>
        <v>0</v>
      </c>
      <c r="J37" s="9">
        <f t="shared" si="13"/>
        <v>0</v>
      </c>
      <c r="K37" s="9">
        <f t="shared" si="15"/>
        <v>0</v>
      </c>
      <c r="L37" s="9">
        <f t="shared" si="14"/>
        <v>0</v>
      </c>
    </row>
    <row r="38" spans="1:13" s="26" customFormat="1" ht="11.45" customHeight="1" x14ac:dyDescent="0.25">
      <c r="A38" s="74" t="s">
        <v>68</v>
      </c>
      <c r="B38" s="24" t="s">
        <v>69</v>
      </c>
      <c r="C38" s="83">
        <v>1500</v>
      </c>
      <c r="D38" s="73">
        <v>126.7</v>
      </c>
      <c r="E38" s="73">
        <v>2.4</v>
      </c>
      <c r="F38" s="73">
        <v>0</v>
      </c>
      <c r="G38" s="73">
        <v>0</v>
      </c>
      <c r="H38" s="73">
        <f>D38+F38</f>
        <v>126.7</v>
      </c>
      <c r="I38" s="73">
        <f>E38+G38</f>
        <v>2.4</v>
      </c>
      <c r="J38" s="73">
        <f t="shared" ref="J38" si="16">H38+I38</f>
        <v>129.1</v>
      </c>
      <c r="K38" s="73">
        <f t="shared" ref="K38" si="17">C38-J38</f>
        <v>1370.9</v>
      </c>
      <c r="L38" s="73">
        <f t="shared" ref="L38" si="18">C38-((J38/2)*26.0714285714285)</f>
        <v>-182.91071428570945</v>
      </c>
    </row>
    <row r="39" spans="1:13" s="23" customFormat="1" ht="11.45" customHeight="1" x14ac:dyDescent="0.25">
      <c r="A39" s="25" t="s">
        <v>61</v>
      </c>
      <c r="B39" s="24" t="s">
        <v>62</v>
      </c>
      <c r="C39" s="11">
        <v>9800</v>
      </c>
      <c r="D39" s="9">
        <v>0</v>
      </c>
      <c r="E39" s="9">
        <v>0</v>
      </c>
      <c r="F39" s="9">
        <v>1192.5</v>
      </c>
      <c r="G39" s="9">
        <v>62.01</v>
      </c>
      <c r="H39" s="9">
        <f>D39+F39+'07-09-20'!H38</f>
        <v>1332</v>
      </c>
      <c r="I39" s="9">
        <f>E39+G39+'07-09-20'!I38</f>
        <v>69.259999999999991</v>
      </c>
      <c r="J39" s="9">
        <f>H39+I39</f>
        <v>1401.26</v>
      </c>
      <c r="K39" s="9">
        <f>C39-J39</f>
        <v>8398.74</v>
      </c>
      <c r="L39" s="9">
        <f t="shared" si="14"/>
        <v>-8466.4249999999483</v>
      </c>
    </row>
    <row r="40" spans="1:13" s="23" customFormat="1" ht="11.45" customHeight="1" x14ac:dyDescent="0.25">
      <c r="A40" s="25" t="s">
        <v>59</v>
      </c>
      <c r="B40" s="24" t="s">
        <v>60</v>
      </c>
      <c r="C40" s="11">
        <v>2453.12</v>
      </c>
      <c r="D40" s="9">
        <v>225</v>
      </c>
      <c r="E40" s="9">
        <v>4.2699999999999996</v>
      </c>
      <c r="F40" s="9">
        <v>0</v>
      </c>
      <c r="G40" s="9">
        <v>0</v>
      </c>
      <c r="H40" s="9">
        <f>D40+F40+'07-09-20'!H39</f>
        <v>255</v>
      </c>
      <c r="I40" s="9">
        <f>E40+G40+'07-09-20'!I39</f>
        <v>4.84</v>
      </c>
      <c r="J40" s="9">
        <f>H40+I40</f>
        <v>259.83999999999997</v>
      </c>
      <c r="K40" s="9">
        <f>C40-J40</f>
        <v>2193.2799999999997</v>
      </c>
      <c r="L40" s="9">
        <f t="shared" si="14"/>
        <v>-934.07999999999038</v>
      </c>
    </row>
    <row r="41" spans="1:13" s="23" customFormat="1" ht="11.45" customHeight="1" x14ac:dyDescent="0.25">
      <c r="A41" s="74" t="s">
        <v>70</v>
      </c>
      <c r="B41" s="24" t="s">
        <v>71</v>
      </c>
      <c r="C41" s="73">
        <v>5600</v>
      </c>
      <c r="D41" s="73">
        <v>0</v>
      </c>
      <c r="E41" s="73">
        <v>0</v>
      </c>
      <c r="F41" s="73">
        <v>0</v>
      </c>
      <c r="G41" s="73">
        <v>0</v>
      </c>
      <c r="H41" s="73">
        <f>D41+F41</f>
        <v>0</v>
      </c>
      <c r="I41" s="73">
        <f>E41+G41</f>
        <v>0</v>
      </c>
      <c r="J41" s="73">
        <f t="shared" ref="J41" si="19">H41+I41</f>
        <v>0</v>
      </c>
      <c r="K41" s="73">
        <f t="shared" ref="K41" si="20">C41-J41</f>
        <v>5600</v>
      </c>
      <c r="L41" s="73">
        <f t="shared" si="14"/>
        <v>5600</v>
      </c>
    </row>
    <row r="42" spans="1:13" s="23" customFormat="1" ht="11.45" customHeight="1" x14ac:dyDescent="0.25">
      <c r="A42" s="25" t="s">
        <v>7</v>
      </c>
      <c r="B42" s="24" t="s">
        <v>6</v>
      </c>
      <c r="C42" s="11">
        <v>0</v>
      </c>
      <c r="D42" s="9">
        <v>0</v>
      </c>
      <c r="E42" s="9">
        <v>0</v>
      </c>
      <c r="F42" s="9">
        <v>0</v>
      </c>
      <c r="G42" s="9">
        <v>0</v>
      </c>
      <c r="H42" s="9">
        <f>D42+F42+'07-09-20'!H40</f>
        <v>0</v>
      </c>
      <c r="I42" s="9">
        <f>E42+G42+'07-09-20'!I40</f>
        <v>0</v>
      </c>
      <c r="J42" s="9">
        <f>H42+I42</f>
        <v>0</v>
      </c>
      <c r="K42" s="9">
        <f>C42-J42</f>
        <v>0</v>
      </c>
      <c r="L42" s="9">
        <f t="shared" si="14"/>
        <v>0</v>
      </c>
    </row>
    <row r="43" spans="1:13" s="23" customFormat="1" ht="11.45" customHeight="1" x14ac:dyDescent="0.25">
      <c r="A43" s="25" t="s">
        <v>9</v>
      </c>
      <c r="B43" s="24" t="s">
        <v>8</v>
      </c>
      <c r="C43" s="11">
        <v>0</v>
      </c>
      <c r="D43" s="10">
        <v>0</v>
      </c>
      <c r="E43" s="10">
        <v>0</v>
      </c>
      <c r="F43" s="10">
        <v>0</v>
      </c>
      <c r="G43" s="10">
        <v>0</v>
      </c>
      <c r="H43" s="9">
        <f>D43+F43+'07-09-20'!H41</f>
        <v>0</v>
      </c>
      <c r="I43" s="9">
        <f>E43+G43+'07-09-20'!I41</f>
        <v>0</v>
      </c>
      <c r="J43" s="9">
        <f t="shared" si="13"/>
        <v>0</v>
      </c>
      <c r="K43" s="9">
        <f t="shared" si="15"/>
        <v>0</v>
      </c>
      <c r="L43" s="9">
        <f t="shared" si="14"/>
        <v>0</v>
      </c>
    </row>
    <row r="44" spans="1:13" s="23" customFormat="1" ht="11.45" customHeight="1" x14ac:dyDescent="0.25">
      <c r="A44" s="25" t="s">
        <v>63</v>
      </c>
      <c r="B44" s="24" t="s">
        <v>66</v>
      </c>
      <c r="C44" s="11">
        <v>1784.19</v>
      </c>
      <c r="D44" s="10">
        <v>0</v>
      </c>
      <c r="E44" s="10">
        <v>0</v>
      </c>
      <c r="F44" s="10">
        <v>320</v>
      </c>
      <c r="G44" s="10">
        <v>16.64</v>
      </c>
      <c r="H44" s="9">
        <f>D44+F44+'07-09-20'!H42</f>
        <v>544</v>
      </c>
      <c r="I44" s="9">
        <f>E44+G44+'07-09-20'!I42</f>
        <v>28.28</v>
      </c>
      <c r="J44" s="9">
        <f t="shared" si="13"/>
        <v>572.28</v>
      </c>
      <c r="K44" s="9">
        <f t="shared" si="15"/>
        <v>1211.9100000000001</v>
      </c>
      <c r="L44" s="9">
        <f t="shared" si="14"/>
        <v>-5675.8885714285498</v>
      </c>
    </row>
    <row r="45" spans="1:13" s="23" customFormat="1" ht="11.45" hidden="1" customHeight="1" x14ac:dyDescent="0.25">
      <c r="A45" s="25" t="s">
        <v>64</v>
      </c>
      <c r="B45" s="24" t="s">
        <v>65</v>
      </c>
      <c r="C45" s="71"/>
      <c r="D45" s="10"/>
      <c r="E45" s="10"/>
      <c r="F45" s="10">
        <f>-720</f>
        <v>-720</v>
      </c>
      <c r="G45" s="10">
        <f>-37.44</f>
        <v>-37.44</v>
      </c>
      <c r="H45" s="9">
        <f>D45+F45+'07-09-20'!H43</f>
        <v>0</v>
      </c>
      <c r="I45" s="9">
        <f>E45+G45+'07-09-20'!I43</f>
        <v>0</v>
      </c>
      <c r="J45" s="9">
        <f t="shared" si="13"/>
        <v>0</v>
      </c>
      <c r="K45" s="9">
        <f t="shared" si="15"/>
        <v>0</v>
      </c>
      <c r="L45" s="9">
        <f t="shared" si="14"/>
        <v>0</v>
      </c>
    </row>
    <row r="46" spans="1:13" ht="11.25" customHeight="1" x14ac:dyDescent="0.25">
      <c r="A46" s="25" t="s">
        <v>57</v>
      </c>
      <c r="B46" s="24" t="s">
        <v>58</v>
      </c>
      <c r="C46" s="70">
        <v>843.44</v>
      </c>
      <c r="D46" s="70">
        <v>180</v>
      </c>
      <c r="E46" s="70">
        <v>3.42</v>
      </c>
      <c r="F46" s="70">
        <v>0</v>
      </c>
      <c r="G46" s="70">
        <v>0</v>
      </c>
      <c r="H46" s="9">
        <f>D46+F46+'07-09-20'!H44</f>
        <v>337.34000000000003</v>
      </c>
      <c r="I46" s="9">
        <f>E46+G46+'07-09-20'!I44</f>
        <v>6.4</v>
      </c>
      <c r="J46" s="9">
        <f>H46+I46</f>
        <v>343.74</v>
      </c>
      <c r="K46" s="9">
        <f>C46-J46</f>
        <v>499.70000000000005</v>
      </c>
      <c r="L46" s="9">
        <f t="shared" si="14"/>
        <v>-3637.4564285714164</v>
      </c>
    </row>
    <row r="47" spans="1:13" ht="21.6" customHeight="1" x14ac:dyDescent="0.25">
      <c r="A47" s="153" t="s">
        <v>5</v>
      </c>
      <c r="B47" s="154"/>
      <c r="C47" s="7">
        <f t="shared" ref="C47:L47" si="21">SUM(C31:C46)</f>
        <v>39434.97</v>
      </c>
      <c r="D47" s="7">
        <f t="shared" si="21"/>
        <v>1101.7</v>
      </c>
      <c r="E47" s="7">
        <f t="shared" si="21"/>
        <v>20.92</v>
      </c>
      <c r="F47" s="7">
        <f t="shared" si="21"/>
        <v>1200.5</v>
      </c>
      <c r="G47" s="7">
        <f t="shared" si="21"/>
        <v>62.42</v>
      </c>
      <c r="H47" s="7">
        <f t="shared" si="21"/>
        <v>4145.04</v>
      </c>
      <c r="I47" s="7">
        <f t="shared" si="21"/>
        <v>160.81</v>
      </c>
      <c r="J47" s="7">
        <f t="shared" si="21"/>
        <v>4305.8499999999995</v>
      </c>
      <c r="K47" s="7">
        <f t="shared" si="21"/>
        <v>35129.120000000003</v>
      </c>
      <c r="L47" s="7">
        <f t="shared" si="21"/>
        <v>-16694.860357142697</v>
      </c>
    </row>
    <row r="48" spans="1:13" ht="10.9" customHeight="1" x14ac:dyDescent="0.25">
      <c r="A48" s="17"/>
      <c r="B48" s="16"/>
      <c r="C48" s="14"/>
      <c r="D48" s="15"/>
      <c r="E48" s="15"/>
      <c r="F48" s="15"/>
      <c r="G48" s="15"/>
      <c r="H48" s="14"/>
      <c r="I48" s="14"/>
      <c r="J48" s="14"/>
      <c r="K48" s="14"/>
      <c r="L48" s="14"/>
    </row>
    <row r="49" spans="1:12" ht="10.9" customHeight="1" x14ac:dyDescent="0.25">
      <c r="A49" s="17"/>
      <c r="B49" s="16"/>
      <c r="C49" s="14"/>
      <c r="D49" s="15"/>
      <c r="E49" s="15"/>
      <c r="F49" s="15"/>
      <c r="G49" s="15"/>
      <c r="H49" s="14"/>
      <c r="I49" s="14"/>
      <c r="J49" s="14"/>
      <c r="K49" s="14"/>
      <c r="L49" s="14"/>
    </row>
    <row r="50" spans="1:12" s="8" customFormat="1" ht="10.9" customHeight="1" x14ac:dyDescent="0.25">
      <c r="A50" s="22" t="s">
        <v>4</v>
      </c>
      <c r="B50" s="21" t="s">
        <v>3</v>
      </c>
      <c r="C50" s="11">
        <v>62583</v>
      </c>
      <c r="D50" s="10">
        <v>957.8</v>
      </c>
      <c r="E50" s="10">
        <v>18.190000000000001</v>
      </c>
      <c r="F50" s="10">
        <v>220</v>
      </c>
      <c r="G50" s="10">
        <v>11.44</v>
      </c>
      <c r="H50" s="9">
        <f>D50+F50+'07-09-20'!H48</f>
        <v>1918.48</v>
      </c>
      <c r="I50" s="9">
        <f>E50+G50+'07-09-20'!I48</f>
        <v>48.77</v>
      </c>
      <c r="J50" s="9">
        <f t="shared" ref="J50" si="22">H50+I50</f>
        <v>1967.25</v>
      </c>
      <c r="K50" s="9">
        <f>C50-J50</f>
        <v>60615.75</v>
      </c>
      <c r="L50" s="9">
        <f>C50-((J50/2)*26.0714285714285)</f>
        <v>36938.491071428638</v>
      </c>
    </row>
    <row r="51" spans="1:12" ht="21.6" customHeight="1" x14ac:dyDescent="0.25">
      <c r="A51" s="20" t="s">
        <v>2</v>
      </c>
      <c r="B51" s="19"/>
      <c r="C51" s="18">
        <f t="shared" ref="C51:L51" si="23">C50</f>
        <v>62583</v>
      </c>
      <c r="D51" s="18">
        <f t="shared" si="23"/>
        <v>957.8</v>
      </c>
      <c r="E51" s="18">
        <f t="shared" si="23"/>
        <v>18.190000000000001</v>
      </c>
      <c r="F51" s="18">
        <f t="shared" si="23"/>
        <v>220</v>
      </c>
      <c r="G51" s="18">
        <f t="shared" si="23"/>
        <v>11.44</v>
      </c>
      <c r="H51" s="18">
        <f t="shared" si="23"/>
        <v>1918.48</v>
      </c>
      <c r="I51" s="18">
        <f t="shared" si="23"/>
        <v>48.77</v>
      </c>
      <c r="J51" s="18">
        <f t="shared" si="23"/>
        <v>1967.25</v>
      </c>
      <c r="K51" s="18">
        <f t="shared" si="23"/>
        <v>60615.75</v>
      </c>
      <c r="L51" s="18">
        <f t="shared" si="23"/>
        <v>36938.491071428638</v>
      </c>
    </row>
    <row r="52" spans="1:12" ht="10.9" customHeight="1" x14ac:dyDescent="0.25">
      <c r="A52" s="17"/>
      <c r="B52" s="16"/>
      <c r="C52" s="14"/>
      <c r="D52" s="15"/>
      <c r="E52" s="15"/>
      <c r="F52" s="15"/>
      <c r="G52" s="15"/>
      <c r="H52" s="14"/>
      <c r="I52" s="14"/>
      <c r="J52" s="14"/>
      <c r="K52" s="14"/>
      <c r="L52" s="14"/>
    </row>
    <row r="53" spans="1:12" ht="10.9" customHeight="1" x14ac:dyDescent="0.25">
      <c r="A53" s="17"/>
      <c r="B53" s="16"/>
      <c r="C53" s="14"/>
      <c r="D53" s="15"/>
      <c r="E53" s="15"/>
      <c r="F53" s="15"/>
      <c r="G53" s="15"/>
      <c r="H53" s="14"/>
      <c r="I53" s="14"/>
      <c r="J53" s="14"/>
      <c r="K53" s="14"/>
      <c r="L53" s="14"/>
    </row>
    <row r="54" spans="1:12" s="8" customFormat="1" ht="10.9" customHeight="1" x14ac:dyDescent="0.25">
      <c r="A54" s="13" t="s">
        <v>1</v>
      </c>
      <c r="B54" s="12">
        <v>55180000</v>
      </c>
      <c r="C54" s="11">
        <v>37736</v>
      </c>
      <c r="D54" s="10">
        <v>0</v>
      </c>
      <c r="E54" s="10">
        <v>0</v>
      </c>
      <c r="F54" s="10">
        <v>453.22</v>
      </c>
      <c r="G54" s="10">
        <v>23.56</v>
      </c>
      <c r="H54" s="9">
        <f>D54+F54+'07-09-20'!H52</f>
        <v>760.24</v>
      </c>
      <c r="I54" s="9">
        <f>E54+G54+'07-09-20'!I52</f>
        <v>39.519999999999996</v>
      </c>
      <c r="J54" s="9">
        <f t="shared" ref="J54" si="24">H54+I54</f>
        <v>799.76</v>
      </c>
      <c r="K54" s="9">
        <f>C54-J54</f>
        <v>36936.239999999998</v>
      </c>
      <c r="L54" s="9">
        <f>C54-((J54/2)*26.0714285714285)</f>
        <v>27310.557142857171</v>
      </c>
    </row>
    <row r="55" spans="1:12" s="3" customFormat="1" ht="21.6" customHeight="1" x14ac:dyDescent="0.25">
      <c r="A55" s="153" t="s">
        <v>0</v>
      </c>
      <c r="B55" s="154"/>
      <c r="C55" s="7">
        <f t="shared" ref="C55:L55" si="25">SUM(C54)</f>
        <v>37736</v>
      </c>
      <c r="D55" s="7">
        <f t="shared" si="25"/>
        <v>0</v>
      </c>
      <c r="E55" s="7">
        <f t="shared" si="25"/>
        <v>0</v>
      </c>
      <c r="F55" s="7">
        <f t="shared" si="25"/>
        <v>453.22</v>
      </c>
      <c r="G55" s="7">
        <f t="shared" si="25"/>
        <v>23.56</v>
      </c>
      <c r="H55" s="7">
        <f t="shared" si="25"/>
        <v>760.24</v>
      </c>
      <c r="I55" s="7">
        <f t="shared" si="25"/>
        <v>39.519999999999996</v>
      </c>
      <c r="J55" s="7">
        <f t="shared" si="25"/>
        <v>799.76</v>
      </c>
      <c r="K55" s="7">
        <f t="shared" si="25"/>
        <v>36936.239999999998</v>
      </c>
      <c r="L55" s="7">
        <f t="shared" si="25"/>
        <v>27310.557142857171</v>
      </c>
    </row>
    <row r="56" spans="1:12" s="3" customFormat="1" ht="11.25" customHeight="1" x14ac:dyDescent="0.25">
      <c r="A56" s="6"/>
      <c r="B56" s="5"/>
      <c r="C56" s="4"/>
      <c r="D56" s="4"/>
      <c r="E56" s="4"/>
      <c r="F56" s="4"/>
      <c r="G56" s="4"/>
      <c r="H56" s="4"/>
      <c r="I56" s="4"/>
      <c r="J56" s="4"/>
      <c r="K56" s="4"/>
      <c r="L56" s="4"/>
    </row>
    <row r="57" spans="1:12" s="2" customFormat="1" ht="10.5" customHeight="1" x14ac:dyDescent="0.25">
      <c r="A57" s="160" t="s">
        <v>72</v>
      </c>
      <c r="B57" s="160"/>
      <c r="C57" s="160"/>
      <c r="D57" s="160"/>
      <c r="E57" s="160"/>
      <c r="F57" s="160"/>
      <c r="G57" s="82">
        <v>12000</v>
      </c>
    </row>
    <row r="58" spans="1:12" s="2" customFormat="1" ht="10.5" customHeight="1" x14ac:dyDescent="0.25">
      <c r="A58" s="160" t="s">
        <v>73</v>
      </c>
      <c r="B58" s="160"/>
      <c r="C58" s="160"/>
      <c r="D58" s="160"/>
      <c r="E58" s="160"/>
      <c r="F58" s="160"/>
      <c r="G58" s="82">
        <v>5600</v>
      </c>
    </row>
    <row r="59" spans="1:12" ht="10.5" customHeight="1" x14ac:dyDescent="0.25">
      <c r="A59" s="160" t="s">
        <v>76</v>
      </c>
      <c r="B59" s="160"/>
      <c r="C59" s="160"/>
      <c r="D59" s="160"/>
      <c r="E59" s="160"/>
      <c r="F59" s="160"/>
      <c r="G59" s="82">
        <v>9800</v>
      </c>
    </row>
    <row r="60" spans="1:12" ht="10.5" customHeight="1" x14ac:dyDescent="0.25">
      <c r="A60" s="160" t="s">
        <v>75</v>
      </c>
      <c r="B60" s="160"/>
      <c r="C60" s="160"/>
      <c r="D60" s="160"/>
      <c r="E60" s="160"/>
      <c r="F60" s="160"/>
      <c r="G60" s="82">
        <v>1500</v>
      </c>
    </row>
    <row r="61" spans="1:12" ht="10.5" customHeight="1" x14ac:dyDescent="0.25">
      <c r="A61" s="160" t="s">
        <v>74</v>
      </c>
      <c r="B61" s="160"/>
      <c r="C61" s="160"/>
      <c r="D61" s="160"/>
      <c r="E61" s="160"/>
      <c r="F61" s="160"/>
      <c r="G61" s="82">
        <v>843.44</v>
      </c>
    </row>
    <row r="62" spans="1:12" ht="10.5" customHeight="1" x14ac:dyDescent="0.25">
      <c r="A62" s="160" t="s">
        <v>77</v>
      </c>
      <c r="B62" s="160"/>
      <c r="C62" s="160"/>
      <c r="D62" s="160"/>
      <c r="E62" s="160"/>
      <c r="F62" s="160"/>
      <c r="G62" s="82">
        <v>1784.19</v>
      </c>
    </row>
    <row r="63" spans="1:12" ht="10.5" customHeight="1" x14ac:dyDescent="0.25">
      <c r="A63" s="160" t="s">
        <v>78</v>
      </c>
      <c r="B63" s="160"/>
      <c r="C63" s="160"/>
      <c r="D63" s="160"/>
      <c r="E63" s="160"/>
      <c r="F63" s="160"/>
      <c r="G63" s="82">
        <v>2453.12</v>
      </c>
    </row>
  </sheetData>
  <mergeCells count="13">
    <mergeCell ref="A63:F63"/>
    <mergeCell ref="A57:F57"/>
    <mergeCell ref="A55:B55"/>
    <mergeCell ref="A13:B13"/>
    <mergeCell ref="A19:B19"/>
    <mergeCell ref="A25:B25"/>
    <mergeCell ref="A28:B28"/>
    <mergeCell ref="A47:B47"/>
    <mergeCell ref="A58:F58"/>
    <mergeCell ref="A59:F59"/>
    <mergeCell ref="A60:F60"/>
    <mergeCell ref="A61:F61"/>
    <mergeCell ref="A62:F62"/>
  </mergeCells>
  <pageMargins left="0.25" right="0" top="0.4" bottom="0" header="0.3" footer="0"/>
  <pageSetup scale="91" fitToWidth="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M85"/>
  <sheetViews>
    <sheetView zoomScale="160" zoomScaleNormal="160" workbookViewId="0">
      <pane ySplit="2" topLeftCell="A27" activePane="bottomLeft" state="frozen"/>
      <selection pane="bottomLeft" activeCell="C37" sqref="C37"/>
    </sheetView>
  </sheetViews>
  <sheetFormatPr defaultColWidth="28" defaultRowHeight="15" x14ac:dyDescent="0.25"/>
  <cols>
    <col min="1" max="1" width="34" style="1" bestFit="1" customWidth="1"/>
    <col min="2" max="2" width="19" style="1" bestFit="1" customWidth="1"/>
    <col min="3" max="3" width="11" style="77" customWidth="1"/>
    <col min="4" max="4" width="8.140625" style="2" bestFit="1" customWidth="1"/>
    <col min="5" max="5" width="6.28515625" style="2" bestFit="1" customWidth="1"/>
    <col min="6" max="6" width="9" style="2" bestFit="1" customWidth="1"/>
    <col min="7" max="7" width="8.7109375" style="2" bestFit="1" customWidth="1"/>
    <col min="8" max="8" width="9.28515625" style="2" bestFit="1" customWidth="1"/>
    <col min="9" max="9" width="9.42578125" style="2" bestFit="1" customWidth="1"/>
    <col min="10" max="10" width="9.7109375" style="2" bestFit="1" customWidth="1"/>
    <col min="11" max="11" width="9.28515625" style="2" bestFit="1" customWidth="1"/>
    <col min="12" max="12" width="13.42578125" style="2" bestFit="1" customWidth="1"/>
    <col min="13" max="13" width="17.85546875" style="112" customWidth="1"/>
    <col min="14" max="16384" width="28" style="1"/>
  </cols>
  <sheetData>
    <row r="1" spans="1:13" ht="11.25" customHeight="1" x14ac:dyDescent="0.25">
      <c r="A1" s="68"/>
      <c r="B1" s="67"/>
      <c r="C1" s="76"/>
      <c r="D1" s="66"/>
      <c r="E1" s="66"/>
      <c r="F1" s="66"/>
      <c r="G1" s="66"/>
      <c r="H1" s="66"/>
      <c r="I1" s="66"/>
      <c r="J1" s="66"/>
      <c r="K1" s="66"/>
      <c r="L1" s="65" t="s">
        <v>119</v>
      </c>
    </row>
    <row r="2" spans="1:13" s="61" customFormat="1" ht="23.25" x14ac:dyDescent="0.25">
      <c r="A2" s="64" t="s">
        <v>53</v>
      </c>
      <c r="B2" s="64" t="s">
        <v>52</v>
      </c>
      <c r="C2" s="63" t="s">
        <v>51</v>
      </c>
      <c r="D2" s="63" t="s">
        <v>50</v>
      </c>
      <c r="E2" s="63" t="s">
        <v>48</v>
      </c>
      <c r="F2" s="63" t="s">
        <v>49</v>
      </c>
      <c r="G2" s="63" t="s">
        <v>48</v>
      </c>
      <c r="H2" s="62" t="s">
        <v>47</v>
      </c>
      <c r="I2" s="62" t="s">
        <v>46</v>
      </c>
      <c r="J2" s="62" t="s">
        <v>45</v>
      </c>
      <c r="K2" s="62" t="s">
        <v>44</v>
      </c>
      <c r="L2" s="62" t="s">
        <v>43</v>
      </c>
      <c r="M2" s="113"/>
    </row>
    <row r="3" spans="1:13" s="101" customFormat="1" ht="11.25" customHeight="1" x14ac:dyDescent="0.25">
      <c r="A3" s="22" t="s">
        <v>42</v>
      </c>
      <c r="B3" s="29">
        <v>55010300</v>
      </c>
      <c r="C3" s="10">
        <v>4208</v>
      </c>
      <c r="D3" s="9">
        <v>0</v>
      </c>
      <c r="E3" s="9">
        <v>0</v>
      </c>
      <c r="F3" s="9">
        <v>0</v>
      </c>
      <c r="G3" s="9">
        <v>0</v>
      </c>
      <c r="H3" s="9">
        <f>D3+F3+'03-18-21'!H3</f>
        <v>0</v>
      </c>
      <c r="I3" s="9">
        <f>E3+G3+'03-18-21'!I3</f>
        <v>0</v>
      </c>
      <c r="J3" s="9">
        <f t="shared" ref="J3:J14" si="0">H3+I3</f>
        <v>0</v>
      </c>
      <c r="K3" s="9">
        <f t="shared" ref="K3:K14" si="1">C3-J3</f>
        <v>4208</v>
      </c>
      <c r="L3" s="9">
        <f t="shared" ref="L3:L14" si="2">C3-((J3/20)*26.0714285714285)</f>
        <v>4208</v>
      </c>
      <c r="M3" s="114"/>
    </row>
    <row r="4" spans="1:13" s="101" customFormat="1" ht="11.25" customHeight="1" x14ac:dyDescent="0.25">
      <c r="A4" s="22" t="s">
        <v>41</v>
      </c>
      <c r="B4" s="29">
        <v>55010500</v>
      </c>
      <c r="C4" s="9">
        <v>3229</v>
      </c>
      <c r="D4" s="10">
        <v>0</v>
      </c>
      <c r="E4" s="10">
        <v>0</v>
      </c>
      <c r="F4" s="10">
        <v>0</v>
      </c>
      <c r="G4" s="10">
        <v>0</v>
      </c>
      <c r="H4" s="9">
        <f>D4+F4+'03-18-21'!H4</f>
        <v>0</v>
      </c>
      <c r="I4" s="9">
        <f>E4+G4+'03-18-21'!I4</f>
        <v>0</v>
      </c>
      <c r="J4" s="9">
        <f t="shared" si="0"/>
        <v>0</v>
      </c>
      <c r="K4" s="9">
        <f t="shared" si="1"/>
        <v>3229</v>
      </c>
      <c r="L4" s="9">
        <f t="shared" si="2"/>
        <v>3229</v>
      </c>
      <c r="M4" s="114"/>
    </row>
    <row r="5" spans="1:13" s="92" customFormat="1" ht="11.25" customHeight="1" x14ac:dyDescent="0.25">
      <c r="A5" s="58" t="s">
        <v>40</v>
      </c>
      <c r="B5" s="102">
        <v>55020200</v>
      </c>
      <c r="C5" s="103">
        <f>24649+14202</f>
        <v>38851</v>
      </c>
      <c r="D5" s="55">
        <v>698.81</v>
      </c>
      <c r="E5" s="55">
        <v>13.25</v>
      </c>
      <c r="F5" s="55">
        <v>1754.69</v>
      </c>
      <c r="G5" s="55">
        <v>91.23</v>
      </c>
      <c r="H5" s="9">
        <f>D5+F5+'03-18-21'!H5</f>
        <v>21910.06</v>
      </c>
      <c r="I5" s="9">
        <f>E5+G5+'03-18-21'!I5</f>
        <v>746.96</v>
      </c>
      <c r="J5" s="9">
        <f t="shared" si="0"/>
        <v>22657.02</v>
      </c>
      <c r="K5" s="9">
        <f t="shared" si="1"/>
        <v>16193.98</v>
      </c>
      <c r="L5" s="9">
        <f t="shared" si="2"/>
        <v>9315.9560714286526</v>
      </c>
      <c r="M5" s="115"/>
    </row>
    <row r="6" spans="1:13" s="92" customFormat="1" ht="11.25" customHeight="1" x14ac:dyDescent="0.25">
      <c r="A6" s="22" t="s">
        <v>39</v>
      </c>
      <c r="B6" s="29">
        <v>55020300</v>
      </c>
      <c r="C6" s="9">
        <f>17974+9665</f>
        <v>27639</v>
      </c>
      <c r="D6" s="10">
        <v>723.66</v>
      </c>
      <c r="E6" s="10">
        <v>13.74</v>
      </c>
      <c r="F6" s="10">
        <v>975</v>
      </c>
      <c r="G6" s="10">
        <v>50.7</v>
      </c>
      <c r="H6" s="9">
        <f>D6+F6+'03-18-21'!H6</f>
        <v>11998.77</v>
      </c>
      <c r="I6" s="9">
        <f>E6+G6+'03-18-21'!I6</f>
        <v>414.3</v>
      </c>
      <c r="J6" s="9">
        <f t="shared" si="0"/>
        <v>12413.07</v>
      </c>
      <c r="K6" s="9">
        <f t="shared" si="1"/>
        <v>15225.93</v>
      </c>
      <c r="L6" s="9">
        <f t="shared" si="2"/>
        <v>11457.676607142903</v>
      </c>
      <c r="M6" s="115"/>
    </row>
    <row r="7" spans="1:13" s="92" customFormat="1" ht="11.25" customHeight="1" x14ac:dyDescent="0.25">
      <c r="A7" s="22" t="s">
        <v>38</v>
      </c>
      <c r="B7" s="29">
        <v>55020400</v>
      </c>
      <c r="C7" s="9">
        <f>17974+9665</f>
        <v>27639</v>
      </c>
      <c r="D7" s="10">
        <v>363.74</v>
      </c>
      <c r="E7" s="10">
        <v>6.9</v>
      </c>
      <c r="F7" s="10">
        <v>700</v>
      </c>
      <c r="G7" s="10">
        <v>36.4</v>
      </c>
      <c r="H7" s="9">
        <f>D7+F7+'03-18-21'!H7</f>
        <v>9545.7199999999993</v>
      </c>
      <c r="I7" s="9">
        <f>E7+G7+'03-18-21'!I7</f>
        <v>336.66</v>
      </c>
      <c r="J7" s="9">
        <f t="shared" si="0"/>
        <v>9882.3799999999992</v>
      </c>
      <c r="K7" s="9">
        <f t="shared" si="1"/>
        <v>17756.620000000003</v>
      </c>
      <c r="L7" s="9">
        <f t="shared" si="2"/>
        <v>14756.611785714322</v>
      </c>
      <c r="M7" s="115"/>
    </row>
    <row r="8" spans="1:13" s="92" customFormat="1" ht="11.25" customHeight="1" x14ac:dyDescent="0.25">
      <c r="A8" s="22" t="s">
        <v>92</v>
      </c>
      <c r="B8" s="29">
        <v>55030100</v>
      </c>
      <c r="C8" s="9">
        <v>2109</v>
      </c>
      <c r="D8" s="9">
        <v>0</v>
      </c>
      <c r="E8" s="9">
        <v>0</v>
      </c>
      <c r="F8" s="9">
        <v>0</v>
      </c>
      <c r="G8" s="9">
        <v>0</v>
      </c>
      <c r="H8" s="9">
        <f>D8+F8+'03-18-21'!H8</f>
        <v>841.91000000000008</v>
      </c>
      <c r="I8" s="9">
        <f>E8+G8+'03-18-21'!I8</f>
        <v>15.939999999999998</v>
      </c>
      <c r="J8" s="9">
        <f t="shared" si="0"/>
        <v>857.85000000000014</v>
      </c>
      <c r="K8" s="9">
        <f t="shared" si="1"/>
        <v>1251.1499999999999</v>
      </c>
      <c r="L8" s="9">
        <f t="shared" si="2"/>
        <v>990.731250000003</v>
      </c>
      <c r="M8" s="115"/>
    </row>
    <row r="9" spans="1:13" s="92" customFormat="1" ht="11.25" customHeight="1" x14ac:dyDescent="0.25">
      <c r="A9" s="54" t="s">
        <v>37</v>
      </c>
      <c r="B9" s="29">
        <v>55030200</v>
      </c>
      <c r="C9" s="9">
        <v>24330</v>
      </c>
      <c r="D9" s="10">
        <v>496.15</v>
      </c>
      <c r="E9" s="10">
        <v>9.42</v>
      </c>
      <c r="F9" s="10">
        <v>0</v>
      </c>
      <c r="G9" s="10">
        <v>0</v>
      </c>
      <c r="H9" s="9">
        <f>D9+F9+'03-18-21'!H9</f>
        <v>7229.9100000000008</v>
      </c>
      <c r="I9" s="9">
        <f>E9+G9+'03-18-21'!I9</f>
        <v>137.53</v>
      </c>
      <c r="J9" s="9">
        <f t="shared" si="0"/>
        <v>7367.4400000000005</v>
      </c>
      <c r="K9" s="9">
        <f t="shared" si="1"/>
        <v>16962.559999999998</v>
      </c>
      <c r="L9" s="9">
        <f t="shared" si="2"/>
        <v>14726.015714285741</v>
      </c>
      <c r="M9" s="123"/>
    </row>
    <row r="10" spans="1:13" s="92" customFormat="1" ht="11.25" customHeight="1" x14ac:dyDescent="0.25">
      <c r="A10" s="22" t="s">
        <v>36</v>
      </c>
      <c r="B10" s="29">
        <v>55050200</v>
      </c>
      <c r="C10" s="9">
        <f>34000+21500.29+3360</f>
        <v>58860.29</v>
      </c>
      <c r="D10" s="10">
        <v>1614.36</v>
      </c>
      <c r="E10" s="10">
        <v>30.65</v>
      </c>
      <c r="F10" s="10">
        <v>1900.01</v>
      </c>
      <c r="G10" s="10">
        <v>98.79</v>
      </c>
      <c r="H10" s="9">
        <f>D10+F10+'03-18-21'!H10</f>
        <v>33103.06</v>
      </c>
      <c r="I10" s="9">
        <f>E10+G10+'03-18-21'!I10</f>
        <v>1034.26</v>
      </c>
      <c r="J10" s="9">
        <f t="shared" si="0"/>
        <v>34137.32</v>
      </c>
      <c r="K10" s="9">
        <f t="shared" si="1"/>
        <v>24722.97</v>
      </c>
      <c r="L10" s="9">
        <f t="shared" si="2"/>
        <v>14359.855000000127</v>
      </c>
      <c r="M10" s="123"/>
    </row>
    <row r="11" spans="1:13" s="92" customFormat="1" ht="11.25" hidden="1" customHeight="1" x14ac:dyDescent="0.25">
      <c r="A11" s="22" t="s">
        <v>80</v>
      </c>
      <c r="B11" s="29">
        <v>55050300</v>
      </c>
      <c r="C11" s="97"/>
      <c r="D11" s="9"/>
      <c r="E11" s="9"/>
      <c r="F11" s="9"/>
      <c r="G11" s="9"/>
      <c r="H11" s="9">
        <f>D11+F11+'03-18-21'!H11</f>
        <v>-310</v>
      </c>
      <c r="I11" s="9">
        <f>E11+G11+'03-18-21'!I11</f>
        <v>-5.8900000000000006</v>
      </c>
      <c r="J11" s="9">
        <f t="shared" si="0"/>
        <v>-315.89</v>
      </c>
      <c r="K11" s="9">
        <f t="shared" si="1"/>
        <v>315.89</v>
      </c>
      <c r="L11" s="9">
        <f t="shared" si="2"/>
        <v>411.78517857142742</v>
      </c>
      <c r="M11" s="116"/>
    </row>
    <row r="12" spans="1:13" s="98" customFormat="1" ht="11.25" customHeight="1" x14ac:dyDescent="0.25">
      <c r="A12" s="22" t="s">
        <v>35</v>
      </c>
      <c r="B12" s="29">
        <v>55070100</v>
      </c>
      <c r="C12" s="9">
        <f>42741+9665</f>
        <v>52406</v>
      </c>
      <c r="D12" s="10">
        <v>2424.38</v>
      </c>
      <c r="E12" s="10">
        <v>46.04</v>
      </c>
      <c r="F12" s="10">
        <v>843.75</v>
      </c>
      <c r="G12" s="10">
        <v>43.87</v>
      </c>
      <c r="H12" s="9">
        <f>D12+F12+'03-18-21'!H12</f>
        <v>33204.459999999992</v>
      </c>
      <c r="I12" s="9">
        <f>E12+G12+'03-18-21'!I12</f>
        <v>909.89999999999986</v>
      </c>
      <c r="J12" s="9">
        <f t="shared" si="0"/>
        <v>34114.359999999993</v>
      </c>
      <c r="K12" s="9">
        <f t="shared" si="1"/>
        <v>18291.640000000007</v>
      </c>
      <c r="L12" s="9">
        <f t="shared" si="2"/>
        <v>7935.4950000001336</v>
      </c>
      <c r="M12" s="124"/>
    </row>
    <row r="13" spans="1:13" s="92" customFormat="1" ht="11.25" customHeight="1" x14ac:dyDescent="0.25">
      <c r="A13" s="22" t="s">
        <v>34</v>
      </c>
      <c r="B13" s="29">
        <v>55080100</v>
      </c>
      <c r="C13" s="9">
        <v>23173</v>
      </c>
      <c r="D13" s="10">
        <v>1931.35</v>
      </c>
      <c r="E13" s="10">
        <v>36.69</v>
      </c>
      <c r="F13" s="10">
        <v>0</v>
      </c>
      <c r="G13" s="10">
        <v>0</v>
      </c>
      <c r="H13" s="9">
        <f>D13+F13+'03-18-21'!H13</f>
        <v>17782.170000000002</v>
      </c>
      <c r="I13" s="9">
        <f>E13+G13+'03-18-21'!I13</f>
        <v>337.76</v>
      </c>
      <c r="J13" s="9">
        <f t="shared" si="0"/>
        <v>18119.93</v>
      </c>
      <c r="K13" s="9">
        <f t="shared" si="1"/>
        <v>5053.07</v>
      </c>
      <c r="L13" s="9">
        <f t="shared" si="2"/>
        <v>-447.62303571421944</v>
      </c>
      <c r="M13" s="123"/>
    </row>
    <row r="14" spans="1:13" s="99" customFormat="1" ht="11.25" customHeight="1" x14ac:dyDescent="0.25">
      <c r="A14" s="53" t="s">
        <v>33</v>
      </c>
      <c r="B14" s="33">
        <v>55190000</v>
      </c>
      <c r="C14" s="9">
        <v>6000</v>
      </c>
      <c r="D14" s="10">
        <v>46.8</v>
      </c>
      <c r="E14" s="10">
        <v>0.88</v>
      </c>
      <c r="F14" s="10">
        <v>0</v>
      </c>
      <c r="G14" s="10">
        <v>0</v>
      </c>
      <c r="H14" s="9">
        <f>D14+F14+'03-18-21'!H14</f>
        <v>1219.43</v>
      </c>
      <c r="I14" s="9">
        <f>E14+G14+'03-18-21'!I14</f>
        <v>23.099999999999998</v>
      </c>
      <c r="J14" s="9">
        <f t="shared" si="0"/>
        <v>1242.53</v>
      </c>
      <c r="K14" s="9">
        <f t="shared" si="1"/>
        <v>4757.47</v>
      </c>
      <c r="L14" s="9">
        <f t="shared" si="2"/>
        <v>4380.273392857147</v>
      </c>
      <c r="M14" s="117"/>
    </row>
    <row r="15" spans="1:13" ht="21.6" customHeight="1" thickBot="1" x14ac:dyDescent="0.3">
      <c r="A15" s="155" t="s">
        <v>32</v>
      </c>
      <c r="B15" s="156"/>
      <c r="C15" s="49">
        <f t="shared" ref="C15:L15" si="3">SUM(C3:C14)</f>
        <v>268444.29000000004</v>
      </c>
      <c r="D15" s="7">
        <f t="shared" si="3"/>
        <v>8299.2499999999982</v>
      </c>
      <c r="E15" s="7">
        <f t="shared" si="3"/>
        <v>157.57</v>
      </c>
      <c r="F15" s="7">
        <f t="shared" si="3"/>
        <v>6173.45</v>
      </c>
      <c r="G15" s="7">
        <f t="shared" si="3"/>
        <v>320.99</v>
      </c>
      <c r="H15" s="7">
        <f t="shared" si="3"/>
        <v>136525.49</v>
      </c>
      <c r="I15" s="7">
        <f t="shared" si="3"/>
        <v>3950.52</v>
      </c>
      <c r="J15" s="49">
        <f t="shared" si="3"/>
        <v>140476.00999999998</v>
      </c>
      <c r="K15" s="49">
        <f t="shared" si="3"/>
        <v>127968.28000000003</v>
      </c>
      <c r="L15" s="7">
        <f t="shared" si="3"/>
        <v>85323.776964286255</v>
      </c>
    </row>
    <row r="16" spans="1:13" ht="11.25" customHeight="1" x14ac:dyDescent="0.25">
      <c r="A16" s="52"/>
      <c r="B16" s="41"/>
      <c r="C16" s="39"/>
      <c r="D16" s="39"/>
      <c r="E16" s="39"/>
      <c r="F16" s="39"/>
      <c r="G16" s="39"/>
      <c r="H16" s="39"/>
      <c r="I16" s="39"/>
      <c r="J16" s="39"/>
      <c r="K16" s="39"/>
      <c r="L16" s="51"/>
    </row>
    <row r="17" spans="1:13" ht="11.25" customHeight="1" thickBot="1" x14ac:dyDescent="0.3">
      <c r="A17" s="38"/>
      <c r="B17" s="37"/>
      <c r="C17" s="35"/>
      <c r="D17" s="35"/>
      <c r="E17" s="35"/>
      <c r="F17" s="35"/>
      <c r="G17" s="35"/>
      <c r="H17" s="35"/>
      <c r="I17" s="35"/>
      <c r="J17" s="35"/>
      <c r="K17" s="35"/>
      <c r="L17" s="50"/>
    </row>
    <row r="18" spans="1:13" s="92" customFormat="1" ht="11.45" customHeight="1" x14ac:dyDescent="0.25">
      <c r="A18" s="13" t="s">
        <v>31</v>
      </c>
      <c r="B18" s="33">
        <v>55090100</v>
      </c>
      <c r="C18" s="9">
        <v>26923</v>
      </c>
      <c r="D18" s="10">
        <v>0</v>
      </c>
      <c r="E18" s="10">
        <v>0</v>
      </c>
      <c r="F18" s="10">
        <v>0</v>
      </c>
      <c r="G18" s="10">
        <v>0</v>
      </c>
      <c r="H18" s="9">
        <f>D18+F18+'03-18-21'!H18</f>
        <v>13503</v>
      </c>
      <c r="I18" s="9">
        <f>E18+G18+'03-18-21'!I18</f>
        <v>702.13999999999987</v>
      </c>
      <c r="J18" s="9">
        <f>H18+I18</f>
        <v>14205.14</v>
      </c>
      <c r="K18" s="9">
        <f>C18-J18</f>
        <v>12717.86</v>
      </c>
      <c r="L18" s="9">
        <f>C18-((J18/20)*26.0714285714285)</f>
        <v>8405.5853571429107</v>
      </c>
      <c r="M18" s="115"/>
    </row>
    <row r="19" spans="1:13" s="92" customFormat="1" ht="11.45" customHeight="1" x14ac:dyDescent="0.25">
      <c r="A19" s="22" t="s">
        <v>30</v>
      </c>
      <c r="B19" s="29">
        <v>55160100</v>
      </c>
      <c r="C19" s="9">
        <f>16062-2109</f>
        <v>13953</v>
      </c>
      <c r="D19" s="9">
        <v>0</v>
      </c>
      <c r="E19" s="9">
        <v>0</v>
      </c>
      <c r="F19" s="10">
        <v>0</v>
      </c>
      <c r="G19" s="10">
        <v>0</v>
      </c>
      <c r="H19" s="9">
        <f>D19+F19+'03-18-21'!H19</f>
        <v>0</v>
      </c>
      <c r="I19" s="9">
        <f>E19+G19+'03-18-21'!I19</f>
        <v>0</v>
      </c>
      <c r="J19" s="9">
        <f>H19+I19</f>
        <v>0</v>
      </c>
      <c r="K19" s="9">
        <f>C19-J19</f>
        <v>13953</v>
      </c>
      <c r="L19" s="9">
        <f>C19-((J19/20)*26.0714285714285)</f>
        <v>13953</v>
      </c>
      <c r="M19" s="115"/>
    </row>
    <row r="20" spans="1:13" s="92" customFormat="1" ht="11.45" customHeight="1" x14ac:dyDescent="0.25">
      <c r="A20" s="13" t="s">
        <v>29</v>
      </c>
      <c r="B20" s="33">
        <v>55100100</v>
      </c>
      <c r="C20" s="9">
        <v>2026</v>
      </c>
      <c r="D20" s="10">
        <v>0</v>
      </c>
      <c r="E20" s="10">
        <v>0</v>
      </c>
      <c r="F20" s="10">
        <v>0</v>
      </c>
      <c r="G20" s="10">
        <v>0</v>
      </c>
      <c r="H20" s="9">
        <f>D20+F20+'03-18-21'!H20</f>
        <v>936.46</v>
      </c>
      <c r="I20" s="9">
        <f>E20+G20+'03-18-21'!I20</f>
        <v>16.864999999999998</v>
      </c>
      <c r="J20" s="9">
        <f>H20+I20</f>
        <v>953.32500000000005</v>
      </c>
      <c r="K20" s="9">
        <f>C20-J20</f>
        <v>1072.675</v>
      </c>
      <c r="L20" s="9">
        <f>C20-((J20/20)*26.0714285714285)</f>
        <v>783.27276785714616</v>
      </c>
      <c r="M20" s="115"/>
    </row>
    <row r="21" spans="1:13" ht="21.6" customHeight="1" thickBot="1" x14ac:dyDescent="0.3">
      <c r="A21" s="155" t="s">
        <v>28</v>
      </c>
      <c r="B21" s="156"/>
      <c r="C21" s="7">
        <f t="shared" ref="C21:L21" si="4">SUM(C18:C20)</f>
        <v>42902</v>
      </c>
      <c r="D21" s="7">
        <f t="shared" si="4"/>
        <v>0</v>
      </c>
      <c r="E21" s="7">
        <f t="shared" si="4"/>
        <v>0</v>
      </c>
      <c r="F21" s="7">
        <f t="shared" si="4"/>
        <v>0</v>
      </c>
      <c r="G21" s="7">
        <f t="shared" si="4"/>
        <v>0</v>
      </c>
      <c r="H21" s="7">
        <f t="shared" si="4"/>
        <v>14439.46</v>
      </c>
      <c r="I21" s="7">
        <f t="shared" si="4"/>
        <v>719.00499999999988</v>
      </c>
      <c r="J21" s="49">
        <f t="shared" si="4"/>
        <v>15158.465</v>
      </c>
      <c r="K21" s="7">
        <f t="shared" si="4"/>
        <v>27743.535</v>
      </c>
      <c r="L21" s="7">
        <f t="shared" si="4"/>
        <v>23141.858125000057</v>
      </c>
    </row>
    <row r="22" spans="1:13" ht="11.25" customHeight="1" x14ac:dyDescent="0.25">
      <c r="A22" s="42"/>
      <c r="B22" s="41"/>
      <c r="C22" s="39"/>
      <c r="D22" s="39"/>
      <c r="E22" s="39"/>
      <c r="F22" s="39"/>
      <c r="G22" s="39"/>
      <c r="H22" s="39"/>
      <c r="I22" s="39"/>
      <c r="J22" s="39"/>
      <c r="K22" s="39"/>
      <c r="L22" s="51"/>
    </row>
    <row r="23" spans="1:13" ht="11.25" customHeight="1" thickBot="1" x14ac:dyDescent="0.3">
      <c r="A23" s="38"/>
      <c r="B23" s="37"/>
      <c r="C23" s="35"/>
      <c r="D23" s="35"/>
      <c r="E23" s="35"/>
      <c r="F23" s="35"/>
      <c r="G23" s="35"/>
      <c r="H23" s="35"/>
      <c r="I23" s="35"/>
      <c r="J23" s="35"/>
      <c r="K23" s="35"/>
      <c r="L23" s="50"/>
    </row>
    <row r="24" spans="1:13" s="99" customFormat="1" ht="11.45" customHeight="1" x14ac:dyDescent="0.25">
      <c r="A24" s="13" t="s">
        <v>27</v>
      </c>
      <c r="B24" s="33">
        <v>55200000</v>
      </c>
      <c r="C24" s="9">
        <v>25000</v>
      </c>
      <c r="D24" s="10">
        <v>1800</v>
      </c>
      <c r="E24" s="10">
        <v>34.200000000000003</v>
      </c>
      <c r="F24" s="10">
        <v>0</v>
      </c>
      <c r="G24" s="10">
        <v>0</v>
      </c>
      <c r="H24" s="9">
        <f>D24+F24+'03-18-21'!H24</f>
        <v>9626.25</v>
      </c>
      <c r="I24" s="9">
        <f>E24+G24+'03-18-21'!I24</f>
        <v>182.8</v>
      </c>
      <c r="J24" s="9">
        <f>H24+I24</f>
        <v>9809.0499999999993</v>
      </c>
      <c r="K24" s="9">
        <f>C24-J24</f>
        <v>15190.95</v>
      </c>
      <c r="L24" s="9">
        <f>C24-((J24/20)*26.0714285714285)</f>
        <v>12213.202678571464</v>
      </c>
      <c r="M24" s="118"/>
    </row>
    <row r="25" spans="1:13" s="99" customFormat="1" ht="11.45" hidden="1" customHeight="1" x14ac:dyDescent="0.25">
      <c r="A25" s="13" t="s">
        <v>26</v>
      </c>
      <c r="B25" s="100" t="s">
        <v>25</v>
      </c>
      <c r="C25" s="46">
        <v>0</v>
      </c>
      <c r="D25" s="45"/>
      <c r="E25" s="45"/>
      <c r="F25" s="45"/>
      <c r="G25" s="45"/>
      <c r="H25" s="9">
        <f>D25+F25+'03-18-21'!H25</f>
        <v>0</v>
      </c>
      <c r="I25" s="9">
        <f>E25+G25+'03-18-21'!I25</f>
        <v>-9.9999999999997868E-3</v>
      </c>
      <c r="J25" s="9">
        <f>H25+I25</f>
        <v>-9.9999999999997868E-3</v>
      </c>
      <c r="K25" s="75">
        <f>C25-J25</f>
        <v>9.9999999999997868E-3</v>
      </c>
      <c r="L25" s="9">
        <f>C25-((J25/20)*26.0714285714285)</f>
        <v>1.3035714285713972E-2</v>
      </c>
      <c r="M25" s="118"/>
    </row>
    <row r="26" spans="1:13" s="99" customFormat="1" ht="10.9" customHeight="1" x14ac:dyDescent="0.25">
      <c r="A26" s="28" t="s">
        <v>24</v>
      </c>
      <c r="B26" s="47" t="s">
        <v>23</v>
      </c>
      <c r="C26" s="46">
        <v>0</v>
      </c>
      <c r="D26" s="45">
        <v>0</v>
      </c>
      <c r="E26" s="45">
        <v>0</v>
      </c>
      <c r="F26" s="45">
        <v>0</v>
      </c>
      <c r="G26" s="45">
        <v>0</v>
      </c>
      <c r="H26" s="9">
        <f>D26+F26+'03-18-21'!H26</f>
        <v>0</v>
      </c>
      <c r="I26" s="9">
        <f>E26+G26+'03-18-21'!I26</f>
        <v>0</v>
      </c>
      <c r="J26" s="9">
        <f>H26+I26</f>
        <v>0</v>
      </c>
      <c r="K26" s="9">
        <f>C26-J26</f>
        <v>0</v>
      </c>
      <c r="L26" s="9">
        <f>C26-((J26/20)*26.0714285714285)</f>
        <v>0</v>
      </c>
      <c r="M26" s="117"/>
    </row>
    <row r="27" spans="1:13" ht="24.75" customHeight="1" thickBot="1" x14ac:dyDescent="0.3">
      <c r="A27" s="157" t="s">
        <v>22</v>
      </c>
      <c r="B27" s="158"/>
      <c r="C27" s="43">
        <f>SUM(C24:C25)</f>
        <v>25000</v>
      </c>
      <c r="D27" s="43">
        <f t="shared" ref="D27:L27" si="5">SUM(D24:D26)</f>
        <v>1800</v>
      </c>
      <c r="E27" s="43">
        <f t="shared" si="5"/>
        <v>34.200000000000003</v>
      </c>
      <c r="F27" s="43">
        <f t="shared" si="5"/>
        <v>0</v>
      </c>
      <c r="G27" s="43">
        <f t="shared" si="5"/>
        <v>0</v>
      </c>
      <c r="H27" s="43">
        <f t="shared" si="5"/>
        <v>9626.25</v>
      </c>
      <c r="I27" s="43">
        <f t="shared" si="5"/>
        <v>182.79000000000002</v>
      </c>
      <c r="J27" s="43">
        <f t="shared" si="5"/>
        <v>9809.0399999999991</v>
      </c>
      <c r="K27" s="43">
        <f t="shared" si="5"/>
        <v>15190.960000000001</v>
      </c>
      <c r="L27" s="34">
        <f t="shared" si="5"/>
        <v>12213.21571428575</v>
      </c>
    </row>
    <row r="28" spans="1:13" ht="11.25" customHeight="1" x14ac:dyDescent="0.25">
      <c r="A28" s="42"/>
      <c r="B28" s="41"/>
      <c r="C28" s="39"/>
      <c r="D28" s="39"/>
      <c r="E28" s="39"/>
      <c r="F28" s="39"/>
      <c r="G28" s="39"/>
      <c r="H28" s="39"/>
      <c r="I28" s="39"/>
      <c r="J28" s="39"/>
      <c r="K28" s="39"/>
      <c r="L28" s="39"/>
    </row>
    <row r="29" spans="1:13" ht="11.25" customHeight="1" thickBot="1" x14ac:dyDescent="0.3">
      <c r="A29" s="38"/>
      <c r="B29" s="37"/>
      <c r="C29" s="35"/>
      <c r="D29" s="35"/>
      <c r="E29" s="35"/>
      <c r="F29" s="35"/>
      <c r="G29" s="35"/>
      <c r="H29" s="35"/>
      <c r="I29" s="35"/>
      <c r="J29" s="35"/>
      <c r="K29" s="35"/>
      <c r="L29" s="35"/>
    </row>
    <row r="30" spans="1:13" ht="21.6" customHeight="1" x14ac:dyDescent="0.25">
      <c r="A30" s="159" t="s">
        <v>21</v>
      </c>
      <c r="B30" s="159"/>
      <c r="C30" s="34">
        <f t="shared" ref="C30:L30" si="6">C15+C21+C27</f>
        <v>336346.29000000004</v>
      </c>
      <c r="D30" s="34">
        <f t="shared" si="6"/>
        <v>10099.249999999998</v>
      </c>
      <c r="E30" s="34">
        <f t="shared" si="6"/>
        <v>191.76999999999998</v>
      </c>
      <c r="F30" s="34">
        <f t="shared" si="6"/>
        <v>6173.45</v>
      </c>
      <c r="G30" s="34">
        <f t="shared" si="6"/>
        <v>320.99</v>
      </c>
      <c r="H30" s="34">
        <f t="shared" si="6"/>
        <v>160591.19999999998</v>
      </c>
      <c r="I30" s="34">
        <f t="shared" si="6"/>
        <v>4852.3149999999996</v>
      </c>
      <c r="J30" s="34">
        <f t="shared" si="6"/>
        <v>165443.51499999998</v>
      </c>
      <c r="K30" s="34">
        <f t="shared" si="6"/>
        <v>170902.77500000002</v>
      </c>
      <c r="L30" s="34">
        <f t="shared" si="6"/>
        <v>120678.85080357206</v>
      </c>
    </row>
    <row r="31" spans="1:13" ht="10.9" customHeight="1" x14ac:dyDescent="0.25">
      <c r="A31" s="17"/>
      <c r="B31" s="16"/>
      <c r="C31" s="15"/>
      <c r="D31" s="15"/>
      <c r="E31" s="15"/>
      <c r="F31" s="15"/>
      <c r="G31" s="15"/>
      <c r="H31" s="15"/>
      <c r="I31" s="15"/>
      <c r="J31" s="15"/>
      <c r="K31" s="15"/>
      <c r="L31" s="15"/>
    </row>
    <row r="32" spans="1:13" ht="11.25" customHeight="1" x14ac:dyDescent="0.25">
      <c r="A32" s="17"/>
      <c r="B32" s="16"/>
      <c r="C32" s="15"/>
      <c r="D32" s="15"/>
      <c r="E32" s="15"/>
      <c r="F32" s="15"/>
      <c r="G32" s="15"/>
      <c r="H32" s="15"/>
      <c r="I32" s="15"/>
      <c r="J32" s="15"/>
      <c r="K32" s="15"/>
      <c r="L32" s="15"/>
    </row>
    <row r="33" spans="1:13" s="104" customFormat="1" ht="11.25" customHeight="1" x14ac:dyDescent="0.25">
      <c r="A33" s="28" t="s">
        <v>20</v>
      </c>
      <c r="B33" s="27" t="s">
        <v>19</v>
      </c>
      <c r="C33" s="9">
        <v>0</v>
      </c>
      <c r="D33" s="10">
        <v>0</v>
      </c>
      <c r="E33" s="10">
        <v>0</v>
      </c>
      <c r="F33" s="10">
        <v>0</v>
      </c>
      <c r="G33" s="10">
        <v>0</v>
      </c>
      <c r="H33" s="9">
        <f>D33+F33+'03-18-21'!H33</f>
        <v>0</v>
      </c>
      <c r="I33" s="9">
        <f>E33+G33+'03-18-21'!I33</f>
        <v>0</v>
      </c>
      <c r="J33" s="9">
        <f t="shared" ref="J33:J50" si="7">H33+I33</f>
        <v>0</v>
      </c>
      <c r="K33" s="9">
        <f t="shared" ref="K33:K50" si="8">C33-J33</f>
        <v>0</v>
      </c>
      <c r="L33" s="9">
        <f t="shared" ref="L33:L50" si="9">C33-((J33/20)*26.0714285714285)</f>
        <v>0</v>
      </c>
      <c r="M33" s="119"/>
    </row>
    <row r="34" spans="1:13" s="104" customFormat="1" ht="12" customHeight="1" x14ac:dyDescent="0.25">
      <c r="A34" s="32" t="s">
        <v>123</v>
      </c>
      <c r="B34" s="132" t="s">
        <v>55</v>
      </c>
      <c r="C34" s="9">
        <f>2795.22+12000</f>
        <v>14795.22</v>
      </c>
      <c r="D34" s="10">
        <v>0</v>
      </c>
      <c r="E34" s="10">
        <v>0</v>
      </c>
      <c r="F34" s="10">
        <v>480</v>
      </c>
      <c r="G34" s="10">
        <v>24.95</v>
      </c>
      <c r="H34" s="9">
        <f>D34+F34+'03-18-21'!H34</f>
        <v>8042</v>
      </c>
      <c r="I34" s="9">
        <f>E34+G34+'03-18-21'!I34</f>
        <v>366.37</v>
      </c>
      <c r="J34" s="9">
        <f t="shared" si="7"/>
        <v>8408.3700000000008</v>
      </c>
      <c r="K34" s="9">
        <f t="shared" si="8"/>
        <v>6386.8499999999985</v>
      </c>
      <c r="L34" s="9">
        <f t="shared" si="9"/>
        <v>3834.3091071428862</v>
      </c>
      <c r="M34" s="129"/>
    </row>
    <row r="35" spans="1:13" s="104" customFormat="1" ht="11.25" hidden="1" customHeight="1" x14ac:dyDescent="0.25">
      <c r="A35" s="32" t="s">
        <v>18</v>
      </c>
      <c r="B35" s="27" t="s">
        <v>17</v>
      </c>
      <c r="C35" s="105">
        <v>0</v>
      </c>
      <c r="D35" s="10"/>
      <c r="E35" s="10"/>
      <c r="F35" s="10"/>
      <c r="G35" s="10"/>
      <c r="H35" s="9">
        <f>D35+F35+'03-18-21'!H35</f>
        <v>0</v>
      </c>
      <c r="I35" s="9">
        <f>E35+G35+'03-18-21'!I35</f>
        <v>-1.0000000000005116E-2</v>
      </c>
      <c r="J35" s="9">
        <f t="shared" si="7"/>
        <v>-1.0000000000005116E-2</v>
      </c>
      <c r="K35" s="9">
        <f t="shared" si="8"/>
        <v>1.0000000000005116E-2</v>
      </c>
      <c r="L35" s="9">
        <f t="shared" si="9"/>
        <v>1.3035714285720918E-2</v>
      </c>
      <c r="M35" s="119"/>
    </row>
    <row r="36" spans="1:13" s="106" customFormat="1" ht="9.75" customHeight="1" x14ac:dyDescent="0.25">
      <c r="A36" s="28" t="s">
        <v>16</v>
      </c>
      <c r="B36" s="29" t="s">
        <v>15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f>D36+F36+'03-18-21'!H36</f>
        <v>0</v>
      </c>
      <c r="I36" s="9">
        <f>E36+G36+'03-18-21'!I36</f>
        <v>0</v>
      </c>
      <c r="J36" s="9">
        <f t="shared" si="7"/>
        <v>0</v>
      </c>
      <c r="K36" s="9">
        <f t="shared" si="8"/>
        <v>0</v>
      </c>
      <c r="L36" s="9">
        <f t="shared" si="9"/>
        <v>0</v>
      </c>
      <c r="M36" s="120"/>
    </row>
    <row r="37" spans="1:13" s="106" customFormat="1" ht="11.25" customHeight="1" x14ac:dyDescent="0.25">
      <c r="A37" s="28" t="s">
        <v>125</v>
      </c>
      <c r="B37" s="132" t="s">
        <v>13</v>
      </c>
      <c r="C37" s="9">
        <f>2500</f>
        <v>2500</v>
      </c>
      <c r="D37" s="9">
        <v>132.68</v>
      </c>
      <c r="E37" s="9">
        <v>2.5099999999999998</v>
      </c>
      <c r="F37" s="9">
        <v>0</v>
      </c>
      <c r="G37" s="9">
        <v>0</v>
      </c>
      <c r="H37" s="9">
        <f>D37+F37+'03-18-21'!H37</f>
        <v>1421.8099999999997</v>
      </c>
      <c r="I37" s="9">
        <f>E37+G37+'03-18-21'!I37</f>
        <v>26.9</v>
      </c>
      <c r="J37" s="10">
        <f t="shared" si="7"/>
        <v>1448.7099999999998</v>
      </c>
      <c r="K37" s="9">
        <f t="shared" si="8"/>
        <v>1051.2900000000002</v>
      </c>
      <c r="L37" s="9">
        <f t="shared" si="9"/>
        <v>611.50303571429117</v>
      </c>
      <c r="M37" s="116"/>
    </row>
    <row r="38" spans="1:13" s="106" customFormat="1" ht="11.25" customHeight="1" x14ac:dyDescent="0.25">
      <c r="A38" s="28" t="s">
        <v>12</v>
      </c>
      <c r="B38" s="29">
        <v>55110100</v>
      </c>
      <c r="C38" s="9">
        <f>2659+6100</f>
        <v>8759</v>
      </c>
      <c r="D38" s="9">
        <v>0</v>
      </c>
      <c r="E38" s="9">
        <v>0</v>
      </c>
      <c r="F38" s="9">
        <v>1200</v>
      </c>
      <c r="G38" s="9">
        <v>62.4</v>
      </c>
      <c r="H38" s="9">
        <f>D38+F38+'03-18-21'!H38</f>
        <v>9060</v>
      </c>
      <c r="I38" s="9">
        <f>E38+G38+'03-18-21'!I38</f>
        <v>370.13</v>
      </c>
      <c r="J38" s="9">
        <f t="shared" si="7"/>
        <v>9430.1299999999992</v>
      </c>
      <c r="K38" s="107">
        <f t="shared" si="8"/>
        <v>-671.1299999999992</v>
      </c>
      <c r="L38" s="9">
        <f t="shared" si="9"/>
        <v>-3533.8480357142507</v>
      </c>
      <c r="M38" s="124"/>
    </row>
    <row r="39" spans="1:13" s="106" customFormat="1" ht="11.45" customHeight="1" x14ac:dyDescent="0.25">
      <c r="A39" s="28" t="s">
        <v>11</v>
      </c>
      <c r="B39" s="27" t="s">
        <v>10</v>
      </c>
      <c r="C39" s="9">
        <v>0</v>
      </c>
      <c r="D39" s="10">
        <v>0</v>
      </c>
      <c r="E39" s="10">
        <v>0</v>
      </c>
      <c r="F39" s="10">
        <v>0</v>
      </c>
      <c r="G39" s="10">
        <v>0</v>
      </c>
      <c r="H39" s="9">
        <f>D39+F39+'03-18-21'!H39</f>
        <v>0</v>
      </c>
      <c r="I39" s="9">
        <f>E39+G39+'03-18-21'!I39</f>
        <v>0</v>
      </c>
      <c r="J39" s="9">
        <f t="shared" si="7"/>
        <v>0</v>
      </c>
      <c r="K39" s="9">
        <f t="shared" si="8"/>
        <v>0</v>
      </c>
      <c r="L39" s="9">
        <f t="shared" si="9"/>
        <v>0</v>
      </c>
      <c r="M39" s="126"/>
    </row>
    <row r="40" spans="1:13" s="106" customFormat="1" ht="11.45" customHeight="1" x14ac:dyDescent="0.25">
      <c r="A40" s="25" t="s">
        <v>105</v>
      </c>
      <c r="B40" s="108" t="s">
        <v>69</v>
      </c>
      <c r="C40" s="9">
        <v>1500</v>
      </c>
      <c r="D40" s="9">
        <v>0</v>
      </c>
      <c r="E40" s="9">
        <v>0</v>
      </c>
      <c r="F40" s="9">
        <v>0</v>
      </c>
      <c r="G40" s="9">
        <v>0</v>
      </c>
      <c r="H40" s="9">
        <f>D40+F40+'03-18-21'!H40</f>
        <v>1122.3499999999997</v>
      </c>
      <c r="I40" s="9">
        <f>E40+G40+'03-18-21'!I40</f>
        <v>21.117000000000004</v>
      </c>
      <c r="J40" s="9">
        <f t="shared" si="7"/>
        <v>1143.4669999999996</v>
      </c>
      <c r="K40" s="9">
        <f t="shared" si="8"/>
        <v>356.53300000000036</v>
      </c>
      <c r="L40" s="9">
        <f t="shared" si="9"/>
        <v>9.4090892857188919</v>
      </c>
      <c r="M40" s="126"/>
    </row>
    <row r="41" spans="1:13" s="106" customFormat="1" ht="11.45" customHeight="1" x14ac:dyDescent="0.25">
      <c r="A41" s="25" t="s">
        <v>89</v>
      </c>
      <c r="B41" s="108" t="s">
        <v>88</v>
      </c>
      <c r="C41" s="9">
        <v>1200</v>
      </c>
      <c r="D41" s="9">
        <v>75</v>
      </c>
      <c r="E41" s="9">
        <v>1.42</v>
      </c>
      <c r="F41" s="9">
        <v>0</v>
      </c>
      <c r="G41" s="9">
        <v>0</v>
      </c>
      <c r="H41" s="9">
        <f>D41+F41+'03-18-21'!H41</f>
        <v>633.79999999999995</v>
      </c>
      <c r="I41" s="9">
        <f>E41+G41+'03-18-21'!I41</f>
        <v>11.979999999999999</v>
      </c>
      <c r="J41" s="9">
        <f t="shared" si="7"/>
        <v>645.78</v>
      </c>
      <c r="K41" s="9">
        <f t="shared" si="8"/>
        <v>554.22</v>
      </c>
      <c r="L41" s="9">
        <f t="shared" si="9"/>
        <v>358.17964285714515</v>
      </c>
      <c r="M41" s="120"/>
    </row>
    <row r="42" spans="1:13" s="98" customFormat="1" ht="11.45" customHeight="1" x14ac:dyDescent="0.25">
      <c r="A42" s="25" t="s">
        <v>61</v>
      </c>
      <c r="B42" s="108" t="s">
        <v>62</v>
      </c>
      <c r="C42" s="9">
        <f>9800+1200</f>
        <v>11000</v>
      </c>
      <c r="D42" s="9">
        <v>270</v>
      </c>
      <c r="E42" s="9">
        <v>5.12</v>
      </c>
      <c r="F42" s="9">
        <v>0</v>
      </c>
      <c r="G42" s="9">
        <v>0</v>
      </c>
      <c r="H42" s="9">
        <f>D42+F42+'03-18-21'!H42</f>
        <v>10341</v>
      </c>
      <c r="I42" s="9">
        <f>E42+G42+'03-18-21'!I42</f>
        <v>434.84</v>
      </c>
      <c r="J42" s="9">
        <f t="shared" si="7"/>
        <v>10775.84</v>
      </c>
      <c r="K42" s="9">
        <f t="shared" si="8"/>
        <v>224.15999999999985</v>
      </c>
      <c r="L42" s="9">
        <f t="shared" si="9"/>
        <v>-3047.0771428571043</v>
      </c>
      <c r="M42" s="116"/>
    </row>
    <row r="43" spans="1:13" s="98" customFormat="1" ht="11.45" customHeight="1" x14ac:dyDescent="0.25">
      <c r="A43" s="25" t="s">
        <v>59</v>
      </c>
      <c r="B43" s="108" t="s">
        <v>60</v>
      </c>
      <c r="C43" s="9">
        <f>2453.12+2598.45+16442.41</f>
        <v>21493.98</v>
      </c>
      <c r="D43" s="9">
        <v>0</v>
      </c>
      <c r="E43" s="9">
        <v>0</v>
      </c>
      <c r="F43" s="9">
        <v>0</v>
      </c>
      <c r="G43" s="9">
        <v>0</v>
      </c>
      <c r="H43" s="9">
        <f>D43+F43+'03-18-21'!H43</f>
        <v>5232.58</v>
      </c>
      <c r="I43" s="9">
        <f>E43+G43+'03-18-21'!I43</f>
        <v>99.32</v>
      </c>
      <c r="J43" s="9">
        <f t="shared" si="7"/>
        <v>5331.9</v>
      </c>
      <c r="K43" s="9">
        <f t="shared" si="8"/>
        <v>16162.08</v>
      </c>
      <c r="L43" s="9">
        <f t="shared" si="9"/>
        <v>14543.467500000021</v>
      </c>
      <c r="M43" s="116"/>
    </row>
    <row r="44" spans="1:13" s="98" customFormat="1" ht="11.45" customHeight="1" x14ac:dyDescent="0.25">
      <c r="A44" s="25" t="s">
        <v>70</v>
      </c>
      <c r="B44" s="108" t="s">
        <v>71</v>
      </c>
      <c r="C44" s="9">
        <v>5600</v>
      </c>
      <c r="D44" s="9">
        <v>0</v>
      </c>
      <c r="E44" s="9">
        <v>0</v>
      </c>
      <c r="F44" s="9">
        <v>0</v>
      </c>
      <c r="G44" s="9">
        <v>0</v>
      </c>
      <c r="H44" s="9">
        <f>D44+F44+'03-18-21'!H44</f>
        <v>4041.7000000000003</v>
      </c>
      <c r="I44" s="9">
        <f>E44+G44+'03-18-21'!I44</f>
        <v>76.720000000000013</v>
      </c>
      <c r="J44" s="9">
        <f t="shared" si="7"/>
        <v>4118.42</v>
      </c>
      <c r="K44" s="9">
        <f t="shared" si="8"/>
        <v>1481.58</v>
      </c>
      <c r="L44" s="9">
        <f t="shared" si="9"/>
        <v>231.34535714287267</v>
      </c>
      <c r="M44" s="116"/>
    </row>
    <row r="45" spans="1:13" s="98" customFormat="1" ht="11.45" customHeight="1" x14ac:dyDescent="0.25">
      <c r="A45" s="25" t="s">
        <v>7</v>
      </c>
      <c r="B45" s="108" t="s">
        <v>6</v>
      </c>
      <c r="C45" s="9">
        <v>1609.56</v>
      </c>
      <c r="D45" s="9">
        <v>90</v>
      </c>
      <c r="E45" s="9">
        <v>1.71</v>
      </c>
      <c r="F45" s="9">
        <v>0</v>
      </c>
      <c r="G45" s="9">
        <v>0</v>
      </c>
      <c r="H45" s="9">
        <f>D45+F45+'03-18-21'!H45</f>
        <v>982.5</v>
      </c>
      <c r="I45" s="9">
        <f>E45+G45+'03-18-21'!I45</f>
        <v>18.64</v>
      </c>
      <c r="J45" s="9">
        <f t="shared" si="7"/>
        <v>1001.14</v>
      </c>
      <c r="K45" s="9">
        <f t="shared" si="8"/>
        <v>608.41999999999996</v>
      </c>
      <c r="L45" s="9">
        <f t="shared" si="9"/>
        <v>304.50250000000347</v>
      </c>
      <c r="M45" s="116"/>
    </row>
    <row r="46" spans="1:13" s="98" customFormat="1" ht="11.45" customHeight="1" x14ac:dyDescent="0.25">
      <c r="A46" s="25" t="s">
        <v>9</v>
      </c>
      <c r="B46" s="108" t="s">
        <v>8</v>
      </c>
      <c r="C46" s="9">
        <v>0</v>
      </c>
      <c r="D46" s="10">
        <v>0</v>
      </c>
      <c r="E46" s="10">
        <v>0</v>
      </c>
      <c r="F46" s="10">
        <v>0</v>
      </c>
      <c r="G46" s="10">
        <v>0</v>
      </c>
      <c r="H46" s="9">
        <f>D46+F46+'03-18-21'!H46</f>
        <v>0</v>
      </c>
      <c r="I46" s="9">
        <f>E46+G46+'03-18-21'!I46</f>
        <v>0</v>
      </c>
      <c r="J46" s="9">
        <f t="shared" si="7"/>
        <v>0</v>
      </c>
      <c r="K46" s="9">
        <f t="shared" si="8"/>
        <v>0</v>
      </c>
      <c r="L46" s="9">
        <f t="shared" si="9"/>
        <v>0</v>
      </c>
      <c r="M46" s="116"/>
    </row>
    <row r="47" spans="1:13" s="98" customFormat="1" ht="11.45" customHeight="1" x14ac:dyDescent="0.25">
      <c r="A47" s="25" t="s">
        <v>63</v>
      </c>
      <c r="B47" s="108" t="s">
        <v>66</v>
      </c>
      <c r="C47" s="9">
        <v>1784.19</v>
      </c>
      <c r="D47" s="10">
        <v>0</v>
      </c>
      <c r="E47" s="10">
        <v>0</v>
      </c>
      <c r="F47" s="10">
        <v>0</v>
      </c>
      <c r="G47" s="10">
        <v>0</v>
      </c>
      <c r="H47" s="9">
        <f>D47+F47+'03-18-21'!H47</f>
        <v>1504</v>
      </c>
      <c r="I47" s="9">
        <f>E47+G47+'03-18-21'!I47</f>
        <v>78.179999999999993</v>
      </c>
      <c r="J47" s="9">
        <f t="shared" si="7"/>
        <v>1582.18</v>
      </c>
      <c r="K47" s="9">
        <f t="shared" si="8"/>
        <v>202.01</v>
      </c>
      <c r="L47" s="9">
        <f t="shared" si="9"/>
        <v>-278.29464285713721</v>
      </c>
      <c r="M47" s="116"/>
    </row>
    <row r="48" spans="1:13" s="98" customFormat="1" ht="11.45" hidden="1" customHeight="1" x14ac:dyDescent="0.25">
      <c r="A48" s="25" t="s">
        <v>64</v>
      </c>
      <c r="B48" s="108" t="s">
        <v>65</v>
      </c>
      <c r="C48" s="97"/>
      <c r="D48" s="10"/>
      <c r="E48" s="10"/>
      <c r="F48" s="10"/>
      <c r="G48" s="10"/>
      <c r="H48" s="9">
        <f>D48+F48+'03-18-21'!H48</f>
        <v>0</v>
      </c>
      <c r="I48" s="9">
        <f>E48+G48+'03-18-21'!I48</f>
        <v>0</v>
      </c>
      <c r="J48" s="9">
        <f t="shared" si="7"/>
        <v>0</v>
      </c>
      <c r="K48" s="9">
        <f t="shared" si="8"/>
        <v>0</v>
      </c>
      <c r="L48" s="9">
        <f t="shared" si="9"/>
        <v>0</v>
      </c>
      <c r="M48" s="116"/>
    </row>
    <row r="49" spans="1:13" s="110" customFormat="1" ht="11.25" customHeight="1" x14ac:dyDescent="0.25">
      <c r="A49" s="25" t="s">
        <v>57</v>
      </c>
      <c r="B49" s="108" t="s">
        <v>58</v>
      </c>
      <c r="C49" s="109">
        <v>5369</v>
      </c>
      <c r="D49" s="109">
        <v>255</v>
      </c>
      <c r="E49" s="109">
        <v>4.84</v>
      </c>
      <c r="F49" s="109">
        <v>0</v>
      </c>
      <c r="G49" s="109">
        <v>0</v>
      </c>
      <c r="H49" s="9">
        <f>D49+F49+'03-18-21'!H49</f>
        <v>1172.0900000000001</v>
      </c>
      <c r="I49" s="9">
        <f>E49+G49+'03-18-21'!I49</f>
        <v>22.16</v>
      </c>
      <c r="J49" s="9">
        <f t="shared" si="7"/>
        <v>1194.2500000000002</v>
      </c>
      <c r="K49" s="9">
        <f t="shared" si="8"/>
        <v>4174.75</v>
      </c>
      <c r="L49" s="9">
        <f t="shared" si="9"/>
        <v>3812.2098214285752</v>
      </c>
      <c r="M49" s="115"/>
    </row>
    <row r="50" spans="1:13" s="110" customFormat="1" ht="11.25" customHeight="1" x14ac:dyDescent="0.25">
      <c r="A50" s="25" t="s">
        <v>95</v>
      </c>
      <c r="B50" s="108" t="s">
        <v>94</v>
      </c>
      <c r="C50" s="109">
        <f>2000+1000+500</f>
        <v>3500</v>
      </c>
      <c r="D50" s="109">
        <v>240</v>
      </c>
      <c r="E50" s="109">
        <v>4.55</v>
      </c>
      <c r="F50" s="109">
        <v>0</v>
      </c>
      <c r="G50" s="109">
        <v>0</v>
      </c>
      <c r="H50" s="9">
        <f>D50+F50+'03-18-21'!H50</f>
        <v>2691.5</v>
      </c>
      <c r="I50" s="9">
        <f>E50+G50+'03-18-21'!I50</f>
        <v>51.91</v>
      </c>
      <c r="J50" s="9">
        <f t="shared" si="7"/>
        <v>2743.41</v>
      </c>
      <c r="K50" s="9">
        <f t="shared" si="8"/>
        <v>756.59000000000015</v>
      </c>
      <c r="L50" s="9">
        <f t="shared" si="9"/>
        <v>-76.230892857132858</v>
      </c>
      <c r="M50" s="116"/>
    </row>
    <row r="51" spans="1:13" ht="21.6" customHeight="1" x14ac:dyDescent="0.25">
      <c r="A51" s="153" t="s">
        <v>5</v>
      </c>
      <c r="B51" s="154"/>
      <c r="C51" s="7">
        <f>SUM(C33:C49)</f>
        <v>75610.95</v>
      </c>
      <c r="D51" s="7">
        <f t="shared" ref="D51:L51" si="10">SUM(D33:D50)</f>
        <v>1062.68</v>
      </c>
      <c r="E51" s="7">
        <f t="shared" si="10"/>
        <v>20.150000000000002</v>
      </c>
      <c r="F51" s="7">
        <f t="shared" si="10"/>
        <v>1680</v>
      </c>
      <c r="G51" s="7">
        <f t="shared" si="10"/>
        <v>87.35</v>
      </c>
      <c r="H51" s="7">
        <f t="shared" si="10"/>
        <v>46245.329999999987</v>
      </c>
      <c r="I51" s="7">
        <f t="shared" si="10"/>
        <v>1578.2570000000003</v>
      </c>
      <c r="J51" s="7">
        <f t="shared" si="10"/>
        <v>47823.587</v>
      </c>
      <c r="K51" s="7">
        <f t="shared" si="10"/>
        <v>31287.362999999998</v>
      </c>
      <c r="L51" s="7">
        <f t="shared" si="10"/>
        <v>16769.488375000175</v>
      </c>
      <c r="M51" s="133"/>
    </row>
    <row r="52" spans="1:13" ht="10.9" customHeight="1" x14ac:dyDescent="0.25">
      <c r="A52" s="17"/>
      <c r="B52" s="16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33"/>
    </row>
    <row r="53" spans="1:13" ht="10.9" customHeight="1" x14ac:dyDescent="0.25">
      <c r="A53" s="17"/>
      <c r="B53" s="16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3" s="92" customFormat="1" ht="10.9" customHeight="1" x14ac:dyDescent="0.25">
      <c r="A54" s="22" t="s">
        <v>4</v>
      </c>
      <c r="B54" s="29" t="s">
        <v>3</v>
      </c>
      <c r="C54" s="9">
        <v>62583</v>
      </c>
      <c r="D54" s="10">
        <v>1405.92</v>
      </c>
      <c r="E54" s="10">
        <v>26.7</v>
      </c>
      <c r="F54" s="10">
        <v>184.38</v>
      </c>
      <c r="G54" s="10">
        <v>9.58</v>
      </c>
      <c r="H54" s="9">
        <f>D54+F54+'03-18-21'!H54</f>
        <v>16930.04</v>
      </c>
      <c r="I54" s="9">
        <f>E54+G54+'03-18-21'!I54</f>
        <v>354.26200000000006</v>
      </c>
      <c r="J54" s="9">
        <f t="shared" ref="J54:J55" si="11">H54+I54</f>
        <v>17284.302</v>
      </c>
      <c r="K54" s="9">
        <f>C54-J54</f>
        <v>45298.698000000004</v>
      </c>
      <c r="L54" s="9">
        <f t="shared" ref="L54:L55" si="12">C54-((J54/20)*26.0714285714285)</f>
        <v>40051.677750000061</v>
      </c>
      <c r="M54" s="115"/>
    </row>
    <row r="55" spans="1:13" s="92" customFormat="1" ht="10.9" customHeight="1" x14ac:dyDescent="0.25">
      <c r="A55" s="22" t="s">
        <v>112</v>
      </c>
      <c r="B55" s="29" t="s">
        <v>111</v>
      </c>
      <c r="C55" s="9">
        <v>11243</v>
      </c>
      <c r="D55" s="9">
        <v>0</v>
      </c>
      <c r="E55" s="9">
        <v>0</v>
      </c>
      <c r="F55" s="9">
        <v>0</v>
      </c>
      <c r="G55" s="9">
        <v>0</v>
      </c>
      <c r="H55" s="9">
        <f>D55+F55+'03-18-21'!H55</f>
        <v>0</v>
      </c>
      <c r="I55" s="9">
        <f>E55+G55+'03-18-21'!I55</f>
        <v>0</v>
      </c>
      <c r="J55" s="9">
        <f t="shared" si="11"/>
        <v>0</v>
      </c>
      <c r="K55" s="9">
        <f>C55-J55</f>
        <v>11243</v>
      </c>
      <c r="L55" s="9">
        <f t="shared" si="12"/>
        <v>11243</v>
      </c>
      <c r="M55" s="115"/>
    </row>
    <row r="56" spans="1:13" ht="21.6" customHeight="1" x14ac:dyDescent="0.25">
      <c r="A56" s="20" t="s">
        <v>2</v>
      </c>
      <c r="B56" s="19"/>
      <c r="C56" s="18">
        <f>C54+C55</f>
        <v>73826</v>
      </c>
      <c r="D56" s="18">
        <f t="shared" ref="D56:L56" si="13">D54+D55</f>
        <v>1405.92</v>
      </c>
      <c r="E56" s="18">
        <f t="shared" si="13"/>
        <v>26.7</v>
      </c>
      <c r="F56" s="18">
        <f t="shared" si="13"/>
        <v>184.38</v>
      </c>
      <c r="G56" s="18">
        <f t="shared" si="13"/>
        <v>9.58</v>
      </c>
      <c r="H56" s="18">
        <f t="shared" si="13"/>
        <v>16930.04</v>
      </c>
      <c r="I56" s="18">
        <f t="shared" si="13"/>
        <v>354.26200000000006</v>
      </c>
      <c r="J56" s="18">
        <f t="shared" si="13"/>
        <v>17284.302</v>
      </c>
      <c r="K56" s="18">
        <f t="shared" si="13"/>
        <v>56541.698000000004</v>
      </c>
      <c r="L56" s="18">
        <f t="shared" si="13"/>
        <v>51294.677750000061</v>
      </c>
    </row>
    <row r="57" spans="1:13" ht="10.9" customHeight="1" x14ac:dyDescent="0.25">
      <c r="A57" s="17"/>
      <c r="B57" s="16"/>
      <c r="C57" s="15"/>
      <c r="D57" s="15"/>
      <c r="E57" s="15"/>
      <c r="F57" s="15"/>
      <c r="G57" s="15"/>
      <c r="H57" s="15"/>
      <c r="I57" s="15"/>
      <c r="J57" s="15"/>
      <c r="K57" s="15"/>
      <c r="L57" s="15"/>
    </row>
    <row r="58" spans="1:13" ht="10.9" customHeight="1" x14ac:dyDescent="0.25">
      <c r="A58" s="17"/>
      <c r="B58" s="16"/>
      <c r="C58" s="15"/>
      <c r="D58" s="15"/>
      <c r="E58" s="15"/>
      <c r="F58" s="15"/>
      <c r="G58" s="15"/>
      <c r="H58" s="15"/>
      <c r="I58" s="15"/>
      <c r="J58" s="15"/>
      <c r="K58" s="15"/>
      <c r="L58" s="15"/>
    </row>
    <row r="59" spans="1:13" s="92" customFormat="1" ht="10.9" customHeight="1" x14ac:dyDescent="0.25">
      <c r="A59" s="13" t="s">
        <v>1</v>
      </c>
      <c r="B59" s="33">
        <v>55180000</v>
      </c>
      <c r="C59" s="9">
        <v>37736</v>
      </c>
      <c r="D59" s="10">
        <v>0</v>
      </c>
      <c r="E59" s="10">
        <v>0</v>
      </c>
      <c r="F59" s="10">
        <v>438.6</v>
      </c>
      <c r="G59" s="10">
        <v>22.8</v>
      </c>
      <c r="H59" s="9">
        <f>D59+F59+'03-18-21'!H59</f>
        <v>8377.260000000002</v>
      </c>
      <c r="I59" s="9">
        <f>E59+G59+'03-18-21'!I59</f>
        <v>435.48000000000008</v>
      </c>
      <c r="J59" s="9">
        <f t="shared" ref="J59" si="14">H59+I59</f>
        <v>8812.7400000000016</v>
      </c>
      <c r="K59" s="9">
        <f>C59-J59</f>
        <v>28923.26</v>
      </c>
      <c r="L59" s="9">
        <f>C59-((J59/20)*26.0714285714285)</f>
        <v>26247.963928571458</v>
      </c>
      <c r="M59" s="115"/>
    </row>
    <row r="60" spans="1:13" s="3" customFormat="1" ht="21.6" customHeight="1" x14ac:dyDescent="0.25">
      <c r="A60" s="153" t="s">
        <v>0</v>
      </c>
      <c r="B60" s="154"/>
      <c r="C60" s="7">
        <f t="shared" ref="C60:L60" si="15">SUM(C59)</f>
        <v>37736</v>
      </c>
      <c r="D60" s="7">
        <f t="shared" si="15"/>
        <v>0</v>
      </c>
      <c r="E60" s="7">
        <f t="shared" si="15"/>
        <v>0</v>
      </c>
      <c r="F60" s="7">
        <f t="shared" si="15"/>
        <v>438.6</v>
      </c>
      <c r="G60" s="7">
        <f t="shared" si="15"/>
        <v>22.8</v>
      </c>
      <c r="H60" s="7">
        <f t="shared" si="15"/>
        <v>8377.260000000002</v>
      </c>
      <c r="I60" s="7">
        <f t="shared" si="15"/>
        <v>435.48000000000008</v>
      </c>
      <c r="J60" s="7">
        <f t="shared" si="15"/>
        <v>8812.7400000000016</v>
      </c>
      <c r="K60" s="7">
        <f t="shared" si="15"/>
        <v>28923.26</v>
      </c>
      <c r="L60" s="7">
        <f t="shared" si="15"/>
        <v>26247.963928571458</v>
      </c>
      <c r="M60" s="122"/>
    </row>
    <row r="61" spans="1:13" s="3" customFormat="1" ht="11.25" customHeight="1" x14ac:dyDescent="0.25">
      <c r="A61" s="6"/>
      <c r="B61" s="5"/>
      <c r="C61" s="4"/>
      <c r="D61" s="4"/>
      <c r="E61" s="4"/>
      <c r="F61" s="4"/>
      <c r="G61" s="4"/>
      <c r="H61" s="4"/>
      <c r="I61" s="4"/>
      <c r="J61" s="4"/>
      <c r="K61" s="4"/>
      <c r="L61" s="4"/>
      <c r="M61" s="122"/>
    </row>
    <row r="62" spans="1:13" s="2" customFormat="1" ht="10.5" customHeight="1" x14ac:dyDescent="0.25">
      <c r="A62" s="160" t="s">
        <v>72</v>
      </c>
      <c r="B62" s="160"/>
      <c r="C62" s="160"/>
      <c r="D62" s="160"/>
      <c r="E62" s="160"/>
      <c r="F62" s="160"/>
      <c r="G62" s="82">
        <v>12000</v>
      </c>
      <c r="M62" s="111"/>
    </row>
    <row r="63" spans="1:13" s="2" customFormat="1" ht="10.5" customHeight="1" x14ac:dyDescent="0.25">
      <c r="A63" s="160" t="s">
        <v>73</v>
      </c>
      <c r="B63" s="160"/>
      <c r="C63" s="160"/>
      <c r="D63" s="160"/>
      <c r="E63" s="160"/>
      <c r="F63" s="160"/>
      <c r="G63" s="82">
        <v>5600</v>
      </c>
      <c r="M63" s="111"/>
    </row>
    <row r="64" spans="1:13" ht="10.5" customHeight="1" x14ac:dyDescent="0.25">
      <c r="A64" s="160" t="s">
        <v>76</v>
      </c>
      <c r="B64" s="160"/>
      <c r="C64" s="160"/>
      <c r="D64" s="160"/>
      <c r="E64" s="160"/>
      <c r="F64" s="160"/>
      <c r="G64" s="82">
        <v>9800</v>
      </c>
    </row>
    <row r="65" spans="1:13" ht="10.5" customHeight="1" x14ac:dyDescent="0.25">
      <c r="A65" s="160" t="s">
        <v>75</v>
      </c>
      <c r="B65" s="160"/>
      <c r="C65" s="160"/>
      <c r="D65" s="160"/>
      <c r="E65" s="160"/>
      <c r="F65" s="160"/>
      <c r="G65" s="82">
        <v>1500</v>
      </c>
    </row>
    <row r="66" spans="1:13" ht="10.5" customHeight="1" x14ac:dyDescent="0.25">
      <c r="A66" s="160" t="s">
        <v>74</v>
      </c>
      <c r="B66" s="160"/>
      <c r="C66" s="160"/>
      <c r="D66" s="160"/>
      <c r="E66" s="160"/>
      <c r="F66" s="160"/>
      <c r="G66" s="82">
        <v>843.44</v>
      </c>
    </row>
    <row r="67" spans="1:13" ht="10.5" customHeight="1" x14ac:dyDescent="0.25">
      <c r="A67" s="160" t="s">
        <v>77</v>
      </c>
      <c r="B67" s="160"/>
      <c r="C67" s="160"/>
      <c r="D67" s="160"/>
      <c r="E67" s="160"/>
      <c r="F67" s="160"/>
      <c r="G67" s="82">
        <v>1784.19</v>
      </c>
    </row>
    <row r="68" spans="1:13" ht="10.5" customHeight="1" x14ac:dyDescent="0.25">
      <c r="A68" s="160" t="s">
        <v>78</v>
      </c>
      <c r="B68" s="160"/>
      <c r="C68" s="160"/>
      <c r="D68" s="160"/>
      <c r="E68" s="160"/>
      <c r="F68" s="160"/>
      <c r="G68" s="82">
        <v>2453.12</v>
      </c>
    </row>
    <row r="69" spans="1:13" s="2" customFormat="1" ht="10.5" customHeight="1" x14ac:dyDescent="0.25">
      <c r="A69" s="160" t="s">
        <v>84</v>
      </c>
      <c r="B69" s="160"/>
      <c r="C69" s="160"/>
      <c r="D69" s="160"/>
      <c r="E69" s="160"/>
      <c r="F69" s="160"/>
      <c r="G69" s="82">
        <v>2598.4499999999998</v>
      </c>
      <c r="M69" s="112"/>
    </row>
    <row r="70" spans="1:13" s="2" customFormat="1" ht="10.5" customHeight="1" x14ac:dyDescent="0.25">
      <c r="A70" s="160" t="s">
        <v>85</v>
      </c>
      <c r="B70" s="160"/>
      <c r="C70" s="160"/>
      <c r="D70" s="160"/>
      <c r="E70" s="160"/>
      <c r="F70" s="160"/>
      <c r="G70" s="82">
        <v>2659</v>
      </c>
      <c r="M70" s="112"/>
    </row>
    <row r="71" spans="1:13" s="2" customFormat="1" ht="10.5" customHeight="1" x14ac:dyDescent="0.25">
      <c r="A71" s="160" t="s">
        <v>90</v>
      </c>
      <c r="B71" s="160"/>
      <c r="C71" s="160"/>
      <c r="D71" s="160"/>
      <c r="E71" s="160"/>
      <c r="F71" s="160"/>
      <c r="G71" s="82">
        <v>1200</v>
      </c>
      <c r="M71" s="112"/>
    </row>
    <row r="72" spans="1:13" s="2" customFormat="1" ht="10.5" customHeight="1" x14ac:dyDescent="0.25">
      <c r="A72" s="160" t="s">
        <v>93</v>
      </c>
      <c r="B72" s="160"/>
      <c r="C72" s="160"/>
      <c r="D72" s="160"/>
      <c r="E72" s="160"/>
      <c r="F72" s="160"/>
      <c r="G72" s="82">
        <v>2109</v>
      </c>
      <c r="M72" s="111"/>
    </row>
    <row r="73" spans="1:13" s="2" customFormat="1" ht="10.5" customHeight="1" x14ac:dyDescent="0.25">
      <c r="A73" s="160" t="s">
        <v>100</v>
      </c>
      <c r="B73" s="160"/>
      <c r="C73" s="160"/>
      <c r="D73" s="160"/>
      <c r="E73" s="160"/>
      <c r="F73" s="160"/>
      <c r="G73" s="82">
        <v>6100</v>
      </c>
      <c r="M73" s="111"/>
    </row>
    <row r="74" spans="1:13" s="2" customFormat="1" ht="10.5" customHeight="1" x14ac:dyDescent="0.25">
      <c r="A74" s="160" t="s">
        <v>102</v>
      </c>
      <c r="B74" s="160"/>
      <c r="C74" s="160"/>
      <c r="D74" s="160"/>
      <c r="E74" s="160"/>
      <c r="F74" s="160"/>
      <c r="G74" s="82">
        <v>5369</v>
      </c>
      <c r="M74" s="112"/>
    </row>
    <row r="75" spans="1:13" ht="10.5" customHeight="1" x14ac:dyDescent="0.25">
      <c r="A75" s="160" t="s">
        <v>106</v>
      </c>
      <c r="B75" s="160"/>
      <c r="C75" s="160"/>
      <c r="D75" s="160"/>
      <c r="E75" s="160"/>
      <c r="F75" s="160"/>
      <c r="G75" s="82">
        <v>16442.41</v>
      </c>
    </row>
    <row r="76" spans="1:13" ht="10.5" customHeight="1" x14ac:dyDescent="0.25">
      <c r="A76" s="160" t="s">
        <v>107</v>
      </c>
      <c r="B76" s="160"/>
      <c r="C76" s="160"/>
      <c r="D76" s="160"/>
      <c r="E76" s="160"/>
      <c r="F76" s="160"/>
      <c r="G76" s="82">
        <v>1609.56</v>
      </c>
    </row>
    <row r="77" spans="1:13" s="2" customFormat="1" ht="10.5" customHeight="1" x14ac:dyDescent="0.25">
      <c r="A77" s="160" t="s">
        <v>109</v>
      </c>
      <c r="B77" s="160"/>
      <c r="C77" s="160"/>
      <c r="D77" s="160"/>
      <c r="E77" s="160"/>
      <c r="F77" s="160"/>
      <c r="G77" s="82">
        <v>1000</v>
      </c>
      <c r="M77" s="112"/>
    </row>
    <row r="78" spans="1:13" ht="20.25" customHeight="1" x14ac:dyDescent="0.25">
      <c r="A78" s="160" t="s">
        <v>113</v>
      </c>
      <c r="B78" s="160"/>
      <c r="C78" s="160"/>
      <c r="D78" s="160"/>
      <c r="E78" s="160"/>
      <c r="F78" s="160"/>
      <c r="G78" s="82">
        <v>75940.289999999994</v>
      </c>
    </row>
    <row r="79" spans="1:13" s="2" customFormat="1" ht="10.5" customHeight="1" x14ac:dyDescent="0.25">
      <c r="A79" s="160" t="s">
        <v>115</v>
      </c>
      <c r="B79" s="160"/>
      <c r="C79" s="160"/>
      <c r="D79" s="160"/>
      <c r="E79" s="160"/>
      <c r="F79" s="160"/>
      <c r="G79" s="82">
        <v>1200</v>
      </c>
      <c r="M79" s="112"/>
    </row>
    <row r="80" spans="1:13" s="2" customFormat="1" ht="10.5" customHeight="1" x14ac:dyDescent="0.25">
      <c r="A80" s="160" t="s">
        <v>117</v>
      </c>
      <c r="B80" s="160"/>
      <c r="C80" s="160"/>
      <c r="D80" s="160"/>
      <c r="E80" s="160"/>
      <c r="F80" s="160"/>
      <c r="G80" s="82">
        <v>4208</v>
      </c>
      <c r="M80" s="112"/>
    </row>
    <row r="81" spans="1:13" ht="10.5" customHeight="1" x14ac:dyDescent="0.25">
      <c r="A81" s="160" t="s">
        <v>118</v>
      </c>
      <c r="B81" s="160"/>
      <c r="C81" s="160"/>
      <c r="D81" s="160"/>
      <c r="E81" s="160"/>
      <c r="F81" s="160"/>
      <c r="G81" s="82">
        <v>500</v>
      </c>
    </row>
    <row r="82" spans="1:13" s="2" customFormat="1" ht="9.75" customHeight="1" x14ac:dyDescent="0.25">
      <c r="A82" s="160" t="s">
        <v>120</v>
      </c>
      <c r="B82" s="160"/>
      <c r="C82" s="160"/>
      <c r="D82" s="160"/>
      <c r="E82" s="160"/>
      <c r="F82" s="160"/>
      <c r="G82" s="134">
        <v>3360</v>
      </c>
      <c r="M82" s="112"/>
    </row>
    <row r="83" spans="1:13" s="2" customFormat="1" ht="9.75" customHeight="1" x14ac:dyDescent="0.25">
      <c r="A83" s="160" t="s">
        <v>124</v>
      </c>
      <c r="B83" s="160"/>
      <c r="C83" s="160"/>
      <c r="D83" s="160"/>
      <c r="E83" s="160"/>
      <c r="F83" s="160"/>
      <c r="G83" s="134">
        <v>-137.84</v>
      </c>
      <c r="M83" s="112"/>
    </row>
    <row r="84" spans="1:13" s="2" customFormat="1" ht="9.75" customHeight="1" x14ac:dyDescent="0.25">
      <c r="A84" s="160" t="s">
        <v>126</v>
      </c>
      <c r="B84" s="160"/>
      <c r="C84" s="160"/>
      <c r="D84" s="160"/>
      <c r="E84" s="160"/>
      <c r="F84" s="160"/>
      <c r="G84" s="134">
        <v>2500</v>
      </c>
      <c r="M84" s="112"/>
    </row>
    <row r="85" spans="1:13" s="2" customFormat="1" ht="9.75" customHeight="1" x14ac:dyDescent="0.25">
      <c r="A85" s="160" t="s">
        <v>127</v>
      </c>
      <c r="B85" s="160"/>
      <c r="C85" s="160"/>
      <c r="D85" s="160"/>
      <c r="E85" s="160"/>
      <c r="F85" s="160"/>
      <c r="G85" s="134">
        <v>61.23</v>
      </c>
      <c r="M85" s="112"/>
    </row>
  </sheetData>
  <mergeCells count="30">
    <mergeCell ref="A80:F80"/>
    <mergeCell ref="A81:F81"/>
    <mergeCell ref="A82:F82"/>
    <mergeCell ref="A74:F74"/>
    <mergeCell ref="A75:F75"/>
    <mergeCell ref="A76:F76"/>
    <mergeCell ref="A77:F77"/>
    <mergeCell ref="A78:F78"/>
    <mergeCell ref="A79:F79"/>
    <mergeCell ref="A68:F68"/>
    <mergeCell ref="A69:F69"/>
    <mergeCell ref="A70:F70"/>
    <mergeCell ref="A71:F71"/>
    <mergeCell ref="A72:F72"/>
    <mergeCell ref="A83:F83"/>
    <mergeCell ref="A84:F84"/>
    <mergeCell ref="A85:F85"/>
    <mergeCell ref="A60:B60"/>
    <mergeCell ref="A15:B15"/>
    <mergeCell ref="A21:B21"/>
    <mergeCell ref="A27:B27"/>
    <mergeCell ref="A30:B30"/>
    <mergeCell ref="A51:B51"/>
    <mergeCell ref="A73:F73"/>
    <mergeCell ref="A62:F62"/>
    <mergeCell ref="A63:F63"/>
    <mergeCell ref="A64:F64"/>
    <mergeCell ref="A65:F65"/>
    <mergeCell ref="A66:F66"/>
    <mergeCell ref="A67:F67"/>
  </mergeCells>
  <pageMargins left="0.25" right="0" top="0.4" bottom="0" header="0.3" footer="0"/>
  <pageSetup scale="84" fitToWidth="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M88"/>
  <sheetViews>
    <sheetView zoomScale="145" zoomScaleNormal="145" workbookViewId="0">
      <pane ySplit="2" topLeftCell="A30" activePane="bottomLeft" state="frozen"/>
      <selection pane="bottomLeft" activeCell="K34" sqref="K34"/>
    </sheetView>
  </sheetViews>
  <sheetFormatPr defaultColWidth="28" defaultRowHeight="15" x14ac:dyDescent="0.25"/>
  <cols>
    <col min="1" max="1" width="34" style="1" bestFit="1" customWidth="1"/>
    <col min="2" max="2" width="19" style="1" bestFit="1" customWidth="1"/>
    <col min="3" max="3" width="11" style="77" customWidth="1"/>
    <col min="4" max="4" width="8.140625" style="2" bestFit="1" customWidth="1"/>
    <col min="5" max="5" width="6.28515625" style="2" bestFit="1" customWidth="1"/>
    <col min="6" max="6" width="9" style="2" bestFit="1" customWidth="1"/>
    <col min="7" max="7" width="8.7109375" style="2" bestFit="1" customWidth="1"/>
    <col min="8" max="8" width="9.28515625" style="2" bestFit="1" customWidth="1"/>
    <col min="9" max="9" width="9.42578125" style="2" bestFit="1" customWidth="1"/>
    <col min="10" max="10" width="9.7109375" style="2" bestFit="1" customWidth="1"/>
    <col min="11" max="11" width="9.28515625" style="2" bestFit="1" customWidth="1"/>
    <col min="12" max="12" width="13.42578125" style="2" bestFit="1" customWidth="1"/>
    <col min="13" max="13" width="17.85546875" style="112" customWidth="1"/>
    <col min="14" max="16384" width="28" style="1"/>
  </cols>
  <sheetData>
    <row r="1" spans="1:13" ht="11.25" customHeight="1" x14ac:dyDescent="0.25">
      <c r="A1" s="68"/>
      <c r="B1" s="67"/>
      <c r="C1" s="76"/>
      <c r="D1" s="66"/>
      <c r="E1" s="66"/>
      <c r="F1" s="66"/>
      <c r="G1" s="66"/>
      <c r="H1" s="66"/>
      <c r="I1" s="66"/>
      <c r="J1" s="66"/>
      <c r="K1" s="66"/>
      <c r="L1" s="65" t="s">
        <v>128</v>
      </c>
    </row>
    <row r="2" spans="1:13" s="61" customFormat="1" ht="23.25" x14ac:dyDescent="0.25">
      <c r="A2" s="64" t="s">
        <v>53</v>
      </c>
      <c r="B2" s="64" t="s">
        <v>52</v>
      </c>
      <c r="C2" s="63" t="s">
        <v>51</v>
      </c>
      <c r="D2" s="63" t="s">
        <v>50</v>
      </c>
      <c r="E2" s="63" t="s">
        <v>48</v>
      </c>
      <c r="F2" s="63" t="s">
        <v>49</v>
      </c>
      <c r="G2" s="63" t="s">
        <v>48</v>
      </c>
      <c r="H2" s="62" t="s">
        <v>47</v>
      </c>
      <c r="I2" s="62" t="s">
        <v>46</v>
      </c>
      <c r="J2" s="62" t="s">
        <v>45</v>
      </c>
      <c r="K2" s="62" t="s">
        <v>44</v>
      </c>
      <c r="L2" s="62" t="s">
        <v>43</v>
      </c>
      <c r="M2" s="113"/>
    </row>
    <row r="3" spans="1:13" s="101" customFormat="1" ht="11.25" customHeight="1" x14ac:dyDescent="0.25">
      <c r="A3" s="22" t="s">
        <v>42</v>
      </c>
      <c r="B3" s="29">
        <v>55010300</v>
      </c>
      <c r="C3" s="10">
        <v>4208</v>
      </c>
      <c r="D3" s="9">
        <v>0</v>
      </c>
      <c r="E3" s="9">
        <v>0</v>
      </c>
      <c r="F3" s="9">
        <v>0</v>
      </c>
      <c r="G3" s="9">
        <v>0</v>
      </c>
      <c r="H3" s="9">
        <f>D3+F3+'04-01-21'!H3</f>
        <v>0</v>
      </c>
      <c r="I3" s="9">
        <f>E3+G3+'04-01-21'!I3</f>
        <v>0</v>
      </c>
      <c r="J3" s="9">
        <f>H3+I3</f>
        <v>0</v>
      </c>
      <c r="K3" s="9">
        <f>C3-J3</f>
        <v>4208</v>
      </c>
      <c r="L3" s="9">
        <f>C3-((J3/21)*26.0714285714285)</f>
        <v>4208</v>
      </c>
      <c r="M3" s="114"/>
    </row>
    <row r="4" spans="1:13" s="101" customFormat="1" ht="11.25" customHeight="1" x14ac:dyDescent="0.25">
      <c r="A4" s="22" t="s">
        <v>41</v>
      </c>
      <c r="B4" s="29">
        <v>55010500</v>
      </c>
      <c r="C4" s="9">
        <v>3229</v>
      </c>
      <c r="D4" s="10">
        <v>0</v>
      </c>
      <c r="E4" s="10">
        <v>0</v>
      </c>
      <c r="F4" s="10">
        <v>0</v>
      </c>
      <c r="G4" s="10">
        <v>0</v>
      </c>
      <c r="H4" s="9">
        <f>D4+F4+'04-01-21'!H4</f>
        <v>0</v>
      </c>
      <c r="I4" s="9">
        <f>E4+G4+'04-01-21'!I4</f>
        <v>0</v>
      </c>
      <c r="J4" s="9">
        <f t="shared" ref="J4:J14" si="0">H4+I4</f>
        <v>0</v>
      </c>
      <c r="K4" s="9">
        <f t="shared" ref="K4:K14" si="1">C4-J4</f>
        <v>3229</v>
      </c>
      <c r="L4" s="9">
        <f t="shared" ref="L4:L14" si="2">C4-((J4/21)*26.0714285714285)</f>
        <v>3229</v>
      </c>
      <c r="M4" s="114"/>
    </row>
    <row r="5" spans="1:13" s="92" customFormat="1" ht="11.25" customHeight="1" x14ac:dyDescent="0.25">
      <c r="A5" s="58" t="s">
        <v>40</v>
      </c>
      <c r="B5" s="102">
        <v>55020200</v>
      </c>
      <c r="C5" s="103">
        <f>24649+14202</f>
        <v>38851</v>
      </c>
      <c r="D5" s="55">
        <v>1077.4000000000001</v>
      </c>
      <c r="E5" s="55">
        <v>20.46</v>
      </c>
      <c r="F5" s="55">
        <v>1509.38</v>
      </c>
      <c r="G5" s="55">
        <v>78.48</v>
      </c>
      <c r="H5" s="9">
        <f>D5+F5+'04-01-21'!H5</f>
        <v>24496.84</v>
      </c>
      <c r="I5" s="9">
        <f>E5+G5+'04-01-21'!I5</f>
        <v>845.90000000000009</v>
      </c>
      <c r="J5" s="9">
        <f t="shared" si="0"/>
        <v>25342.74</v>
      </c>
      <c r="K5" s="9">
        <f t="shared" si="1"/>
        <v>13508.259999999998</v>
      </c>
      <c r="L5" s="9">
        <f t="shared" si="2"/>
        <v>7388.074489796003</v>
      </c>
      <c r="M5" s="115"/>
    </row>
    <row r="6" spans="1:13" s="92" customFormat="1" ht="11.25" customHeight="1" x14ac:dyDescent="0.25">
      <c r="A6" s="22" t="s">
        <v>39</v>
      </c>
      <c r="B6" s="29">
        <v>55020300</v>
      </c>
      <c r="C6" s="9">
        <f>17974+9665</f>
        <v>27639</v>
      </c>
      <c r="D6" s="10">
        <v>811.06</v>
      </c>
      <c r="E6" s="10">
        <v>15.41</v>
      </c>
      <c r="F6" s="10">
        <v>975</v>
      </c>
      <c r="G6" s="10">
        <v>50.7</v>
      </c>
      <c r="H6" s="9">
        <f>D6+F6+'04-01-21'!H6</f>
        <v>13784.83</v>
      </c>
      <c r="I6" s="9">
        <f>E6+G6+'04-01-21'!I6</f>
        <v>480.41</v>
      </c>
      <c r="J6" s="9">
        <f t="shared" si="0"/>
        <v>14265.24</v>
      </c>
      <c r="K6" s="9">
        <f t="shared" si="1"/>
        <v>13373.76</v>
      </c>
      <c r="L6" s="9">
        <f t="shared" si="2"/>
        <v>9928.7530612245391</v>
      </c>
      <c r="M6" s="115"/>
    </row>
    <row r="7" spans="1:13" s="92" customFormat="1" ht="11.25" customHeight="1" x14ac:dyDescent="0.25">
      <c r="A7" s="22" t="s">
        <v>38</v>
      </c>
      <c r="B7" s="29">
        <v>55020400</v>
      </c>
      <c r="C7" s="9">
        <f>17974+9665</f>
        <v>27639</v>
      </c>
      <c r="D7" s="10">
        <f>75.24+504.15</f>
        <v>579.39</v>
      </c>
      <c r="E7" s="10">
        <f>1.42+9.57</f>
        <v>10.99</v>
      </c>
      <c r="F7" s="10">
        <v>1000</v>
      </c>
      <c r="G7" s="10">
        <v>52</v>
      </c>
      <c r="H7" s="9">
        <f>D7+F7+'04-01-21'!H7</f>
        <v>11125.109999999999</v>
      </c>
      <c r="I7" s="9">
        <f>E7+G7+'04-01-21'!I7</f>
        <v>399.65000000000003</v>
      </c>
      <c r="J7" s="9">
        <f t="shared" si="0"/>
        <v>11524.759999999998</v>
      </c>
      <c r="K7" s="9">
        <f t="shared" si="1"/>
        <v>16114.240000000002</v>
      </c>
      <c r="L7" s="9">
        <f t="shared" si="2"/>
        <v>13331.049659863989</v>
      </c>
      <c r="M7" s="115"/>
    </row>
    <row r="8" spans="1:13" s="92" customFormat="1" ht="11.25" customHeight="1" x14ac:dyDescent="0.25">
      <c r="A8" s="22" t="s">
        <v>92</v>
      </c>
      <c r="B8" s="29">
        <v>55030100</v>
      </c>
      <c r="C8" s="9">
        <v>2109</v>
      </c>
      <c r="D8" s="9">
        <v>0</v>
      </c>
      <c r="E8" s="9">
        <v>0</v>
      </c>
      <c r="F8" s="9">
        <v>0</v>
      </c>
      <c r="G8" s="9">
        <v>0</v>
      </c>
      <c r="H8" s="9">
        <f>D8+F8+'04-01-21'!H8</f>
        <v>841.91000000000008</v>
      </c>
      <c r="I8" s="9">
        <f>E8+G8+'04-01-21'!I8</f>
        <v>15.939999999999998</v>
      </c>
      <c r="J8" s="9">
        <f t="shared" si="0"/>
        <v>857.85000000000014</v>
      </c>
      <c r="K8" s="9">
        <f t="shared" si="1"/>
        <v>1251.1499999999999</v>
      </c>
      <c r="L8" s="9">
        <f t="shared" si="2"/>
        <v>1043.9821428571456</v>
      </c>
      <c r="M8" s="115"/>
    </row>
    <row r="9" spans="1:13" s="92" customFormat="1" ht="11.25" customHeight="1" x14ac:dyDescent="0.25">
      <c r="A9" s="54" t="s">
        <v>37</v>
      </c>
      <c r="B9" s="29">
        <v>55030200</v>
      </c>
      <c r="C9" s="9">
        <v>24330</v>
      </c>
      <c r="D9" s="10">
        <f>247.48+827.35</f>
        <v>1074.83</v>
      </c>
      <c r="E9" s="10">
        <f>4.7+15.71</f>
        <v>20.41</v>
      </c>
      <c r="F9" s="10">
        <v>0</v>
      </c>
      <c r="G9" s="10">
        <v>0</v>
      </c>
      <c r="H9" s="9">
        <f>D9+F9+'04-01-21'!H9</f>
        <v>8304.7400000000016</v>
      </c>
      <c r="I9" s="9">
        <f>E9+G9+'04-01-21'!I9</f>
        <v>157.94</v>
      </c>
      <c r="J9" s="9">
        <f t="shared" si="0"/>
        <v>8462.6800000000021</v>
      </c>
      <c r="K9" s="9">
        <f t="shared" si="1"/>
        <v>15867.319999999998</v>
      </c>
      <c r="L9" s="9">
        <f t="shared" si="2"/>
        <v>13823.611564625877</v>
      </c>
      <c r="M9" s="123"/>
    </row>
    <row r="10" spans="1:13" s="92" customFormat="1" ht="11.25" customHeight="1" x14ac:dyDescent="0.25">
      <c r="A10" s="22" t="s">
        <v>36</v>
      </c>
      <c r="B10" s="29">
        <v>55050200</v>
      </c>
      <c r="C10" s="9">
        <f>34000+21500.29+3360</f>
        <v>58860.29</v>
      </c>
      <c r="D10" s="10">
        <v>1528.19</v>
      </c>
      <c r="E10" s="10">
        <v>29.03</v>
      </c>
      <c r="F10" s="10">
        <v>1015.63</v>
      </c>
      <c r="G10" s="10">
        <v>52.81</v>
      </c>
      <c r="H10" s="9">
        <f>D10+F10+'04-01-21'!H10</f>
        <v>35646.879999999997</v>
      </c>
      <c r="I10" s="9">
        <f>E10+G10+'04-01-21'!I10</f>
        <v>1116.0999999999999</v>
      </c>
      <c r="J10" s="9">
        <f t="shared" si="0"/>
        <v>36762.979999999996</v>
      </c>
      <c r="K10" s="9">
        <f t="shared" si="1"/>
        <v>22097.310000000005</v>
      </c>
      <c r="L10" s="9">
        <f t="shared" si="2"/>
        <v>13219.175374149796</v>
      </c>
      <c r="M10" s="124"/>
    </row>
    <row r="11" spans="1:13" s="92" customFormat="1" ht="11.25" hidden="1" customHeight="1" x14ac:dyDescent="0.25">
      <c r="A11" s="22" t="s">
        <v>80</v>
      </c>
      <c r="B11" s="29">
        <v>55050300</v>
      </c>
      <c r="C11" s="97"/>
      <c r="D11" s="9"/>
      <c r="E11" s="9"/>
      <c r="F11" s="9"/>
      <c r="G11" s="9"/>
      <c r="H11" s="9">
        <f>D11+F11+'04-01-21'!H11</f>
        <v>-310</v>
      </c>
      <c r="I11" s="9">
        <f>E11+G11+'04-01-21'!I11</f>
        <v>-5.8900000000000006</v>
      </c>
      <c r="J11" s="9">
        <f t="shared" si="0"/>
        <v>-315.89</v>
      </c>
      <c r="K11" s="9">
        <f t="shared" si="1"/>
        <v>315.89</v>
      </c>
      <c r="L11" s="9">
        <f t="shared" si="2"/>
        <v>392.17636054421661</v>
      </c>
      <c r="M11" s="116"/>
    </row>
    <row r="12" spans="1:13" s="98" customFormat="1" ht="11.25" customHeight="1" x14ac:dyDescent="0.25">
      <c r="A12" s="22" t="s">
        <v>35</v>
      </c>
      <c r="B12" s="29">
        <v>55070100</v>
      </c>
      <c r="C12" s="9">
        <f>42741+9665</f>
        <v>52406</v>
      </c>
      <c r="D12" s="10">
        <v>2545.42</v>
      </c>
      <c r="E12" s="10">
        <v>48.36</v>
      </c>
      <c r="F12" s="10">
        <v>1671.88</v>
      </c>
      <c r="G12" s="10">
        <v>86.93</v>
      </c>
      <c r="H12" s="9">
        <f>D12+F12+'04-01-21'!H12</f>
        <v>37421.759999999995</v>
      </c>
      <c r="I12" s="9">
        <f>E12+G12+'04-01-21'!I12</f>
        <v>1045.1899999999998</v>
      </c>
      <c r="J12" s="9">
        <f t="shared" si="0"/>
        <v>38466.949999999997</v>
      </c>
      <c r="K12" s="9">
        <f t="shared" si="1"/>
        <v>13939.050000000003</v>
      </c>
      <c r="L12" s="9">
        <f t="shared" si="2"/>
        <v>4649.412414966122</v>
      </c>
      <c r="M12" s="124"/>
    </row>
    <row r="13" spans="1:13" s="92" customFormat="1" ht="11.25" customHeight="1" x14ac:dyDescent="0.25">
      <c r="A13" s="22" t="s">
        <v>34</v>
      </c>
      <c r="B13" s="29">
        <v>55080100</v>
      </c>
      <c r="C13" s="9">
        <v>23173</v>
      </c>
      <c r="D13" s="10">
        <v>1829.12</v>
      </c>
      <c r="E13" s="10">
        <v>34.75</v>
      </c>
      <c r="F13" s="10">
        <v>0</v>
      </c>
      <c r="G13" s="10">
        <v>0</v>
      </c>
      <c r="H13" s="9">
        <f>D13+F13+'04-01-21'!H13</f>
        <v>19611.29</v>
      </c>
      <c r="I13" s="9">
        <f>E13+G13+'04-01-21'!I13</f>
        <v>372.51</v>
      </c>
      <c r="J13" s="9">
        <f t="shared" si="0"/>
        <v>19983.8</v>
      </c>
      <c r="K13" s="9">
        <f t="shared" si="1"/>
        <v>3189.2000000000007</v>
      </c>
      <c r="L13" s="9">
        <f t="shared" si="2"/>
        <v>-1636.8197278910884</v>
      </c>
      <c r="M13" s="123"/>
    </row>
    <row r="14" spans="1:13" s="99" customFormat="1" ht="11.25" customHeight="1" x14ac:dyDescent="0.25">
      <c r="A14" s="53" t="s">
        <v>33</v>
      </c>
      <c r="B14" s="33">
        <v>55190000</v>
      </c>
      <c r="C14" s="9">
        <v>6000</v>
      </c>
      <c r="D14" s="10">
        <v>165.8</v>
      </c>
      <c r="E14" s="10">
        <v>3.15</v>
      </c>
      <c r="F14" s="10">
        <v>0</v>
      </c>
      <c r="G14" s="10">
        <v>0</v>
      </c>
      <c r="H14" s="9">
        <f>D14+F14+'04-01-21'!H14</f>
        <v>1385.23</v>
      </c>
      <c r="I14" s="9">
        <f>E14+G14+'04-01-21'!I14</f>
        <v>26.249999999999996</v>
      </c>
      <c r="J14" s="9">
        <f t="shared" si="0"/>
        <v>1411.48</v>
      </c>
      <c r="K14" s="9">
        <f t="shared" si="1"/>
        <v>4588.5200000000004</v>
      </c>
      <c r="L14" s="9">
        <f t="shared" si="2"/>
        <v>4247.652380952386</v>
      </c>
      <c r="M14" s="117"/>
    </row>
    <row r="15" spans="1:13" ht="21.6" customHeight="1" thickBot="1" x14ac:dyDescent="0.3">
      <c r="A15" s="155" t="s">
        <v>32</v>
      </c>
      <c r="B15" s="156"/>
      <c r="C15" s="49">
        <f t="shared" ref="C15:L15" si="3">SUM(C3:C14)</f>
        <v>268444.29000000004</v>
      </c>
      <c r="D15" s="7">
        <f t="shared" si="3"/>
        <v>9611.2099999999991</v>
      </c>
      <c r="E15" s="7">
        <f t="shared" si="3"/>
        <v>182.56000000000003</v>
      </c>
      <c r="F15" s="7">
        <f t="shared" si="3"/>
        <v>6171.89</v>
      </c>
      <c r="G15" s="7">
        <f t="shared" si="3"/>
        <v>320.92</v>
      </c>
      <c r="H15" s="7">
        <f t="shared" si="3"/>
        <v>152308.59000000003</v>
      </c>
      <c r="I15" s="7">
        <f t="shared" si="3"/>
        <v>4454.0000000000009</v>
      </c>
      <c r="J15" s="49">
        <f t="shared" si="3"/>
        <v>156762.59</v>
      </c>
      <c r="K15" s="49">
        <f t="shared" si="3"/>
        <v>111681.70000000001</v>
      </c>
      <c r="L15" s="7">
        <f t="shared" si="3"/>
        <v>73824.06772108897</v>
      </c>
    </row>
    <row r="16" spans="1:13" ht="11.25" customHeight="1" x14ac:dyDescent="0.25">
      <c r="A16" s="52"/>
      <c r="B16" s="41"/>
      <c r="C16" s="39"/>
      <c r="D16" s="39"/>
      <c r="E16" s="39"/>
      <c r="F16" s="39"/>
      <c r="G16" s="39"/>
      <c r="H16" s="39"/>
      <c r="I16" s="39"/>
      <c r="J16" s="39"/>
      <c r="K16" s="39"/>
      <c r="L16" s="51"/>
    </row>
    <row r="17" spans="1:13" ht="11.25" customHeight="1" thickBot="1" x14ac:dyDescent="0.3">
      <c r="A17" s="38"/>
      <c r="B17" s="37"/>
      <c r="C17" s="35"/>
      <c r="D17" s="35"/>
      <c r="E17" s="35"/>
      <c r="F17" s="35"/>
      <c r="G17" s="35"/>
      <c r="H17" s="35"/>
      <c r="I17" s="35"/>
      <c r="J17" s="35"/>
      <c r="K17" s="35"/>
      <c r="L17" s="50"/>
    </row>
    <row r="18" spans="1:13" s="92" customFormat="1" ht="11.45" customHeight="1" x14ac:dyDescent="0.25">
      <c r="A18" s="13" t="s">
        <v>31</v>
      </c>
      <c r="B18" s="33">
        <v>55090100</v>
      </c>
      <c r="C18" s="9">
        <v>26923</v>
      </c>
      <c r="D18" s="10">
        <v>0</v>
      </c>
      <c r="E18" s="10">
        <v>0</v>
      </c>
      <c r="F18" s="10">
        <v>0</v>
      </c>
      <c r="G18" s="10">
        <v>0</v>
      </c>
      <c r="H18" s="9">
        <f>D18+F18+'04-01-21'!H18</f>
        <v>13503</v>
      </c>
      <c r="I18" s="9">
        <f>E18+G18+'04-01-21'!I18</f>
        <v>702.13999999999987</v>
      </c>
      <c r="J18" s="9">
        <f t="shared" ref="J18:J20" si="4">H18+I18</f>
        <v>14205.14</v>
      </c>
      <c r="K18" s="9">
        <f>C18-J18</f>
        <v>12717.86</v>
      </c>
      <c r="L18" s="9">
        <f t="shared" ref="L18:L20" si="5">C18-((J18/21)*26.0714285714285)</f>
        <v>9287.3670068027714</v>
      </c>
      <c r="M18" s="115"/>
    </row>
    <row r="19" spans="1:13" s="92" customFormat="1" ht="11.45" customHeight="1" x14ac:dyDescent="0.25">
      <c r="A19" s="22" t="s">
        <v>30</v>
      </c>
      <c r="B19" s="29">
        <v>55160100</v>
      </c>
      <c r="C19" s="9">
        <f>16062-2109</f>
        <v>13953</v>
      </c>
      <c r="D19" s="9">
        <v>0</v>
      </c>
      <c r="E19" s="9">
        <v>0</v>
      </c>
      <c r="F19" s="10">
        <v>0</v>
      </c>
      <c r="G19" s="10">
        <v>0</v>
      </c>
      <c r="H19" s="9">
        <f>D19+F19+'04-01-21'!H19</f>
        <v>0</v>
      </c>
      <c r="I19" s="9">
        <f>E19+G19+'04-01-21'!I19</f>
        <v>0</v>
      </c>
      <c r="J19" s="9">
        <f t="shared" si="4"/>
        <v>0</v>
      </c>
      <c r="K19" s="9">
        <f t="shared" ref="K19:K20" si="6">C19-J19</f>
        <v>13953</v>
      </c>
      <c r="L19" s="9">
        <f t="shared" si="5"/>
        <v>13953</v>
      </c>
      <c r="M19" s="115"/>
    </row>
    <row r="20" spans="1:13" s="92" customFormat="1" ht="11.45" customHeight="1" x14ac:dyDescent="0.25">
      <c r="A20" s="13" t="s">
        <v>29</v>
      </c>
      <c r="B20" s="33">
        <v>55100100</v>
      </c>
      <c r="C20" s="9">
        <v>2026</v>
      </c>
      <c r="D20" s="10">
        <v>0</v>
      </c>
      <c r="E20" s="10">
        <v>0</v>
      </c>
      <c r="F20" s="10">
        <v>0</v>
      </c>
      <c r="G20" s="10">
        <v>0</v>
      </c>
      <c r="H20" s="9">
        <f>D20+F20+'04-01-21'!H20</f>
        <v>936.46</v>
      </c>
      <c r="I20" s="9">
        <f>E20+G20+'04-01-21'!I20</f>
        <v>16.864999999999998</v>
      </c>
      <c r="J20" s="9">
        <f t="shared" si="4"/>
        <v>953.32500000000005</v>
      </c>
      <c r="K20" s="9">
        <f t="shared" si="6"/>
        <v>1072.675</v>
      </c>
      <c r="L20" s="9">
        <f t="shared" si="5"/>
        <v>842.45025510204414</v>
      </c>
      <c r="M20" s="115"/>
    </row>
    <row r="21" spans="1:13" ht="21.6" customHeight="1" thickBot="1" x14ac:dyDescent="0.3">
      <c r="A21" s="155" t="s">
        <v>28</v>
      </c>
      <c r="B21" s="156"/>
      <c r="C21" s="7">
        <f t="shared" ref="C21:L21" si="7">SUM(C18:C20)</f>
        <v>42902</v>
      </c>
      <c r="D21" s="7">
        <f t="shared" si="7"/>
        <v>0</v>
      </c>
      <c r="E21" s="7">
        <f t="shared" si="7"/>
        <v>0</v>
      </c>
      <c r="F21" s="7">
        <f t="shared" si="7"/>
        <v>0</v>
      </c>
      <c r="G21" s="7">
        <f t="shared" si="7"/>
        <v>0</v>
      </c>
      <c r="H21" s="7">
        <f t="shared" si="7"/>
        <v>14439.46</v>
      </c>
      <c r="I21" s="7">
        <f t="shared" si="7"/>
        <v>719.00499999999988</v>
      </c>
      <c r="J21" s="49">
        <f t="shared" si="7"/>
        <v>15158.465</v>
      </c>
      <c r="K21" s="7">
        <f t="shared" si="7"/>
        <v>27743.535</v>
      </c>
      <c r="L21" s="7">
        <f t="shared" si="7"/>
        <v>24082.817261904816</v>
      </c>
    </row>
    <row r="22" spans="1:13" ht="11.25" customHeight="1" x14ac:dyDescent="0.25">
      <c r="A22" s="42"/>
      <c r="B22" s="41"/>
      <c r="C22" s="39"/>
      <c r="D22" s="39"/>
      <c r="E22" s="39"/>
      <c r="F22" s="39"/>
      <c r="G22" s="39"/>
      <c r="H22" s="39"/>
      <c r="I22" s="39"/>
      <c r="J22" s="39"/>
      <c r="K22" s="39"/>
      <c r="L22" s="51"/>
    </row>
    <row r="23" spans="1:13" ht="11.25" customHeight="1" thickBot="1" x14ac:dyDescent="0.3">
      <c r="A23" s="38"/>
      <c r="B23" s="37"/>
      <c r="C23" s="35"/>
      <c r="D23" s="35"/>
      <c r="E23" s="35"/>
      <c r="F23" s="35"/>
      <c r="G23" s="35"/>
      <c r="H23" s="35"/>
      <c r="I23" s="35"/>
      <c r="J23" s="35"/>
      <c r="K23" s="35"/>
      <c r="L23" s="50"/>
    </row>
    <row r="24" spans="1:13" s="99" customFormat="1" ht="11.45" customHeight="1" x14ac:dyDescent="0.25">
      <c r="A24" s="13" t="s">
        <v>27</v>
      </c>
      <c r="B24" s="33">
        <v>55200000</v>
      </c>
      <c r="C24" s="9">
        <v>25000</v>
      </c>
      <c r="D24" s="10">
        <v>210</v>
      </c>
      <c r="E24" s="10">
        <v>3.99</v>
      </c>
      <c r="F24" s="10">
        <v>0</v>
      </c>
      <c r="G24" s="10">
        <v>0</v>
      </c>
      <c r="H24" s="9">
        <f>D24+F24+'04-01-21'!H24</f>
        <v>9836.25</v>
      </c>
      <c r="I24" s="9">
        <f>E24+G24+'04-01-21'!I24</f>
        <v>186.79000000000002</v>
      </c>
      <c r="J24" s="9">
        <f t="shared" ref="J24:J26" si="8">H24+I24</f>
        <v>10023.040000000001</v>
      </c>
      <c r="K24" s="9">
        <f>C24-J24</f>
        <v>14976.96</v>
      </c>
      <c r="L24" s="9">
        <f t="shared" ref="L24:L26" si="9">C24-((J24/21)*26.0714285714285)</f>
        <v>12556.429931972823</v>
      </c>
      <c r="M24" s="118"/>
    </row>
    <row r="25" spans="1:13" s="99" customFormat="1" ht="11.45" hidden="1" customHeight="1" x14ac:dyDescent="0.25">
      <c r="A25" s="13" t="s">
        <v>26</v>
      </c>
      <c r="B25" s="100" t="s">
        <v>25</v>
      </c>
      <c r="C25" s="46">
        <v>0</v>
      </c>
      <c r="D25" s="45"/>
      <c r="E25" s="45"/>
      <c r="F25" s="45"/>
      <c r="G25" s="45"/>
      <c r="H25" s="9">
        <f>D25+F25+'04-01-21'!H25</f>
        <v>0</v>
      </c>
      <c r="I25" s="9">
        <f>E25+G25+'04-01-21'!I25</f>
        <v>-9.9999999999997868E-3</v>
      </c>
      <c r="J25" s="9">
        <f t="shared" si="8"/>
        <v>-9.9999999999997868E-3</v>
      </c>
      <c r="K25" s="75">
        <f t="shared" ref="K25:K26" si="10">C25-J25</f>
        <v>9.9999999999997868E-3</v>
      </c>
      <c r="L25" s="9">
        <f t="shared" si="9"/>
        <v>1.2414965986394258E-2</v>
      </c>
      <c r="M25" s="118"/>
    </row>
    <row r="26" spans="1:13" s="99" customFormat="1" ht="10.9" customHeight="1" x14ac:dyDescent="0.25">
      <c r="A26" s="28" t="s">
        <v>24</v>
      </c>
      <c r="B26" s="47" t="s">
        <v>23</v>
      </c>
      <c r="C26" s="46">
        <v>0</v>
      </c>
      <c r="D26" s="45">
        <v>0</v>
      </c>
      <c r="E26" s="45">
        <v>0</v>
      </c>
      <c r="F26" s="45">
        <v>0</v>
      </c>
      <c r="G26" s="45">
        <v>0</v>
      </c>
      <c r="H26" s="9">
        <f>D26+F26+'04-01-21'!H26</f>
        <v>0</v>
      </c>
      <c r="I26" s="9">
        <f>E26+G26+'04-01-21'!I26</f>
        <v>0</v>
      </c>
      <c r="J26" s="9">
        <f t="shared" si="8"/>
        <v>0</v>
      </c>
      <c r="K26" s="9">
        <f t="shared" si="10"/>
        <v>0</v>
      </c>
      <c r="L26" s="9">
        <f t="shared" si="9"/>
        <v>0</v>
      </c>
      <c r="M26" s="117"/>
    </row>
    <row r="27" spans="1:13" ht="24.75" customHeight="1" thickBot="1" x14ac:dyDescent="0.3">
      <c r="A27" s="157" t="s">
        <v>22</v>
      </c>
      <c r="B27" s="158"/>
      <c r="C27" s="43">
        <f>SUM(C24:C25)</f>
        <v>25000</v>
      </c>
      <c r="D27" s="43">
        <f t="shared" ref="D27:L27" si="11">SUM(D24:D26)</f>
        <v>210</v>
      </c>
      <c r="E27" s="43">
        <f t="shared" si="11"/>
        <v>3.99</v>
      </c>
      <c r="F27" s="43">
        <f t="shared" si="11"/>
        <v>0</v>
      </c>
      <c r="G27" s="43">
        <f t="shared" si="11"/>
        <v>0</v>
      </c>
      <c r="H27" s="43">
        <f t="shared" si="11"/>
        <v>9836.25</v>
      </c>
      <c r="I27" s="43">
        <f t="shared" si="11"/>
        <v>186.78000000000003</v>
      </c>
      <c r="J27" s="43">
        <f t="shared" si="11"/>
        <v>10023.030000000001</v>
      </c>
      <c r="K27" s="43">
        <f t="shared" si="11"/>
        <v>14976.97</v>
      </c>
      <c r="L27" s="34">
        <f t="shared" si="11"/>
        <v>12556.442346938809</v>
      </c>
    </row>
    <row r="28" spans="1:13" ht="11.25" customHeight="1" x14ac:dyDescent="0.25">
      <c r="A28" s="42"/>
      <c r="B28" s="41"/>
      <c r="C28" s="39"/>
      <c r="D28" s="39"/>
      <c r="E28" s="39"/>
      <c r="F28" s="39"/>
      <c r="G28" s="39"/>
      <c r="H28" s="39"/>
      <c r="I28" s="39"/>
      <c r="J28" s="39"/>
      <c r="K28" s="39"/>
      <c r="L28" s="39"/>
    </row>
    <row r="29" spans="1:13" ht="11.25" customHeight="1" thickBot="1" x14ac:dyDescent="0.3">
      <c r="A29" s="38"/>
      <c r="B29" s="37"/>
      <c r="C29" s="35"/>
      <c r="D29" s="35"/>
      <c r="E29" s="35"/>
      <c r="F29" s="35"/>
      <c r="G29" s="35"/>
      <c r="H29" s="35"/>
      <c r="I29" s="35"/>
      <c r="J29" s="35"/>
      <c r="K29" s="35"/>
      <c r="L29" s="35"/>
    </row>
    <row r="30" spans="1:13" ht="21.6" customHeight="1" x14ac:dyDescent="0.25">
      <c r="A30" s="159" t="s">
        <v>21</v>
      </c>
      <c r="B30" s="159"/>
      <c r="C30" s="34">
        <f>C15+C21+C27</f>
        <v>336346.29000000004</v>
      </c>
      <c r="D30" s="34">
        <f t="shared" ref="D30:L30" si="12">D15+D21+D27</f>
        <v>9821.2099999999991</v>
      </c>
      <c r="E30" s="34">
        <f t="shared" si="12"/>
        <v>186.55000000000004</v>
      </c>
      <c r="F30" s="34">
        <f t="shared" si="12"/>
        <v>6171.89</v>
      </c>
      <c r="G30" s="34">
        <f t="shared" si="12"/>
        <v>320.92</v>
      </c>
      <c r="H30" s="34">
        <f t="shared" si="12"/>
        <v>176584.30000000002</v>
      </c>
      <c r="I30" s="34">
        <f t="shared" si="12"/>
        <v>5359.7850000000008</v>
      </c>
      <c r="J30" s="34">
        <f t="shared" si="12"/>
        <v>181944.08499999999</v>
      </c>
      <c r="K30" s="34">
        <f t="shared" si="12"/>
        <v>154402.20500000002</v>
      </c>
      <c r="L30" s="34">
        <f t="shared" si="12"/>
        <v>110463.3273299326</v>
      </c>
    </row>
    <row r="31" spans="1:13" ht="10.9" customHeight="1" x14ac:dyDescent="0.25">
      <c r="A31" s="17"/>
      <c r="B31" s="16"/>
      <c r="C31" s="15"/>
      <c r="D31" s="15"/>
      <c r="E31" s="15"/>
      <c r="F31" s="15"/>
      <c r="G31" s="15"/>
      <c r="H31" s="15"/>
      <c r="I31" s="15"/>
      <c r="J31" s="15"/>
      <c r="K31" s="15"/>
      <c r="L31" s="15"/>
    </row>
    <row r="32" spans="1:13" ht="11.25" customHeight="1" x14ac:dyDescent="0.25">
      <c r="A32" s="17"/>
      <c r="B32" s="16"/>
      <c r="C32" s="15"/>
      <c r="D32" s="15"/>
      <c r="E32" s="15"/>
      <c r="F32" s="15"/>
      <c r="G32" s="15"/>
      <c r="H32" s="15"/>
      <c r="I32" s="15"/>
      <c r="J32" s="15"/>
      <c r="K32" s="15"/>
      <c r="L32" s="15"/>
    </row>
    <row r="33" spans="1:13" s="104" customFormat="1" ht="11.25" customHeight="1" x14ac:dyDescent="0.25">
      <c r="A33" s="28" t="s">
        <v>20</v>
      </c>
      <c r="B33" s="27" t="s">
        <v>19</v>
      </c>
      <c r="C33" s="9">
        <v>0</v>
      </c>
      <c r="D33" s="10">
        <v>0</v>
      </c>
      <c r="E33" s="10">
        <v>0</v>
      </c>
      <c r="F33" s="10">
        <v>0</v>
      </c>
      <c r="G33" s="10">
        <v>0</v>
      </c>
      <c r="H33" s="9">
        <f>D33+F33+'04-01-21'!H33</f>
        <v>0</v>
      </c>
      <c r="I33" s="9">
        <f>E33+G33+'04-01-21'!I33</f>
        <v>0</v>
      </c>
      <c r="J33" s="9">
        <f t="shared" ref="J33:J50" si="13">H33+I33</f>
        <v>0</v>
      </c>
      <c r="K33" s="9">
        <f>C33-J33</f>
        <v>0</v>
      </c>
      <c r="L33" s="9">
        <f t="shared" ref="L33:L50" si="14">C33-((J33/21)*26.0714285714285)</f>
        <v>0</v>
      </c>
      <c r="M33" s="119"/>
    </row>
    <row r="34" spans="1:13" s="104" customFormat="1" ht="12" customHeight="1" x14ac:dyDescent="0.25">
      <c r="A34" s="32" t="s">
        <v>123</v>
      </c>
      <c r="B34" s="132" t="s">
        <v>55</v>
      </c>
      <c r="C34" s="9">
        <f>2795.22+12000</f>
        <v>14795.22</v>
      </c>
      <c r="D34" s="10">
        <v>0</v>
      </c>
      <c r="E34" s="10">
        <v>0</v>
      </c>
      <c r="F34" s="10">
        <v>48</v>
      </c>
      <c r="G34" s="10">
        <v>2.4900000000000002</v>
      </c>
      <c r="H34" s="9">
        <f>D34+F34+'04-01-21'!H34</f>
        <v>8090</v>
      </c>
      <c r="I34" s="9">
        <f>E34+G34+'04-01-21'!I34</f>
        <v>368.86</v>
      </c>
      <c r="J34" s="9">
        <f>H34+I34</f>
        <v>8458.86</v>
      </c>
      <c r="K34" s="9">
        <f>C34-J34</f>
        <v>6336.3599999999988</v>
      </c>
      <c r="L34" s="9">
        <f t="shared" si="14"/>
        <v>4293.5740816326797</v>
      </c>
      <c r="M34" s="129"/>
    </row>
    <row r="35" spans="1:13" s="104" customFormat="1" ht="11.25" hidden="1" customHeight="1" x14ac:dyDescent="0.25">
      <c r="A35" s="32" t="s">
        <v>18</v>
      </c>
      <c r="B35" s="27" t="s">
        <v>17</v>
      </c>
      <c r="C35" s="105">
        <v>0</v>
      </c>
      <c r="D35" s="10"/>
      <c r="E35" s="10"/>
      <c r="F35" s="10"/>
      <c r="G35" s="10"/>
      <c r="H35" s="9">
        <f>D35+F35+'04-01-21'!H35</f>
        <v>0</v>
      </c>
      <c r="I35" s="9">
        <f>E35+G35+'04-01-21'!I35</f>
        <v>-1.0000000000005116E-2</v>
      </c>
      <c r="J35" s="9">
        <f t="shared" si="13"/>
        <v>-1.0000000000005116E-2</v>
      </c>
      <c r="K35" s="9">
        <f t="shared" ref="K35:K48" si="15">C35-J35</f>
        <v>1.0000000000005116E-2</v>
      </c>
      <c r="L35" s="9">
        <f t="shared" si="14"/>
        <v>1.2414965986400874E-2</v>
      </c>
      <c r="M35" s="119"/>
    </row>
    <row r="36" spans="1:13" s="106" customFormat="1" ht="9.75" customHeight="1" x14ac:dyDescent="0.25">
      <c r="A36" s="28" t="s">
        <v>16</v>
      </c>
      <c r="B36" s="29" t="s">
        <v>15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f>D36+F36+'04-01-21'!H36</f>
        <v>0</v>
      </c>
      <c r="I36" s="9">
        <f>E36+G36+'04-01-21'!I36</f>
        <v>0</v>
      </c>
      <c r="J36" s="9">
        <f t="shared" si="13"/>
        <v>0</v>
      </c>
      <c r="K36" s="9">
        <f t="shared" si="15"/>
        <v>0</v>
      </c>
      <c r="L36" s="9">
        <f t="shared" si="14"/>
        <v>0</v>
      </c>
      <c r="M36" s="120"/>
    </row>
    <row r="37" spans="1:13" s="106" customFormat="1" ht="11.25" customHeight="1" x14ac:dyDescent="0.25">
      <c r="A37" s="28" t="s">
        <v>125</v>
      </c>
      <c r="B37" s="132" t="s">
        <v>13</v>
      </c>
      <c r="C37" s="9">
        <f>2500</f>
        <v>2500</v>
      </c>
      <c r="D37" s="9">
        <v>113.38</v>
      </c>
      <c r="E37" s="9">
        <v>2.15</v>
      </c>
      <c r="F37" s="9">
        <v>0</v>
      </c>
      <c r="G37" s="9">
        <v>0</v>
      </c>
      <c r="H37" s="9">
        <f>D37+F37+'04-01-21'!H37</f>
        <v>1535.1899999999996</v>
      </c>
      <c r="I37" s="9">
        <f>E37+G37+'04-01-21'!I37</f>
        <v>29.049999999999997</v>
      </c>
      <c r="J37" s="10">
        <f t="shared" si="13"/>
        <v>1564.2399999999996</v>
      </c>
      <c r="K37" s="9">
        <f t="shared" si="15"/>
        <v>935.76000000000045</v>
      </c>
      <c r="L37" s="9">
        <f t="shared" si="14"/>
        <v>558.00136054422387</v>
      </c>
      <c r="M37" s="116"/>
    </row>
    <row r="38" spans="1:13" s="106" customFormat="1" ht="11.25" customHeight="1" x14ac:dyDescent="0.25">
      <c r="A38" s="28" t="s">
        <v>12</v>
      </c>
      <c r="B38" s="29">
        <v>55110100</v>
      </c>
      <c r="C38" s="9">
        <f>2659+6100</f>
        <v>8759</v>
      </c>
      <c r="D38" s="9">
        <v>0</v>
      </c>
      <c r="E38" s="9">
        <v>0</v>
      </c>
      <c r="F38" s="9">
        <v>1200</v>
      </c>
      <c r="G38" s="9">
        <v>62.4</v>
      </c>
      <c r="H38" s="9">
        <f>D38+F38+'04-01-21'!H38</f>
        <v>10260</v>
      </c>
      <c r="I38" s="9">
        <f>E38+G38+'04-01-21'!I38</f>
        <v>432.53</v>
      </c>
      <c r="J38" s="9">
        <f>H38+I38</f>
        <v>10692.53</v>
      </c>
      <c r="K38" s="107">
        <f t="shared" si="15"/>
        <v>-1933.5300000000007</v>
      </c>
      <c r="L38" s="9">
        <f t="shared" si="14"/>
        <v>-4515.7396258503031</v>
      </c>
      <c r="M38" s="124"/>
    </row>
    <row r="39" spans="1:13" s="106" customFormat="1" ht="11.45" customHeight="1" x14ac:dyDescent="0.25">
      <c r="A39" s="28" t="s">
        <v>11</v>
      </c>
      <c r="B39" s="27" t="s">
        <v>10</v>
      </c>
      <c r="C39" s="9">
        <v>0</v>
      </c>
      <c r="D39" s="10">
        <v>0</v>
      </c>
      <c r="E39" s="10">
        <v>0</v>
      </c>
      <c r="F39" s="10">
        <v>0</v>
      </c>
      <c r="G39" s="10">
        <v>0</v>
      </c>
      <c r="H39" s="9">
        <f>D39+F39+'04-01-21'!H39</f>
        <v>0</v>
      </c>
      <c r="I39" s="9">
        <f>E39+G39+'04-01-21'!I39</f>
        <v>0</v>
      </c>
      <c r="J39" s="9">
        <f t="shared" si="13"/>
        <v>0</v>
      </c>
      <c r="K39" s="9">
        <f t="shared" si="15"/>
        <v>0</v>
      </c>
      <c r="L39" s="9">
        <f t="shared" si="14"/>
        <v>0</v>
      </c>
      <c r="M39" s="126"/>
    </row>
    <row r="40" spans="1:13" s="106" customFormat="1" ht="11.45" customHeight="1" x14ac:dyDescent="0.25">
      <c r="A40" s="25" t="s">
        <v>105</v>
      </c>
      <c r="B40" s="108" t="s">
        <v>69</v>
      </c>
      <c r="C40" s="9">
        <v>1500</v>
      </c>
      <c r="D40" s="9">
        <v>0</v>
      </c>
      <c r="E40" s="9">
        <v>0</v>
      </c>
      <c r="F40" s="9">
        <v>0</v>
      </c>
      <c r="G40" s="9">
        <v>0</v>
      </c>
      <c r="H40" s="9">
        <f>D40+F40+'04-01-21'!H40</f>
        <v>1122.3499999999997</v>
      </c>
      <c r="I40" s="9">
        <f>E40+G40+'04-01-21'!I40</f>
        <v>21.117000000000004</v>
      </c>
      <c r="J40" s="9">
        <f t="shared" si="13"/>
        <v>1143.4669999999996</v>
      </c>
      <c r="K40" s="9">
        <f t="shared" si="15"/>
        <v>356.53300000000036</v>
      </c>
      <c r="L40" s="9">
        <f t="shared" si="14"/>
        <v>80.389608843541964</v>
      </c>
      <c r="M40" s="126"/>
    </row>
    <row r="41" spans="1:13" s="106" customFormat="1" ht="11.45" customHeight="1" x14ac:dyDescent="0.25">
      <c r="A41" s="25" t="s">
        <v>89</v>
      </c>
      <c r="B41" s="108" t="s">
        <v>88</v>
      </c>
      <c r="C41" s="9">
        <v>1200</v>
      </c>
      <c r="D41" s="9">
        <v>0</v>
      </c>
      <c r="E41" s="9">
        <v>0</v>
      </c>
      <c r="F41" s="9">
        <v>0</v>
      </c>
      <c r="G41" s="9">
        <v>0</v>
      </c>
      <c r="H41" s="9">
        <f>D41+F41+'04-01-21'!H41</f>
        <v>633.79999999999995</v>
      </c>
      <c r="I41" s="9">
        <f>E41+G41+'04-01-21'!I41</f>
        <v>11.979999999999999</v>
      </c>
      <c r="J41" s="9">
        <f t="shared" si="13"/>
        <v>645.78</v>
      </c>
      <c r="K41" s="9">
        <f>C41-J41</f>
        <v>554.22</v>
      </c>
      <c r="L41" s="9">
        <f t="shared" si="14"/>
        <v>398.26632653061461</v>
      </c>
      <c r="M41" s="120"/>
    </row>
    <row r="42" spans="1:13" s="98" customFormat="1" ht="11.45" customHeight="1" x14ac:dyDescent="0.25">
      <c r="A42" s="25" t="s">
        <v>61</v>
      </c>
      <c r="B42" s="108" t="s">
        <v>62</v>
      </c>
      <c r="C42" s="9">
        <f>9800+1200</f>
        <v>11000</v>
      </c>
      <c r="D42" s="9">
        <v>270</v>
      </c>
      <c r="E42" s="9">
        <v>5.13</v>
      </c>
      <c r="F42" s="9">
        <v>0</v>
      </c>
      <c r="G42" s="9">
        <v>0</v>
      </c>
      <c r="H42" s="9">
        <f>D42+F42+'04-01-21'!H42</f>
        <v>10611</v>
      </c>
      <c r="I42" s="9">
        <f>E42+G42+'04-01-21'!I42</f>
        <v>439.96999999999997</v>
      </c>
      <c r="J42" s="9">
        <f t="shared" si="13"/>
        <v>11050.97</v>
      </c>
      <c r="K42" s="107">
        <f>C42-J42</f>
        <v>-50.969999999999345</v>
      </c>
      <c r="L42" s="9">
        <f t="shared" si="14"/>
        <v>-2719.7416666666286</v>
      </c>
      <c r="M42" s="116"/>
    </row>
    <row r="43" spans="1:13" s="98" customFormat="1" ht="11.45" customHeight="1" x14ac:dyDescent="0.25">
      <c r="A43" s="25" t="s">
        <v>59</v>
      </c>
      <c r="B43" s="108" t="s">
        <v>60</v>
      </c>
      <c r="C43" s="9">
        <f>2453.12+2598.45+16442.41</f>
        <v>21493.98</v>
      </c>
      <c r="D43" s="9">
        <v>258.75</v>
      </c>
      <c r="E43" s="9">
        <v>4.91</v>
      </c>
      <c r="F43" s="9">
        <v>0</v>
      </c>
      <c r="G43" s="9">
        <v>0</v>
      </c>
      <c r="H43" s="9">
        <f>D43+F43+'04-01-21'!H43</f>
        <v>5491.33</v>
      </c>
      <c r="I43" s="9">
        <f>E43+G43+'04-01-21'!I43</f>
        <v>104.22999999999999</v>
      </c>
      <c r="J43" s="9">
        <f t="shared" si="13"/>
        <v>5595.5599999999995</v>
      </c>
      <c r="K43" s="9">
        <f>C43-J43</f>
        <v>15898.42</v>
      </c>
      <c r="L43" s="9">
        <f t="shared" si="14"/>
        <v>14547.111292517027</v>
      </c>
      <c r="M43" s="116"/>
    </row>
    <row r="44" spans="1:13" s="98" customFormat="1" ht="11.45" customHeight="1" x14ac:dyDescent="0.25">
      <c r="A44" s="25" t="s">
        <v>70</v>
      </c>
      <c r="B44" s="108" t="s">
        <v>71</v>
      </c>
      <c r="C44" s="9">
        <v>5600</v>
      </c>
      <c r="D44" s="9">
        <v>0</v>
      </c>
      <c r="E44" s="9">
        <v>0</v>
      </c>
      <c r="F44" s="9">
        <v>0</v>
      </c>
      <c r="G44" s="9">
        <v>0</v>
      </c>
      <c r="H44" s="9">
        <f>D44+F44+'04-01-21'!H44</f>
        <v>4041.7000000000003</v>
      </c>
      <c r="I44" s="9">
        <f>E44+G44+'04-01-21'!I44</f>
        <v>76.720000000000013</v>
      </c>
      <c r="J44" s="9">
        <f t="shared" si="13"/>
        <v>4118.42</v>
      </c>
      <c r="K44" s="9">
        <f t="shared" ref="K44" si="16">C44-J44</f>
        <v>1481.58</v>
      </c>
      <c r="L44" s="9">
        <f t="shared" si="14"/>
        <v>486.99557823130635</v>
      </c>
      <c r="M44" s="116"/>
    </row>
    <row r="45" spans="1:13" s="98" customFormat="1" ht="11.45" customHeight="1" x14ac:dyDescent="0.25">
      <c r="A45" s="25" t="s">
        <v>7</v>
      </c>
      <c r="B45" s="108" t="s">
        <v>6</v>
      </c>
      <c r="C45" s="9">
        <v>1609.56</v>
      </c>
      <c r="D45" s="9">
        <v>120</v>
      </c>
      <c r="E45" s="9">
        <v>2.2799999999999998</v>
      </c>
      <c r="F45" s="9">
        <v>0</v>
      </c>
      <c r="G45" s="9">
        <v>0</v>
      </c>
      <c r="H45" s="9">
        <f>D45+F45+'04-01-21'!H45</f>
        <v>1102.5</v>
      </c>
      <c r="I45" s="9">
        <f>E45+G45+'04-01-21'!I45</f>
        <v>20.92</v>
      </c>
      <c r="J45" s="9">
        <f t="shared" si="13"/>
        <v>1123.42</v>
      </c>
      <c r="K45" s="9">
        <f>C45-J45</f>
        <v>486.13999999999987</v>
      </c>
      <c r="L45" s="9">
        <f t="shared" si="14"/>
        <v>214.83789115646641</v>
      </c>
      <c r="M45" s="116"/>
    </row>
    <row r="46" spans="1:13" s="98" customFormat="1" ht="11.45" customHeight="1" x14ac:dyDescent="0.25">
      <c r="A46" s="25" t="s">
        <v>9</v>
      </c>
      <c r="B46" s="108" t="s">
        <v>8</v>
      </c>
      <c r="C46" s="9">
        <v>0</v>
      </c>
      <c r="D46" s="10">
        <v>0</v>
      </c>
      <c r="E46" s="10">
        <v>0</v>
      </c>
      <c r="F46" s="10">
        <v>0</v>
      </c>
      <c r="G46" s="10">
        <v>0</v>
      </c>
      <c r="H46" s="9">
        <f>D46+F46+'04-01-21'!H46</f>
        <v>0</v>
      </c>
      <c r="I46" s="9">
        <f>E46+G46+'04-01-21'!I46</f>
        <v>0</v>
      </c>
      <c r="J46" s="9">
        <f t="shared" si="13"/>
        <v>0</v>
      </c>
      <c r="K46" s="9">
        <f t="shared" si="15"/>
        <v>0</v>
      </c>
      <c r="L46" s="9">
        <f t="shared" si="14"/>
        <v>0</v>
      </c>
      <c r="M46" s="116"/>
    </row>
    <row r="47" spans="1:13" s="98" customFormat="1" ht="11.45" customHeight="1" x14ac:dyDescent="0.25">
      <c r="A47" s="25" t="s">
        <v>63</v>
      </c>
      <c r="B47" s="108" t="s">
        <v>66</v>
      </c>
      <c r="C47" s="9">
        <v>1784.19</v>
      </c>
      <c r="D47" s="10">
        <v>0</v>
      </c>
      <c r="E47" s="10">
        <v>0</v>
      </c>
      <c r="F47" s="10">
        <v>0</v>
      </c>
      <c r="G47" s="10">
        <v>0</v>
      </c>
      <c r="H47" s="9">
        <f>D47+F47+'04-01-21'!H47</f>
        <v>1504</v>
      </c>
      <c r="I47" s="9">
        <f>E47+G47+'04-01-21'!I47</f>
        <v>78.179999999999993</v>
      </c>
      <c r="J47" s="9">
        <f t="shared" si="13"/>
        <v>1582.18</v>
      </c>
      <c r="K47" s="9">
        <f t="shared" si="15"/>
        <v>202.01</v>
      </c>
      <c r="L47" s="9">
        <f t="shared" si="14"/>
        <v>-180.08108843536888</v>
      </c>
      <c r="M47" s="116"/>
    </row>
    <row r="48" spans="1:13" s="98" customFormat="1" ht="11.45" hidden="1" customHeight="1" x14ac:dyDescent="0.25">
      <c r="A48" s="25" t="s">
        <v>64</v>
      </c>
      <c r="B48" s="108" t="s">
        <v>65</v>
      </c>
      <c r="C48" s="97"/>
      <c r="D48" s="10"/>
      <c r="E48" s="10"/>
      <c r="F48" s="10"/>
      <c r="G48" s="10"/>
      <c r="H48" s="9">
        <f>D48+F48+'04-01-21'!H48</f>
        <v>0</v>
      </c>
      <c r="I48" s="9">
        <f>E48+G48+'04-01-21'!I48</f>
        <v>0</v>
      </c>
      <c r="J48" s="9">
        <f t="shared" si="13"/>
        <v>0</v>
      </c>
      <c r="K48" s="9">
        <f t="shared" si="15"/>
        <v>0</v>
      </c>
      <c r="L48" s="9">
        <f t="shared" si="14"/>
        <v>0</v>
      </c>
      <c r="M48" s="116"/>
    </row>
    <row r="49" spans="1:13" s="110" customFormat="1" ht="11.25" customHeight="1" x14ac:dyDescent="0.25">
      <c r="A49" s="25" t="s">
        <v>57</v>
      </c>
      <c r="B49" s="108" t="s">
        <v>58</v>
      </c>
      <c r="C49" s="109">
        <v>5369</v>
      </c>
      <c r="D49" s="109">
        <v>60</v>
      </c>
      <c r="E49" s="109">
        <v>1.1399999999999999</v>
      </c>
      <c r="F49" s="109">
        <v>0</v>
      </c>
      <c r="G49" s="109">
        <v>0</v>
      </c>
      <c r="H49" s="9">
        <f>D49+F49+'04-01-21'!H49</f>
        <v>1232.0900000000001</v>
      </c>
      <c r="I49" s="9">
        <f>E49+G49+'04-01-21'!I49</f>
        <v>23.3</v>
      </c>
      <c r="J49" s="9">
        <f t="shared" si="13"/>
        <v>1255.3900000000001</v>
      </c>
      <c r="K49" s="9">
        <f>C49-J49</f>
        <v>4113.6099999999997</v>
      </c>
      <c r="L49" s="9">
        <f t="shared" si="14"/>
        <v>3810.437585034018</v>
      </c>
      <c r="M49" s="115"/>
    </row>
    <row r="50" spans="1:13" s="110" customFormat="1" ht="11.25" customHeight="1" x14ac:dyDescent="0.25">
      <c r="A50" s="25" t="s">
        <v>95</v>
      </c>
      <c r="B50" s="108" t="s">
        <v>94</v>
      </c>
      <c r="C50" s="109">
        <f>2000+1000+500</f>
        <v>3500</v>
      </c>
      <c r="D50" s="109">
        <v>120</v>
      </c>
      <c r="E50" s="109">
        <v>2.2799999999999998</v>
      </c>
      <c r="F50" s="109">
        <v>0</v>
      </c>
      <c r="G50" s="109">
        <v>0</v>
      </c>
      <c r="H50" s="9">
        <f>D50+F50+'04-01-21'!H50</f>
        <v>2811.5</v>
      </c>
      <c r="I50" s="9">
        <f>E50+G50+'04-01-21'!I50</f>
        <v>54.19</v>
      </c>
      <c r="J50" s="9">
        <f t="shared" si="13"/>
        <v>2865.69</v>
      </c>
      <c r="K50" s="9">
        <f>C50-J50</f>
        <v>634.30999999999995</v>
      </c>
      <c r="L50" s="9">
        <f t="shared" si="14"/>
        <v>-57.744387755092248</v>
      </c>
      <c r="M50" s="116"/>
    </row>
    <row r="51" spans="1:13" s="110" customFormat="1" ht="11.25" customHeight="1" x14ac:dyDescent="0.25">
      <c r="A51" s="74" t="s">
        <v>131</v>
      </c>
      <c r="B51" s="108" t="s">
        <v>130</v>
      </c>
      <c r="C51" s="127">
        <f>28.53+2000</f>
        <v>2028.53</v>
      </c>
      <c r="D51" s="127">
        <v>28</v>
      </c>
      <c r="E51" s="127">
        <v>0.53</v>
      </c>
      <c r="F51" s="127">
        <v>0</v>
      </c>
      <c r="G51" s="127">
        <v>0</v>
      </c>
      <c r="H51" s="73">
        <f>D51+F51</f>
        <v>28</v>
      </c>
      <c r="I51" s="73">
        <f>E51+G51</f>
        <v>0.53</v>
      </c>
      <c r="J51" s="73">
        <f t="shared" ref="J51" si="17">H51+I51</f>
        <v>28.53</v>
      </c>
      <c r="K51" s="73">
        <f>C51-J51</f>
        <v>2000</v>
      </c>
      <c r="L51" s="73">
        <f t="shared" ref="L51" si="18">C51-((J51/21)*26.0714285714285)</f>
        <v>1993.1101020408164</v>
      </c>
      <c r="M51" s="116"/>
    </row>
    <row r="52" spans="1:13" ht="21.6" customHeight="1" x14ac:dyDescent="0.25">
      <c r="A52" s="153" t="s">
        <v>5</v>
      </c>
      <c r="B52" s="154"/>
      <c r="C52" s="7">
        <f t="shared" ref="C52" si="19">SUM(C33:C49)</f>
        <v>75610.95</v>
      </c>
      <c r="D52" s="7"/>
      <c r="E52" s="7"/>
      <c r="F52" s="7"/>
      <c r="G52" s="7"/>
      <c r="H52" s="7">
        <f>SUM(H33:H50)</f>
        <v>48435.459999999992</v>
      </c>
      <c r="I52" s="7">
        <f>SUM(I33:I50)</f>
        <v>1661.0370000000003</v>
      </c>
      <c r="J52" s="7">
        <f>SUM(J33:J50)</f>
        <v>50096.496999999996</v>
      </c>
      <c r="K52" s="7">
        <f>SUM(K33:K50)</f>
        <v>29014.453000000001</v>
      </c>
      <c r="L52" s="7">
        <f>SUM(L33:L50)</f>
        <v>16916.319370748468</v>
      </c>
      <c r="M52" s="133"/>
    </row>
    <row r="53" spans="1:13" ht="10.9" customHeight="1" x14ac:dyDescent="0.25">
      <c r="A53" s="17"/>
      <c r="B53" s="16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33"/>
    </row>
    <row r="54" spans="1:13" ht="10.9" customHeight="1" x14ac:dyDescent="0.25">
      <c r="A54" s="17"/>
      <c r="B54" s="16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3" s="92" customFormat="1" ht="10.9" customHeight="1" x14ac:dyDescent="0.25">
      <c r="A55" s="22" t="s">
        <v>4</v>
      </c>
      <c r="B55" s="29" t="s">
        <v>3</v>
      </c>
      <c r="C55" s="9">
        <v>62583</v>
      </c>
      <c r="D55" s="10">
        <v>1991.3</v>
      </c>
      <c r="E55" s="10">
        <v>37.83</v>
      </c>
      <c r="F55" s="10">
        <v>525.01</v>
      </c>
      <c r="G55" s="10">
        <v>27.3</v>
      </c>
      <c r="H55" s="9">
        <f>D55+F55+'04-01-21'!H54</f>
        <v>19446.350000000002</v>
      </c>
      <c r="I55" s="9">
        <f>E55+G55+'04-01-21'!I54</f>
        <v>419.39200000000005</v>
      </c>
      <c r="J55" s="9">
        <f t="shared" ref="J55:J56" si="20">H55+I55</f>
        <v>19865.742000000002</v>
      </c>
      <c r="K55" s="9">
        <f>C55-J55</f>
        <v>42717.258000000002</v>
      </c>
      <c r="L55" s="9">
        <f t="shared" ref="L55:L56" si="21">C55-((J55/21)*26.0714285714285)</f>
        <v>37919.748877551086</v>
      </c>
      <c r="M55" s="115"/>
    </row>
    <row r="56" spans="1:13" s="92" customFormat="1" ht="10.9" customHeight="1" x14ac:dyDescent="0.25">
      <c r="A56" s="22" t="s">
        <v>112</v>
      </c>
      <c r="B56" s="29" t="s">
        <v>111</v>
      </c>
      <c r="C56" s="9">
        <v>11243</v>
      </c>
      <c r="D56" s="9">
        <v>0</v>
      </c>
      <c r="E56" s="9">
        <v>0</v>
      </c>
      <c r="F56" s="9">
        <v>0</v>
      </c>
      <c r="G56" s="9">
        <v>0</v>
      </c>
      <c r="H56" s="9">
        <f>D56+F56+'04-01-21'!H55</f>
        <v>0</v>
      </c>
      <c r="I56" s="9">
        <f>E56+G56+'04-01-21'!I55</f>
        <v>0</v>
      </c>
      <c r="J56" s="9">
        <f t="shared" si="20"/>
        <v>0</v>
      </c>
      <c r="K56" s="9">
        <f>C56-J56</f>
        <v>11243</v>
      </c>
      <c r="L56" s="9">
        <f t="shared" si="21"/>
        <v>11243</v>
      </c>
      <c r="M56" s="115"/>
    </row>
    <row r="57" spans="1:13" ht="21.6" customHeight="1" x14ac:dyDescent="0.25">
      <c r="A57" s="20" t="s">
        <v>2</v>
      </c>
      <c r="B57" s="19"/>
      <c r="C57" s="18">
        <f>C55+C56</f>
        <v>73826</v>
      </c>
      <c r="D57" s="18">
        <f t="shared" ref="D57:L57" si="22">D55+D56</f>
        <v>1991.3</v>
      </c>
      <c r="E57" s="18">
        <f t="shared" si="22"/>
        <v>37.83</v>
      </c>
      <c r="F57" s="18">
        <f t="shared" si="22"/>
        <v>525.01</v>
      </c>
      <c r="G57" s="18">
        <f t="shared" si="22"/>
        <v>27.3</v>
      </c>
      <c r="H57" s="18">
        <f t="shared" si="22"/>
        <v>19446.350000000002</v>
      </c>
      <c r="I57" s="18">
        <f t="shared" si="22"/>
        <v>419.39200000000005</v>
      </c>
      <c r="J57" s="18">
        <f t="shared" si="22"/>
        <v>19865.742000000002</v>
      </c>
      <c r="K57" s="18">
        <f t="shared" si="22"/>
        <v>53960.258000000002</v>
      </c>
      <c r="L57" s="18">
        <f t="shared" si="22"/>
        <v>49162.748877551086</v>
      </c>
    </row>
    <row r="58" spans="1:13" ht="10.9" customHeight="1" x14ac:dyDescent="0.25">
      <c r="A58" s="17"/>
      <c r="B58" s="16"/>
      <c r="C58" s="15"/>
      <c r="D58" s="15"/>
      <c r="E58" s="15"/>
      <c r="F58" s="15"/>
      <c r="G58" s="15"/>
      <c r="H58" s="15"/>
      <c r="I58" s="15"/>
      <c r="J58" s="15"/>
      <c r="K58" s="15"/>
      <c r="L58" s="15"/>
    </row>
    <row r="59" spans="1:13" ht="10.9" customHeight="1" x14ac:dyDescent="0.25">
      <c r="A59" s="17"/>
      <c r="B59" s="16"/>
      <c r="C59" s="15"/>
      <c r="D59" s="15"/>
      <c r="E59" s="15"/>
      <c r="F59" s="15"/>
      <c r="G59" s="15"/>
      <c r="H59" s="15"/>
      <c r="I59" s="15"/>
      <c r="J59" s="15"/>
      <c r="K59" s="15"/>
      <c r="L59" s="15"/>
    </row>
    <row r="60" spans="1:13" s="92" customFormat="1" ht="10.9" customHeight="1" x14ac:dyDescent="0.25">
      <c r="A60" s="13" t="s">
        <v>1</v>
      </c>
      <c r="B60" s="33">
        <v>55180000</v>
      </c>
      <c r="C60" s="9">
        <v>37736</v>
      </c>
      <c r="D60" s="10">
        <v>0</v>
      </c>
      <c r="E60" s="10">
        <v>0</v>
      </c>
      <c r="F60" s="10">
        <v>438.6</v>
      </c>
      <c r="G60" s="10">
        <v>22.8</v>
      </c>
      <c r="H60" s="9">
        <f>D60+F60+'04-01-21'!H59</f>
        <v>8815.8600000000024</v>
      </c>
      <c r="I60" s="9">
        <f>E60+G60+'04-01-21'!I59</f>
        <v>458.28000000000009</v>
      </c>
      <c r="J60" s="9">
        <f t="shared" ref="J60" si="23">H60+I60</f>
        <v>9274.1400000000031</v>
      </c>
      <c r="K60" s="9">
        <f>C60-J60</f>
        <v>28461.859999999997</v>
      </c>
      <c r="L60" s="9">
        <f>C60-((J60/21)*26.0714285714285)</f>
        <v>26222.186734693907</v>
      </c>
      <c r="M60" s="115"/>
    </row>
    <row r="61" spans="1:13" s="3" customFormat="1" ht="21.6" customHeight="1" x14ac:dyDescent="0.25">
      <c r="A61" s="153" t="s">
        <v>0</v>
      </c>
      <c r="B61" s="154"/>
      <c r="C61" s="7">
        <f t="shared" ref="C61:L61" si="24">SUM(C60)</f>
        <v>37736</v>
      </c>
      <c r="D61" s="7">
        <f t="shared" si="24"/>
        <v>0</v>
      </c>
      <c r="E61" s="7">
        <f t="shared" si="24"/>
        <v>0</v>
      </c>
      <c r="F61" s="7">
        <f t="shared" si="24"/>
        <v>438.6</v>
      </c>
      <c r="G61" s="7">
        <f t="shared" si="24"/>
        <v>22.8</v>
      </c>
      <c r="H61" s="7">
        <f t="shared" si="24"/>
        <v>8815.8600000000024</v>
      </c>
      <c r="I61" s="7">
        <f t="shared" si="24"/>
        <v>458.28000000000009</v>
      </c>
      <c r="J61" s="7">
        <f t="shared" si="24"/>
        <v>9274.1400000000031</v>
      </c>
      <c r="K61" s="7">
        <f t="shared" si="24"/>
        <v>28461.859999999997</v>
      </c>
      <c r="L61" s="7">
        <f t="shared" si="24"/>
        <v>26222.186734693907</v>
      </c>
      <c r="M61" s="122"/>
    </row>
    <row r="62" spans="1:13" s="3" customFormat="1" ht="11.25" customHeight="1" x14ac:dyDescent="0.25">
      <c r="A62" s="6"/>
      <c r="B62" s="5"/>
      <c r="C62" s="4"/>
      <c r="D62" s="4"/>
      <c r="E62" s="4"/>
      <c r="F62" s="4"/>
      <c r="G62" s="4"/>
      <c r="H62" s="4"/>
      <c r="I62" s="4"/>
      <c r="J62" s="4"/>
      <c r="K62" s="4"/>
      <c r="L62" s="4"/>
      <c r="M62" s="122"/>
    </row>
    <row r="63" spans="1:13" s="2" customFormat="1" ht="10.5" customHeight="1" x14ac:dyDescent="0.25">
      <c r="A63" s="160" t="s">
        <v>72</v>
      </c>
      <c r="B63" s="160"/>
      <c r="C63" s="160"/>
      <c r="D63" s="160"/>
      <c r="E63" s="160"/>
      <c r="F63" s="160"/>
      <c r="G63" s="82">
        <v>12000</v>
      </c>
      <c r="M63" s="111"/>
    </row>
    <row r="64" spans="1:13" s="2" customFormat="1" ht="10.5" customHeight="1" x14ac:dyDescent="0.25">
      <c r="A64" s="160" t="s">
        <v>73</v>
      </c>
      <c r="B64" s="160"/>
      <c r="C64" s="160"/>
      <c r="D64" s="160"/>
      <c r="E64" s="160"/>
      <c r="F64" s="160"/>
      <c r="G64" s="82">
        <v>5600</v>
      </c>
      <c r="M64" s="111"/>
    </row>
    <row r="65" spans="1:13" ht="10.5" customHeight="1" x14ac:dyDescent="0.25">
      <c r="A65" s="160" t="s">
        <v>76</v>
      </c>
      <c r="B65" s="160"/>
      <c r="C65" s="160"/>
      <c r="D65" s="160"/>
      <c r="E65" s="160"/>
      <c r="F65" s="160"/>
      <c r="G65" s="82">
        <v>9800</v>
      </c>
    </row>
    <row r="66" spans="1:13" ht="10.5" customHeight="1" x14ac:dyDescent="0.25">
      <c r="A66" s="160" t="s">
        <v>75</v>
      </c>
      <c r="B66" s="160"/>
      <c r="C66" s="160"/>
      <c r="D66" s="160"/>
      <c r="E66" s="160"/>
      <c r="F66" s="160"/>
      <c r="G66" s="82">
        <v>1500</v>
      </c>
    </row>
    <row r="67" spans="1:13" ht="10.5" customHeight="1" x14ac:dyDescent="0.25">
      <c r="A67" s="160" t="s">
        <v>74</v>
      </c>
      <c r="B67" s="160"/>
      <c r="C67" s="160"/>
      <c r="D67" s="160"/>
      <c r="E67" s="160"/>
      <c r="F67" s="160"/>
      <c r="G67" s="82">
        <v>843.44</v>
      </c>
    </row>
    <row r="68" spans="1:13" ht="10.5" customHeight="1" x14ac:dyDescent="0.25">
      <c r="A68" s="160" t="s">
        <v>77</v>
      </c>
      <c r="B68" s="160"/>
      <c r="C68" s="160"/>
      <c r="D68" s="160"/>
      <c r="E68" s="160"/>
      <c r="F68" s="160"/>
      <c r="G68" s="82">
        <v>1784.19</v>
      </c>
    </row>
    <row r="69" spans="1:13" ht="10.5" customHeight="1" x14ac:dyDescent="0.25">
      <c r="A69" s="160" t="s">
        <v>78</v>
      </c>
      <c r="B69" s="160"/>
      <c r="C69" s="160"/>
      <c r="D69" s="160"/>
      <c r="E69" s="160"/>
      <c r="F69" s="160"/>
      <c r="G69" s="82">
        <v>2453.12</v>
      </c>
    </row>
    <row r="70" spans="1:13" s="2" customFormat="1" ht="10.5" customHeight="1" x14ac:dyDescent="0.25">
      <c r="A70" s="160" t="s">
        <v>84</v>
      </c>
      <c r="B70" s="160"/>
      <c r="C70" s="160"/>
      <c r="D70" s="160"/>
      <c r="E70" s="160"/>
      <c r="F70" s="160"/>
      <c r="G70" s="82">
        <v>2598.4499999999998</v>
      </c>
      <c r="M70" s="112"/>
    </row>
    <row r="71" spans="1:13" s="2" customFormat="1" ht="10.5" customHeight="1" x14ac:dyDescent="0.25">
      <c r="A71" s="160" t="s">
        <v>134</v>
      </c>
      <c r="B71" s="160"/>
      <c r="C71" s="160"/>
      <c r="D71" s="160"/>
      <c r="E71" s="160"/>
      <c r="F71" s="160"/>
      <c r="G71" s="82">
        <v>2659</v>
      </c>
      <c r="M71" s="112"/>
    </row>
    <row r="72" spans="1:13" s="2" customFormat="1" ht="10.5" customHeight="1" x14ac:dyDescent="0.25">
      <c r="A72" s="160" t="s">
        <v>90</v>
      </c>
      <c r="B72" s="160"/>
      <c r="C72" s="160"/>
      <c r="D72" s="160"/>
      <c r="E72" s="160"/>
      <c r="F72" s="160"/>
      <c r="G72" s="82">
        <v>1200</v>
      </c>
      <c r="M72" s="112"/>
    </row>
    <row r="73" spans="1:13" s="2" customFormat="1" ht="10.5" customHeight="1" x14ac:dyDescent="0.25">
      <c r="A73" s="160" t="s">
        <v>93</v>
      </c>
      <c r="B73" s="160"/>
      <c r="C73" s="160"/>
      <c r="D73" s="160"/>
      <c r="E73" s="160"/>
      <c r="F73" s="160"/>
      <c r="G73" s="82">
        <v>2109</v>
      </c>
      <c r="M73" s="111"/>
    </row>
    <row r="74" spans="1:13" s="2" customFormat="1" ht="10.5" customHeight="1" x14ac:dyDescent="0.25">
      <c r="A74" s="160" t="s">
        <v>100</v>
      </c>
      <c r="B74" s="160"/>
      <c r="C74" s="160"/>
      <c r="D74" s="160"/>
      <c r="E74" s="160"/>
      <c r="F74" s="160"/>
      <c r="G74" s="82">
        <v>6100</v>
      </c>
      <c r="M74" s="111"/>
    </row>
    <row r="75" spans="1:13" s="2" customFormat="1" ht="10.5" customHeight="1" x14ac:dyDescent="0.25">
      <c r="A75" s="160" t="s">
        <v>102</v>
      </c>
      <c r="B75" s="160"/>
      <c r="C75" s="160"/>
      <c r="D75" s="160"/>
      <c r="E75" s="160"/>
      <c r="F75" s="160"/>
      <c r="G75" s="82">
        <v>5369</v>
      </c>
      <c r="M75" s="112"/>
    </row>
    <row r="76" spans="1:13" ht="10.5" customHeight="1" x14ac:dyDescent="0.25">
      <c r="A76" s="160" t="s">
        <v>106</v>
      </c>
      <c r="B76" s="160"/>
      <c r="C76" s="160"/>
      <c r="D76" s="160"/>
      <c r="E76" s="160"/>
      <c r="F76" s="160"/>
      <c r="G76" s="82">
        <v>16442.41</v>
      </c>
    </row>
    <row r="77" spans="1:13" ht="10.5" customHeight="1" x14ac:dyDescent="0.25">
      <c r="A77" s="160" t="s">
        <v>107</v>
      </c>
      <c r="B77" s="160"/>
      <c r="C77" s="160"/>
      <c r="D77" s="160"/>
      <c r="E77" s="160"/>
      <c r="F77" s="160"/>
      <c r="G77" s="82">
        <v>1609.56</v>
      </c>
    </row>
    <row r="78" spans="1:13" s="2" customFormat="1" ht="10.5" customHeight="1" x14ac:dyDescent="0.25">
      <c r="A78" s="160" t="s">
        <v>109</v>
      </c>
      <c r="B78" s="160"/>
      <c r="C78" s="160"/>
      <c r="D78" s="160"/>
      <c r="E78" s="160"/>
      <c r="F78" s="160"/>
      <c r="G78" s="82">
        <v>1000</v>
      </c>
      <c r="M78" s="112"/>
    </row>
    <row r="79" spans="1:13" ht="20.25" customHeight="1" x14ac:dyDescent="0.25">
      <c r="A79" s="160" t="s">
        <v>113</v>
      </c>
      <c r="B79" s="160"/>
      <c r="C79" s="160"/>
      <c r="D79" s="160"/>
      <c r="E79" s="160"/>
      <c r="F79" s="160"/>
      <c r="G79" s="82">
        <v>75940.289999999994</v>
      </c>
    </row>
    <row r="80" spans="1:13" s="2" customFormat="1" ht="10.5" customHeight="1" x14ac:dyDescent="0.25">
      <c r="A80" s="160" t="s">
        <v>115</v>
      </c>
      <c r="B80" s="160"/>
      <c r="C80" s="160"/>
      <c r="D80" s="160"/>
      <c r="E80" s="160"/>
      <c r="F80" s="160"/>
      <c r="G80" s="82">
        <v>1200</v>
      </c>
      <c r="M80" s="112"/>
    </row>
    <row r="81" spans="1:13" s="2" customFormat="1" ht="10.5" customHeight="1" x14ac:dyDescent="0.25">
      <c r="A81" s="160" t="s">
        <v>117</v>
      </c>
      <c r="B81" s="160"/>
      <c r="C81" s="160"/>
      <c r="D81" s="160"/>
      <c r="E81" s="160"/>
      <c r="F81" s="160"/>
      <c r="G81" s="82">
        <v>4208</v>
      </c>
      <c r="M81" s="112"/>
    </row>
    <row r="82" spans="1:13" ht="10.5" customHeight="1" x14ac:dyDescent="0.25">
      <c r="A82" s="160" t="s">
        <v>118</v>
      </c>
      <c r="B82" s="160"/>
      <c r="C82" s="160"/>
      <c r="D82" s="160"/>
      <c r="E82" s="160"/>
      <c r="F82" s="160"/>
      <c r="G82" s="82">
        <v>500</v>
      </c>
    </row>
    <row r="83" spans="1:13" s="2" customFormat="1" ht="9.75" customHeight="1" x14ac:dyDescent="0.25">
      <c r="A83" s="160" t="s">
        <v>133</v>
      </c>
      <c r="B83" s="160"/>
      <c r="C83" s="160"/>
      <c r="D83" s="160"/>
      <c r="E83" s="160"/>
      <c r="F83" s="160"/>
      <c r="G83" s="134">
        <v>3360</v>
      </c>
      <c r="M83" s="112"/>
    </row>
    <row r="84" spans="1:13" s="2" customFormat="1" ht="9.75" customHeight="1" x14ac:dyDescent="0.25">
      <c r="A84" s="160" t="s">
        <v>124</v>
      </c>
      <c r="B84" s="160"/>
      <c r="C84" s="160"/>
      <c r="D84" s="160"/>
      <c r="E84" s="160"/>
      <c r="F84" s="160"/>
      <c r="G84" s="134">
        <v>-137.84</v>
      </c>
      <c r="M84" s="112"/>
    </row>
    <row r="85" spans="1:13" s="2" customFormat="1" ht="9.75" customHeight="1" x14ac:dyDescent="0.25">
      <c r="A85" s="160" t="s">
        <v>126</v>
      </c>
      <c r="B85" s="160"/>
      <c r="C85" s="160"/>
      <c r="D85" s="160"/>
      <c r="E85" s="160"/>
      <c r="F85" s="160"/>
      <c r="G85" s="134">
        <v>2500</v>
      </c>
      <c r="M85" s="112"/>
    </row>
    <row r="86" spans="1:13" s="2" customFormat="1" ht="9.75" customHeight="1" x14ac:dyDescent="0.25">
      <c r="A86" s="160" t="s">
        <v>127</v>
      </c>
      <c r="B86" s="160"/>
      <c r="C86" s="160"/>
      <c r="D86" s="160"/>
      <c r="E86" s="160"/>
      <c r="F86" s="160"/>
      <c r="G86" s="134">
        <v>61.23</v>
      </c>
      <c r="M86" s="112"/>
    </row>
    <row r="87" spans="1:13" ht="12" customHeight="1" x14ac:dyDescent="0.25">
      <c r="A87" s="112" t="s">
        <v>129</v>
      </c>
      <c r="G87" s="135">
        <v>28.53</v>
      </c>
    </row>
    <row r="88" spans="1:13" ht="12" customHeight="1" x14ac:dyDescent="0.25">
      <c r="A88" s="112" t="s">
        <v>132</v>
      </c>
      <c r="G88" s="135">
        <v>2000</v>
      </c>
    </row>
  </sheetData>
  <mergeCells count="30">
    <mergeCell ref="A86:F86"/>
    <mergeCell ref="A75:F75"/>
    <mergeCell ref="A76:F76"/>
    <mergeCell ref="A77:F77"/>
    <mergeCell ref="A78:F78"/>
    <mergeCell ref="A79:F79"/>
    <mergeCell ref="A80:F80"/>
    <mergeCell ref="A81:F81"/>
    <mergeCell ref="A82:F82"/>
    <mergeCell ref="A83:F83"/>
    <mergeCell ref="A84:F84"/>
    <mergeCell ref="A85:F85"/>
    <mergeCell ref="A74:F74"/>
    <mergeCell ref="A63:F63"/>
    <mergeCell ref="A64:F64"/>
    <mergeCell ref="A65:F65"/>
    <mergeCell ref="A66:F66"/>
    <mergeCell ref="A67:F67"/>
    <mergeCell ref="A68:F68"/>
    <mergeCell ref="A69:F69"/>
    <mergeCell ref="A70:F70"/>
    <mergeCell ref="A71:F71"/>
    <mergeCell ref="A72:F72"/>
    <mergeCell ref="A73:F73"/>
    <mergeCell ref="A61:B61"/>
    <mergeCell ref="A15:B15"/>
    <mergeCell ref="A21:B21"/>
    <mergeCell ref="A27:B27"/>
    <mergeCell ref="A30:B30"/>
    <mergeCell ref="A52:B52"/>
  </mergeCells>
  <pageMargins left="0.25" right="0" top="0.4" bottom="0" header="0.3" footer="0"/>
  <pageSetup scale="84" fitToWidth="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1:M92"/>
  <sheetViews>
    <sheetView zoomScale="130" zoomScaleNormal="130" workbookViewId="0">
      <pane ySplit="2" topLeftCell="A28" activePane="bottomLeft" state="frozen"/>
      <selection pane="bottomLeft" activeCell="K35" sqref="K35"/>
    </sheetView>
  </sheetViews>
  <sheetFormatPr defaultColWidth="28" defaultRowHeight="15" x14ac:dyDescent="0.25"/>
  <cols>
    <col min="1" max="1" width="34" style="1" bestFit="1" customWidth="1"/>
    <col min="2" max="2" width="19" style="1" bestFit="1" customWidth="1"/>
    <col min="3" max="3" width="11" style="77" customWidth="1"/>
    <col min="4" max="4" width="8.140625" style="2" bestFit="1" customWidth="1"/>
    <col min="5" max="5" width="6.28515625" style="2" bestFit="1" customWidth="1"/>
    <col min="6" max="6" width="9" style="2" bestFit="1" customWidth="1"/>
    <col min="7" max="7" width="8.7109375" style="2" bestFit="1" customWidth="1"/>
    <col min="8" max="8" width="9.28515625" style="2" bestFit="1" customWidth="1"/>
    <col min="9" max="9" width="9.42578125" style="2" bestFit="1" customWidth="1"/>
    <col min="10" max="10" width="9.7109375" style="2" bestFit="1" customWidth="1"/>
    <col min="11" max="11" width="9.28515625" style="2" bestFit="1" customWidth="1"/>
    <col min="12" max="12" width="13.42578125" style="2" bestFit="1" customWidth="1"/>
    <col min="13" max="13" width="17.85546875" style="112" customWidth="1"/>
    <col min="14" max="16384" width="28" style="1"/>
  </cols>
  <sheetData>
    <row r="1" spans="1:13" ht="11.25" customHeight="1" x14ac:dyDescent="0.25">
      <c r="A1" s="68"/>
      <c r="B1" s="67"/>
      <c r="C1" s="76"/>
      <c r="D1" s="66"/>
      <c r="E1" s="66"/>
      <c r="F1" s="66"/>
      <c r="G1" s="66"/>
      <c r="H1" s="66"/>
      <c r="I1" s="66"/>
      <c r="J1" s="66"/>
      <c r="K1" s="66"/>
      <c r="L1" s="65" t="s">
        <v>135</v>
      </c>
    </row>
    <row r="2" spans="1:13" s="61" customFormat="1" ht="23.25" x14ac:dyDescent="0.25">
      <c r="A2" s="64" t="s">
        <v>53</v>
      </c>
      <c r="B2" s="64" t="s">
        <v>52</v>
      </c>
      <c r="C2" s="63" t="s">
        <v>51</v>
      </c>
      <c r="D2" s="63" t="s">
        <v>50</v>
      </c>
      <c r="E2" s="63" t="s">
        <v>48</v>
      </c>
      <c r="F2" s="63" t="s">
        <v>49</v>
      </c>
      <c r="G2" s="63" t="s">
        <v>48</v>
      </c>
      <c r="H2" s="62" t="s">
        <v>47</v>
      </c>
      <c r="I2" s="62" t="s">
        <v>46</v>
      </c>
      <c r="J2" s="62" t="s">
        <v>45</v>
      </c>
      <c r="K2" s="62" t="s">
        <v>44</v>
      </c>
      <c r="L2" s="62" t="s">
        <v>43</v>
      </c>
      <c r="M2" s="113"/>
    </row>
    <row r="3" spans="1:13" s="101" customFormat="1" ht="11.25" customHeight="1" x14ac:dyDescent="0.25">
      <c r="A3" s="22" t="s">
        <v>42</v>
      </c>
      <c r="B3" s="29">
        <v>55010300</v>
      </c>
      <c r="C3" s="10">
        <v>4208</v>
      </c>
      <c r="D3" s="9">
        <v>0</v>
      </c>
      <c r="E3" s="9">
        <v>0</v>
      </c>
      <c r="F3" s="9">
        <v>0</v>
      </c>
      <c r="G3" s="9">
        <v>0</v>
      </c>
      <c r="H3" s="9">
        <f>D3+F3+'04-15-21'!H3</f>
        <v>0</v>
      </c>
      <c r="I3" s="9">
        <f>E3+G3+'04-15-21'!I3</f>
        <v>0</v>
      </c>
      <c r="J3" s="9">
        <f>H3+I3</f>
        <v>0</v>
      </c>
      <c r="K3" s="9">
        <f>C3-J3</f>
        <v>4208</v>
      </c>
      <c r="L3" s="9">
        <f>C3-((J3/22)*26.0714285714285)</f>
        <v>4208</v>
      </c>
      <c r="M3" s="114"/>
    </row>
    <row r="4" spans="1:13" s="101" customFormat="1" ht="11.25" customHeight="1" x14ac:dyDescent="0.25">
      <c r="A4" s="22" t="s">
        <v>41</v>
      </c>
      <c r="B4" s="29">
        <v>55010500</v>
      </c>
      <c r="C4" s="9">
        <v>3229</v>
      </c>
      <c r="D4" s="10">
        <v>0</v>
      </c>
      <c r="E4" s="10">
        <v>0</v>
      </c>
      <c r="F4" s="10">
        <v>0</v>
      </c>
      <c r="G4" s="10">
        <v>0</v>
      </c>
      <c r="H4" s="9">
        <f>D4+F4+'04-15-21'!H4</f>
        <v>0</v>
      </c>
      <c r="I4" s="9">
        <f>E4+G4+'04-15-21'!I4</f>
        <v>0</v>
      </c>
      <c r="J4" s="9">
        <f t="shared" ref="J4:J14" si="0">H4+I4</f>
        <v>0</v>
      </c>
      <c r="K4" s="9">
        <f t="shared" ref="K4:K14" si="1">C4-J4</f>
        <v>3229</v>
      </c>
      <c r="L4" s="9">
        <f t="shared" ref="L4:L14" si="2">C4-((J4/22)*26.0714285714285)</f>
        <v>3229</v>
      </c>
      <c r="M4" s="114"/>
    </row>
    <row r="5" spans="1:13" s="92" customFormat="1" ht="11.25" customHeight="1" x14ac:dyDescent="0.25">
      <c r="A5" s="58" t="s">
        <v>40</v>
      </c>
      <c r="B5" s="102">
        <v>55020200</v>
      </c>
      <c r="C5" s="103">
        <f>24649+14202</f>
        <v>38851</v>
      </c>
      <c r="D5" s="55">
        <v>717.84</v>
      </c>
      <c r="E5" s="55">
        <v>13.63</v>
      </c>
      <c r="F5" s="55">
        <v>1450</v>
      </c>
      <c r="G5" s="55">
        <v>75.400000000000006</v>
      </c>
      <c r="H5" s="9">
        <f>D5+F5+'04-15-21'!H5</f>
        <v>26664.68</v>
      </c>
      <c r="I5" s="9">
        <f>E5+G5+'04-15-21'!I5</f>
        <v>934.93000000000006</v>
      </c>
      <c r="J5" s="9">
        <f t="shared" si="0"/>
        <v>27599.61</v>
      </c>
      <c r="K5" s="9">
        <f t="shared" si="1"/>
        <v>11251.39</v>
      </c>
      <c r="L5" s="9">
        <f t="shared" si="2"/>
        <v>6143.6699675325581</v>
      </c>
      <c r="M5" s="115"/>
    </row>
    <row r="6" spans="1:13" s="92" customFormat="1" ht="11.25" customHeight="1" x14ac:dyDescent="0.25">
      <c r="A6" s="22" t="s">
        <v>39</v>
      </c>
      <c r="B6" s="29">
        <v>55020300</v>
      </c>
      <c r="C6" s="9">
        <f>17974+9665</f>
        <v>27639</v>
      </c>
      <c r="D6" s="10">
        <v>732.96</v>
      </c>
      <c r="E6" s="10">
        <v>13.92</v>
      </c>
      <c r="F6" s="10">
        <v>975</v>
      </c>
      <c r="G6" s="10">
        <v>50.7</v>
      </c>
      <c r="H6" s="9">
        <f>D6+F6+'04-15-21'!H6</f>
        <v>15492.79</v>
      </c>
      <c r="I6" s="9">
        <f>E6+G6+'04-15-21'!I6</f>
        <v>545.03</v>
      </c>
      <c r="J6" s="9">
        <f t="shared" si="0"/>
        <v>16037.820000000002</v>
      </c>
      <c r="K6" s="9">
        <f t="shared" si="1"/>
        <v>11601.179999999998</v>
      </c>
      <c r="L6" s="9">
        <f t="shared" si="2"/>
        <v>8633.1418831169321</v>
      </c>
      <c r="M6" s="115"/>
    </row>
    <row r="7" spans="1:13" s="92" customFormat="1" ht="11.25" customHeight="1" x14ac:dyDescent="0.25">
      <c r="A7" s="22" t="s">
        <v>38</v>
      </c>
      <c r="B7" s="29">
        <v>55020400</v>
      </c>
      <c r="C7" s="9">
        <f>17974+9665</f>
        <v>27639</v>
      </c>
      <c r="D7" s="10">
        <v>392.07</v>
      </c>
      <c r="E7" s="10">
        <v>7.44</v>
      </c>
      <c r="F7" s="10">
        <v>1000</v>
      </c>
      <c r="G7" s="10">
        <v>52</v>
      </c>
      <c r="H7" s="9">
        <f>D7+F7+'04-15-21'!H7</f>
        <v>12517.179999999998</v>
      </c>
      <c r="I7" s="9">
        <f>E7+G7+'04-15-21'!I7</f>
        <v>459.09000000000003</v>
      </c>
      <c r="J7" s="9">
        <f t="shared" si="0"/>
        <v>12976.269999999999</v>
      </c>
      <c r="K7" s="9">
        <f t="shared" si="1"/>
        <v>14662.730000000001</v>
      </c>
      <c r="L7" s="9">
        <f t="shared" si="2"/>
        <v>12261.27743506498</v>
      </c>
      <c r="M7" s="115"/>
    </row>
    <row r="8" spans="1:13" s="92" customFormat="1" ht="11.25" customHeight="1" x14ac:dyDescent="0.25">
      <c r="A8" s="22" t="s">
        <v>92</v>
      </c>
      <c r="B8" s="29">
        <v>55030100</v>
      </c>
      <c r="C8" s="9">
        <v>2109</v>
      </c>
      <c r="D8" s="9">
        <v>0</v>
      </c>
      <c r="E8" s="9">
        <v>0</v>
      </c>
      <c r="F8" s="9">
        <v>0</v>
      </c>
      <c r="G8" s="9">
        <v>0</v>
      </c>
      <c r="H8" s="9">
        <f>D8+F8+'04-15-21'!H8</f>
        <v>841.91000000000008</v>
      </c>
      <c r="I8" s="9">
        <f>E8+G8+'04-15-21'!I8</f>
        <v>15.939999999999998</v>
      </c>
      <c r="J8" s="9">
        <f t="shared" si="0"/>
        <v>857.85000000000014</v>
      </c>
      <c r="K8" s="9">
        <f t="shared" si="1"/>
        <v>1251.1499999999999</v>
      </c>
      <c r="L8" s="9">
        <f t="shared" si="2"/>
        <v>1092.3920454545482</v>
      </c>
      <c r="M8" s="115"/>
    </row>
    <row r="9" spans="1:13" s="92" customFormat="1" ht="11.25" customHeight="1" x14ac:dyDescent="0.25">
      <c r="A9" s="54" t="s">
        <v>37</v>
      </c>
      <c r="B9" s="29">
        <v>55030200</v>
      </c>
      <c r="C9" s="9">
        <v>24330</v>
      </c>
      <c r="D9" s="10">
        <f>210.33+1041.28</f>
        <v>1251.6099999999999</v>
      </c>
      <c r="E9" s="10">
        <f>3.99+19.78</f>
        <v>23.770000000000003</v>
      </c>
      <c r="F9" s="10">
        <v>0</v>
      </c>
      <c r="G9" s="10">
        <v>0</v>
      </c>
      <c r="H9" s="9">
        <f>D9+F9+'04-15-21'!H9</f>
        <v>9556.3500000000022</v>
      </c>
      <c r="I9" s="9">
        <f>E9+G9+'04-15-21'!I9</f>
        <v>181.71</v>
      </c>
      <c r="J9" s="9">
        <f t="shared" si="0"/>
        <v>9738.0600000000013</v>
      </c>
      <c r="K9" s="9">
        <f t="shared" si="1"/>
        <v>14591.939999999999</v>
      </c>
      <c r="L9" s="9">
        <f t="shared" si="2"/>
        <v>12789.76655844159</v>
      </c>
      <c r="M9" s="123"/>
    </row>
    <row r="10" spans="1:13" s="92" customFormat="1" ht="11.25" customHeight="1" x14ac:dyDescent="0.25">
      <c r="A10" s="22" t="s">
        <v>36</v>
      </c>
      <c r="B10" s="29">
        <v>55050200</v>
      </c>
      <c r="C10" s="9">
        <f>34000+21500.29+3360</f>
        <v>58860.29</v>
      </c>
      <c r="D10" s="10">
        <v>1308.1199999999999</v>
      </c>
      <c r="E10" s="10">
        <v>24.85</v>
      </c>
      <c r="F10" s="10">
        <v>2884.38</v>
      </c>
      <c r="G10" s="10">
        <v>149.97999999999999</v>
      </c>
      <c r="H10" s="9">
        <f>D10+F10+'04-15-21'!H10</f>
        <v>39839.379999999997</v>
      </c>
      <c r="I10" s="9">
        <f>E10+G10+'04-15-21'!I10</f>
        <v>1290.9299999999998</v>
      </c>
      <c r="J10" s="9">
        <f t="shared" si="0"/>
        <v>41130.31</v>
      </c>
      <c r="K10" s="9">
        <f t="shared" si="1"/>
        <v>17729.980000000003</v>
      </c>
      <c r="L10" s="9">
        <f t="shared" si="2"/>
        <v>10118.201850649493</v>
      </c>
      <c r="M10" s="124"/>
    </row>
    <row r="11" spans="1:13" s="92" customFormat="1" ht="11.25" hidden="1" customHeight="1" x14ac:dyDescent="0.25">
      <c r="A11" s="22" t="s">
        <v>80</v>
      </c>
      <c r="B11" s="29">
        <v>55050300</v>
      </c>
      <c r="C11" s="97"/>
      <c r="D11" s="9"/>
      <c r="E11" s="9"/>
      <c r="F11" s="9"/>
      <c r="G11" s="9"/>
      <c r="H11" s="9">
        <f>D11+F11+'04-15-21'!H11</f>
        <v>-310</v>
      </c>
      <c r="I11" s="9">
        <f>E11+G11+'04-15-21'!I11</f>
        <v>-5.8900000000000006</v>
      </c>
      <c r="J11" s="9">
        <f t="shared" si="0"/>
        <v>-315.89</v>
      </c>
      <c r="K11" s="9">
        <f t="shared" si="1"/>
        <v>315.89</v>
      </c>
      <c r="L11" s="9">
        <f t="shared" si="2"/>
        <v>374.35016233766123</v>
      </c>
      <c r="M11" s="116"/>
    </row>
    <row r="12" spans="1:13" s="98" customFormat="1" ht="11.25" customHeight="1" x14ac:dyDescent="0.25">
      <c r="A12" s="22" t="s">
        <v>35</v>
      </c>
      <c r="B12" s="29">
        <v>55070100</v>
      </c>
      <c r="C12" s="9">
        <f>42741+9665</f>
        <v>52406</v>
      </c>
      <c r="D12" s="10">
        <v>2310.66</v>
      </c>
      <c r="E12" s="10">
        <v>43.9</v>
      </c>
      <c r="F12" s="10">
        <v>1462.5</v>
      </c>
      <c r="G12" s="10">
        <v>76.05</v>
      </c>
      <c r="H12" s="9">
        <f>D12+F12+'04-15-21'!H12</f>
        <v>41194.92</v>
      </c>
      <c r="I12" s="9">
        <f>E12+G12+'04-15-21'!I12</f>
        <v>1165.1399999999999</v>
      </c>
      <c r="J12" s="9">
        <f t="shared" si="0"/>
        <v>42360.06</v>
      </c>
      <c r="K12" s="9">
        <f t="shared" si="1"/>
        <v>10045.940000000002</v>
      </c>
      <c r="L12" s="9">
        <f t="shared" si="2"/>
        <v>2206.5782467533936</v>
      </c>
      <c r="M12" s="124"/>
    </row>
    <row r="13" spans="1:13" s="92" customFormat="1" ht="11.25" customHeight="1" x14ac:dyDescent="0.25">
      <c r="A13" s="22" t="s">
        <v>34</v>
      </c>
      <c r="B13" s="29">
        <v>55080100</v>
      </c>
      <c r="C13" s="9">
        <v>23173</v>
      </c>
      <c r="D13" s="10">
        <v>1839.66</v>
      </c>
      <c r="E13" s="10">
        <v>34.950000000000003</v>
      </c>
      <c r="F13" s="10">
        <v>0</v>
      </c>
      <c r="G13" s="10">
        <v>0</v>
      </c>
      <c r="H13" s="9">
        <f>D13+F13+'04-15-21'!H13</f>
        <v>21450.95</v>
      </c>
      <c r="I13" s="9">
        <f>E13+G13+'04-15-21'!I13</f>
        <v>407.46</v>
      </c>
      <c r="J13" s="9">
        <f t="shared" si="0"/>
        <v>21858.41</v>
      </c>
      <c r="K13" s="9">
        <f t="shared" si="1"/>
        <v>1314.5900000000001</v>
      </c>
      <c r="L13" s="9">
        <f t="shared" si="2"/>
        <v>-2730.6352272726544</v>
      </c>
      <c r="M13" s="123"/>
    </row>
    <row r="14" spans="1:13" s="99" customFormat="1" ht="11.25" customHeight="1" x14ac:dyDescent="0.25">
      <c r="A14" s="53" t="s">
        <v>33</v>
      </c>
      <c r="B14" s="33">
        <v>55190000</v>
      </c>
      <c r="C14" s="9">
        <v>6000</v>
      </c>
      <c r="D14" s="10">
        <v>154.6</v>
      </c>
      <c r="E14" s="10">
        <v>2.93</v>
      </c>
      <c r="F14" s="10">
        <v>0</v>
      </c>
      <c r="G14" s="10">
        <v>0</v>
      </c>
      <c r="H14" s="9">
        <f>D14+F14+'04-15-21'!H14</f>
        <v>1539.83</v>
      </c>
      <c r="I14" s="9">
        <f>E14+G14+'04-15-21'!I14</f>
        <v>29.179999999999996</v>
      </c>
      <c r="J14" s="9">
        <f t="shared" si="0"/>
        <v>1569.01</v>
      </c>
      <c r="K14" s="9">
        <f t="shared" si="1"/>
        <v>4430.99</v>
      </c>
      <c r="L14" s="9">
        <f t="shared" si="2"/>
        <v>4140.6212662337712</v>
      </c>
      <c r="M14" s="117"/>
    </row>
    <row r="15" spans="1:13" ht="21.6" customHeight="1" thickBot="1" x14ac:dyDescent="0.3">
      <c r="A15" s="155" t="s">
        <v>32</v>
      </c>
      <c r="B15" s="156"/>
      <c r="C15" s="49">
        <f t="shared" ref="C15:L15" si="3">SUM(C3:C14)</f>
        <v>268444.29000000004</v>
      </c>
      <c r="D15" s="7">
        <f t="shared" si="3"/>
        <v>8707.52</v>
      </c>
      <c r="E15" s="7">
        <f t="shared" si="3"/>
        <v>165.39000000000004</v>
      </c>
      <c r="F15" s="7">
        <f t="shared" si="3"/>
        <v>7771.88</v>
      </c>
      <c r="G15" s="7">
        <f t="shared" si="3"/>
        <v>404.13000000000005</v>
      </c>
      <c r="H15" s="7">
        <f t="shared" si="3"/>
        <v>168787.99000000002</v>
      </c>
      <c r="I15" s="7">
        <f t="shared" si="3"/>
        <v>5023.5200000000004</v>
      </c>
      <c r="J15" s="49">
        <f t="shared" si="3"/>
        <v>173811.51</v>
      </c>
      <c r="K15" s="49">
        <f t="shared" si="3"/>
        <v>94632.78</v>
      </c>
      <c r="L15" s="7">
        <f t="shared" si="3"/>
        <v>62466.364188312269</v>
      </c>
    </row>
    <row r="16" spans="1:13" ht="11.25" customHeight="1" x14ac:dyDescent="0.25">
      <c r="A16" s="52"/>
      <c r="B16" s="41"/>
      <c r="C16" s="39"/>
      <c r="D16" s="39"/>
      <c r="E16" s="39"/>
      <c r="F16" s="39"/>
      <c r="G16" s="39"/>
      <c r="H16" s="39"/>
      <c r="I16" s="39"/>
      <c r="J16" s="39"/>
      <c r="K16" s="39"/>
      <c r="L16" s="51"/>
    </row>
    <row r="17" spans="1:13" ht="11.25" customHeight="1" thickBot="1" x14ac:dyDescent="0.3">
      <c r="A17" s="38"/>
      <c r="B17" s="37"/>
      <c r="C17" s="35"/>
      <c r="D17" s="35"/>
      <c r="E17" s="35"/>
      <c r="F17" s="35"/>
      <c r="G17" s="35"/>
      <c r="H17" s="35"/>
      <c r="I17" s="35"/>
      <c r="J17" s="35"/>
      <c r="K17" s="35"/>
      <c r="L17" s="50"/>
    </row>
    <row r="18" spans="1:13" s="92" customFormat="1" ht="11.45" customHeight="1" x14ac:dyDescent="0.25">
      <c r="A18" s="13" t="s">
        <v>31</v>
      </c>
      <c r="B18" s="33">
        <v>55090100</v>
      </c>
      <c r="C18" s="9">
        <v>26923</v>
      </c>
      <c r="D18" s="10">
        <v>0</v>
      </c>
      <c r="E18" s="10">
        <v>0</v>
      </c>
      <c r="F18" s="10">
        <v>0</v>
      </c>
      <c r="G18" s="10">
        <v>0</v>
      </c>
      <c r="H18" s="9">
        <f>D18+F18+'04-15-21'!H18</f>
        <v>13503</v>
      </c>
      <c r="I18" s="9">
        <f>E18+G18+'04-15-21'!I18</f>
        <v>702.13999999999987</v>
      </c>
      <c r="J18" s="9">
        <f t="shared" ref="J18:J20" si="4">H18+I18</f>
        <v>14205.14</v>
      </c>
      <c r="K18" s="9">
        <f>C18-J18</f>
        <v>12717.86</v>
      </c>
      <c r="L18" s="9">
        <f t="shared" ref="L18:L20" si="5">C18-((J18/22)*26.0714285714285)</f>
        <v>10088.986688311736</v>
      </c>
      <c r="M18" s="115"/>
    </row>
    <row r="19" spans="1:13" s="92" customFormat="1" ht="11.45" customHeight="1" x14ac:dyDescent="0.25">
      <c r="A19" s="22" t="s">
        <v>30</v>
      </c>
      <c r="B19" s="29">
        <v>55160100</v>
      </c>
      <c r="C19" s="9">
        <f>16062-2109</f>
        <v>13953</v>
      </c>
      <c r="D19" s="9">
        <v>0</v>
      </c>
      <c r="E19" s="9">
        <v>0</v>
      </c>
      <c r="F19" s="10">
        <v>0</v>
      </c>
      <c r="G19" s="10">
        <v>0</v>
      </c>
      <c r="H19" s="9">
        <f>D19+F19+'04-15-21'!H19</f>
        <v>0</v>
      </c>
      <c r="I19" s="9">
        <f>E19+G19+'04-15-21'!I19</f>
        <v>0</v>
      </c>
      <c r="J19" s="9">
        <f t="shared" si="4"/>
        <v>0</v>
      </c>
      <c r="K19" s="9">
        <f t="shared" ref="K19:K20" si="6">C19-J19</f>
        <v>13953</v>
      </c>
      <c r="L19" s="9">
        <f t="shared" si="5"/>
        <v>13953</v>
      </c>
      <c r="M19" s="115"/>
    </row>
    <row r="20" spans="1:13" s="92" customFormat="1" ht="11.45" customHeight="1" x14ac:dyDescent="0.25">
      <c r="A20" s="13" t="s">
        <v>29</v>
      </c>
      <c r="B20" s="33">
        <v>55100100</v>
      </c>
      <c r="C20" s="9">
        <v>2026</v>
      </c>
      <c r="D20" s="10">
        <v>0</v>
      </c>
      <c r="E20" s="10">
        <v>0</v>
      </c>
      <c r="F20" s="10">
        <v>0</v>
      </c>
      <c r="G20" s="10">
        <v>0</v>
      </c>
      <c r="H20" s="9">
        <f>D20+F20+'04-15-21'!H20</f>
        <v>936.46</v>
      </c>
      <c r="I20" s="9">
        <f>E20+G20+'04-15-21'!I20</f>
        <v>16.864999999999998</v>
      </c>
      <c r="J20" s="9">
        <f t="shared" si="4"/>
        <v>953.32500000000005</v>
      </c>
      <c r="K20" s="9">
        <f t="shared" si="6"/>
        <v>1072.675</v>
      </c>
      <c r="L20" s="9">
        <f t="shared" si="5"/>
        <v>896.24797077922381</v>
      </c>
      <c r="M20" s="115"/>
    </row>
    <row r="21" spans="1:13" ht="21.6" customHeight="1" thickBot="1" x14ac:dyDescent="0.3">
      <c r="A21" s="155" t="s">
        <v>28</v>
      </c>
      <c r="B21" s="156"/>
      <c r="C21" s="7">
        <f t="shared" ref="C21:L21" si="7">SUM(C18:C20)</f>
        <v>42902</v>
      </c>
      <c r="D21" s="7">
        <f t="shared" si="7"/>
        <v>0</v>
      </c>
      <c r="E21" s="7">
        <f t="shared" si="7"/>
        <v>0</v>
      </c>
      <c r="F21" s="7">
        <f t="shared" si="7"/>
        <v>0</v>
      </c>
      <c r="G21" s="7">
        <f t="shared" si="7"/>
        <v>0</v>
      </c>
      <c r="H21" s="7">
        <f t="shared" si="7"/>
        <v>14439.46</v>
      </c>
      <c r="I21" s="7">
        <f t="shared" si="7"/>
        <v>719.00499999999988</v>
      </c>
      <c r="J21" s="49">
        <f t="shared" si="7"/>
        <v>15158.465</v>
      </c>
      <c r="K21" s="7">
        <f t="shared" si="7"/>
        <v>27743.535</v>
      </c>
      <c r="L21" s="7">
        <f t="shared" si="7"/>
        <v>24938.234659090958</v>
      </c>
    </row>
    <row r="22" spans="1:13" ht="11.25" customHeight="1" x14ac:dyDescent="0.25">
      <c r="A22" s="42"/>
      <c r="B22" s="41"/>
      <c r="C22" s="39"/>
      <c r="D22" s="39"/>
      <c r="E22" s="39"/>
      <c r="F22" s="39"/>
      <c r="G22" s="39"/>
      <c r="H22" s="39"/>
      <c r="I22" s="39"/>
      <c r="J22" s="39"/>
      <c r="K22" s="39"/>
      <c r="L22" s="51"/>
    </row>
    <row r="23" spans="1:13" ht="11.25" customHeight="1" thickBot="1" x14ac:dyDescent="0.3">
      <c r="A23" s="38"/>
      <c r="B23" s="37"/>
      <c r="C23" s="35"/>
      <c r="D23" s="35"/>
      <c r="E23" s="35"/>
      <c r="F23" s="35"/>
      <c r="G23" s="35"/>
      <c r="H23" s="35"/>
      <c r="I23" s="35"/>
      <c r="J23" s="35"/>
      <c r="K23" s="35"/>
      <c r="L23" s="50"/>
    </row>
    <row r="24" spans="1:13" s="99" customFormat="1" ht="11.45" customHeight="1" x14ac:dyDescent="0.25">
      <c r="A24" s="13" t="s">
        <v>27</v>
      </c>
      <c r="B24" s="33">
        <v>55200000</v>
      </c>
      <c r="C24" s="9">
        <v>25000</v>
      </c>
      <c r="D24" s="10">
        <v>915</v>
      </c>
      <c r="E24" s="10">
        <v>17.38</v>
      </c>
      <c r="F24" s="10">
        <v>0</v>
      </c>
      <c r="G24" s="10">
        <v>0</v>
      </c>
      <c r="H24" s="9">
        <f>D24+F24+'04-15-21'!H24</f>
        <v>10751.25</v>
      </c>
      <c r="I24" s="9">
        <f>E24+G24+'04-15-21'!I24</f>
        <v>204.17000000000002</v>
      </c>
      <c r="J24" s="9">
        <f t="shared" ref="J24:J26" si="8">H24+I24</f>
        <v>10955.42</v>
      </c>
      <c r="K24" s="9">
        <f>C24-J24</f>
        <v>14044.58</v>
      </c>
      <c r="L24" s="9">
        <f t="shared" ref="L24:L26" si="9">C24-((J24/22)*26.0714285714285)</f>
        <v>12017.115909090944</v>
      </c>
      <c r="M24" s="118"/>
    </row>
    <row r="25" spans="1:13" s="99" customFormat="1" ht="11.45" hidden="1" customHeight="1" x14ac:dyDescent="0.25">
      <c r="A25" s="13" t="s">
        <v>26</v>
      </c>
      <c r="B25" s="100" t="s">
        <v>25</v>
      </c>
      <c r="C25" s="46">
        <v>0</v>
      </c>
      <c r="D25" s="45"/>
      <c r="E25" s="45"/>
      <c r="F25" s="45"/>
      <c r="G25" s="45"/>
      <c r="H25" s="9">
        <f>D25+F25+'04-15-21'!H25</f>
        <v>0</v>
      </c>
      <c r="I25" s="9">
        <f>E25+G25+'04-15-21'!I25</f>
        <v>-9.9999999999997868E-3</v>
      </c>
      <c r="J25" s="9">
        <f t="shared" si="8"/>
        <v>-9.9999999999997868E-3</v>
      </c>
      <c r="K25" s="75">
        <f t="shared" ref="K25:K26" si="10">C25-J25</f>
        <v>9.9999999999997868E-3</v>
      </c>
      <c r="L25" s="9">
        <f t="shared" si="9"/>
        <v>1.1850649350649065E-2</v>
      </c>
      <c r="M25" s="118"/>
    </row>
    <row r="26" spans="1:13" s="99" customFormat="1" ht="10.9" customHeight="1" x14ac:dyDescent="0.25">
      <c r="A26" s="28" t="s">
        <v>24</v>
      </c>
      <c r="B26" s="47" t="s">
        <v>23</v>
      </c>
      <c r="C26" s="46">
        <v>0</v>
      </c>
      <c r="D26" s="45">
        <v>0</v>
      </c>
      <c r="E26" s="45">
        <v>0</v>
      </c>
      <c r="F26" s="45">
        <v>0</v>
      </c>
      <c r="G26" s="45">
        <v>0</v>
      </c>
      <c r="H26" s="9">
        <f>D26+F26+'04-15-21'!H26</f>
        <v>0</v>
      </c>
      <c r="I26" s="9">
        <f>E26+G26+'04-15-21'!I26</f>
        <v>0</v>
      </c>
      <c r="J26" s="9">
        <f t="shared" si="8"/>
        <v>0</v>
      </c>
      <c r="K26" s="9">
        <f t="shared" si="10"/>
        <v>0</v>
      </c>
      <c r="L26" s="9">
        <f t="shared" si="9"/>
        <v>0</v>
      </c>
      <c r="M26" s="117"/>
    </row>
    <row r="27" spans="1:13" s="99" customFormat="1" ht="10.9" customHeight="1" x14ac:dyDescent="0.25">
      <c r="A27" s="136" t="s">
        <v>12</v>
      </c>
      <c r="B27" s="137">
        <v>55110100</v>
      </c>
      <c r="C27" s="46">
        <f>2659+6100+5341</f>
        <v>14100</v>
      </c>
      <c r="D27" s="45">
        <v>0</v>
      </c>
      <c r="E27" s="45">
        <v>0</v>
      </c>
      <c r="F27" s="45">
        <v>1402.5</v>
      </c>
      <c r="G27" s="45">
        <v>72.930000000000007</v>
      </c>
      <c r="H27" s="9">
        <f>D27+F27+'04-15-21'!H38</f>
        <v>11662.5</v>
      </c>
      <c r="I27" s="9">
        <f>E27+G27+'04-15-21'!I38</f>
        <v>505.46</v>
      </c>
      <c r="J27" s="9">
        <f>H27+I27</f>
        <v>12167.96</v>
      </c>
      <c r="K27" s="9">
        <f>C27-J27</f>
        <v>1932.0400000000009</v>
      </c>
      <c r="L27" s="9">
        <f>C27-((J27/22)*26.0714285714285)</f>
        <v>-319.82272727268537</v>
      </c>
      <c r="M27" s="117"/>
    </row>
    <row r="28" spans="1:13" ht="24.75" customHeight="1" thickBot="1" x14ac:dyDescent="0.3">
      <c r="A28" s="157" t="s">
        <v>22</v>
      </c>
      <c r="B28" s="158"/>
      <c r="C28" s="43">
        <f>SUM(C24:C25)</f>
        <v>25000</v>
      </c>
      <c r="D28" s="43">
        <f t="shared" ref="D28:L28" si="11">SUM(D24:D26)</f>
        <v>915</v>
      </c>
      <c r="E28" s="43">
        <f t="shared" si="11"/>
        <v>17.38</v>
      </c>
      <c r="F28" s="43">
        <f t="shared" si="11"/>
        <v>0</v>
      </c>
      <c r="G28" s="43">
        <f t="shared" si="11"/>
        <v>0</v>
      </c>
      <c r="H28" s="43">
        <f t="shared" si="11"/>
        <v>10751.25</v>
      </c>
      <c r="I28" s="43">
        <f t="shared" si="11"/>
        <v>204.16000000000003</v>
      </c>
      <c r="J28" s="43">
        <f t="shared" si="11"/>
        <v>10955.41</v>
      </c>
      <c r="K28" s="43">
        <f t="shared" si="11"/>
        <v>14044.59</v>
      </c>
      <c r="L28" s="34">
        <f t="shared" si="11"/>
        <v>12017.127759740295</v>
      </c>
    </row>
    <row r="29" spans="1:13" ht="11.25" customHeight="1" x14ac:dyDescent="0.25">
      <c r="A29" s="42"/>
      <c r="B29" s="41"/>
      <c r="C29" s="39"/>
      <c r="D29" s="39"/>
      <c r="E29" s="39"/>
      <c r="F29" s="39"/>
      <c r="G29" s="39"/>
      <c r="H29" s="39"/>
      <c r="I29" s="39"/>
      <c r="J29" s="39"/>
      <c r="K29" s="39"/>
      <c r="L29" s="39"/>
    </row>
    <row r="30" spans="1:13" ht="11.25" customHeight="1" thickBot="1" x14ac:dyDescent="0.3">
      <c r="A30" s="38"/>
      <c r="B30" s="37"/>
      <c r="C30" s="35"/>
      <c r="D30" s="35"/>
      <c r="E30" s="35"/>
      <c r="F30" s="35"/>
      <c r="G30" s="35"/>
      <c r="H30" s="35"/>
      <c r="I30" s="35"/>
      <c r="J30" s="35"/>
      <c r="K30" s="35"/>
      <c r="L30" s="35"/>
    </row>
    <row r="31" spans="1:13" ht="21.6" customHeight="1" x14ac:dyDescent="0.25">
      <c r="A31" s="159" t="s">
        <v>21</v>
      </c>
      <c r="B31" s="159"/>
      <c r="C31" s="34">
        <f>C15+C21+C28</f>
        <v>336346.29000000004</v>
      </c>
      <c r="D31" s="34">
        <f t="shared" ref="D31:L31" si="12">D15+D21+D28</f>
        <v>9622.52</v>
      </c>
      <c r="E31" s="34">
        <f t="shared" si="12"/>
        <v>182.77000000000004</v>
      </c>
      <c r="F31" s="34">
        <f t="shared" si="12"/>
        <v>7771.88</v>
      </c>
      <c r="G31" s="34">
        <f t="shared" si="12"/>
        <v>404.13000000000005</v>
      </c>
      <c r="H31" s="34">
        <f t="shared" si="12"/>
        <v>193978.7</v>
      </c>
      <c r="I31" s="34">
        <f t="shared" si="12"/>
        <v>5946.6850000000004</v>
      </c>
      <c r="J31" s="34">
        <f t="shared" si="12"/>
        <v>199925.38500000001</v>
      </c>
      <c r="K31" s="34">
        <f t="shared" si="12"/>
        <v>136420.905</v>
      </c>
      <c r="L31" s="34">
        <f t="shared" si="12"/>
        <v>99421.726607143515</v>
      </c>
    </row>
    <row r="32" spans="1:13" ht="10.9" customHeight="1" x14ac:dyDescent="0.25">
      <c r="A32" s="17"/>
      <c r="B32" s="16"/>
      <c r="C32" s="15"/>
      <c r="D32" s="15"/>
      <c r="E32" s="15"/>
      <c r="F32" s="15"/>
      <c r="G32" s="15"/>
      <c r="H32" s="15"/>
      <c r="I32" s="15"/>
      <c r="J32" s="15"/>
      <c r="K32" s="15"/>
      <c r="L32" s="15"/>
    </row>
    <row r="33" spans="1:13" ht="11.25" customHeight="1" x14ac:dyDescent="0.25">
      <c r="A33" s="17"/>
      <c r="B33" s="16"/>
      <c r="C33" s="15"/>
      <c r="D33" s="15"/>
      <c r="E33" s="15"/>
      <c r="F33" s="15"/>
      <c r="G33" s="15"/>
      <c r="H33" s="15"/>
      <c r="I33" s="15"/>
      <c r="J33" s="15"/>
      <c r="K33" s="15"/>
      <c r="L33" s="15"/>
    </row>
    <row r="34" spans="1:13" s="104" customFormat="1" ht="11.25" customHeight="1" x14ac:dyDescent="0.25">
      <c r="A34" s="28" t="s">
        <v>20</v>
      </c>
      <c r="B34" s="27" t="s">
        <v>19</v>
      </c>
      <c r="C34" s="9">
        <v>0</v>
      </c>
      <c r="D34" s="10">
        <v>0</v>
      </c>
      <c r="E34" s="10">
        <v>0</v>
      </c>
      <c r="F34" s="10">
        <v>0</v>
      </c>
      <c r="G34" s="10">
        <v>0</v>
      </c>
      <c r="H34" s="9">
        <f>D34+F34+'04-15-21'!H33</f>
        <v>0</v>
      </c>
      <c r="I34" s="9">
        <f>E34+G34+'04-15-21'!I33</f>
        <v>0</v>
      </c>
      <c r="J34" s="9">
        <f t="shared" ref="J34:J51" si="13">H34+I34</f>
        <v>0</v>
      </c>
      <c r="K34" s="9">
        <f>C34-J34</f>
        <v>0</v>
      </c>
      <c r="L34" s="9">
        <f t="shared" ref="L34:L51" si="14">C34-((J34/22)*26.0714285714285)</f>
        <v>0</v>
      </c>
      <c r="M34" s="119"/>
    </row>
    <row r="35" spans="1:13" s="104" customFormat="1" ht="11.25" customHeight="1" x14ac:dyDescent="0.25">
      <c r="A35" s="32" t="s">
        <v>123</v>
      </c>
      <c r="B35" s="132" t="s">
        <v>55</v>
      </c>
      <c r="C35" s="9">
        <f>2795.22+12000</f>
        <v>14795.22</v>
      </c>
      <c r="D35" s="10">
        <v>0</v>
      </c>
      <c r="E35" s="10">
        <v>0</v>
      </c>
      <c r="F35" s="10">
        <v>0</v>
      </c>
      <c r="G35" s="10">
        <v>0</v>
      </c>
      <c r="H35" s="9">
        <f>D35+F35+'04-15-21'!H34</f>
        <v>8090</v>
      </c>
      <c r="I35" s="9">
        <f>E35+G35+'04-15-21'!I34</f>
        <v>368.86</v>
      </c>
      <c r="J35" s="9">
        <f>H35+I35</f>
        <v>8458.86</v>
      </c>
      <c r="K35" s="9">
        <f>C35-J35</f>
        <v>6336.3599999999988</v>
      </c>
      <c r="L35" s="9">
        <f t="shared" si="14"/>
        <v>4770.921623376651</v>
      </c>
      <c r="M35" s="129"/>
    </row>
    <row r="36" spans="1:13" s="104" customFormat="1" ht="11.25" hidden="1" customHeight="1" x14ac:dyDescent="0.25">
      <c r="A36" s="32" t="s">
        <v>18</v>
      </c>
      <c r="B36" s="27" t="s">
        <v>17</v>
      </c>
      <c r="C36" s="105">
        <v>0</v>
      </c>
      <c r="D36" s="10"/>
      <c r="E36" s="10"/>
      <c r="F36" s="10"/>
      <c r="G36" s="10"/>
      <c r="H36" s="9">
        <f>D36+F36+'04-15-21'!H35</f>
        <v>0</v>
      </c>
      <c r="I36" s="9">
        <f>E36+G36+'04-15-21'!I35</f>
        <v>-1.0000000000005116E-2</v>
      </c>
      <c r="J36" s="9">
        <f t="shared" si="13"/>
        <v>-1.0000000000005116E-2</v>
      </c>
      <c r="K36" s="9">
        <f t="shared" ref="K36:K48" si="15">C36-J36</f>
        <v>1.0000000000005116E-2</v>
      </c>
      <c r="L36" s="9">
        <f t="shared" si="14"/>
        <v>1.1850649350655381E-2</v>
      </c>
      <c r="M36" s="119"/>
    </row>
    <row r="37" spans="1:13" s="106" customFormat="1" ht="11.25" customHeight="1" x14ac:dyDescent="0.25">
      <c r="A37" s="28" t="s">
        <v>16</v>
      </c>
      <c r="B37" s="29" t="s">
        <v>15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f>D37+F37+'04-15-21'!H36</f>
        <v>0</v>
      </c>
      <c r="I37" s="9">
        <f>E37+G37+'04-15-21'!I36</f>
        <v>0</v>
      </c>
      <c r="J37" s="9">
        <f t="shared" si="13"/>
        <v>0</v>
      </c>
      <c r="K37" s="9">
        <f t="shared" si="15"/>
        <v>0</v>
      </c>
      <c r="L37" s="9">
        <f t="shared" si="14"/>
        <v>0</v>
      </c>
      <c r="M37" s="120"/>
    </row>
    <row r="38" spans="1:13" s="106" customFormat="1" ht="11.25" customHeight="1" x14ac:dyDescent="0.25">
      <c r="A38" s="28" t="s">
        <v>125</v>
      </c>
      <c r="B38" s="132" t="s">
        <v>13</v>
      </c>
      <c r="C38" s="9">
        <f>2500</f>
        <v>2500</v>
      </c>
      <c r="D38" s="9">
        <v>138.72</v>
      </c>
      <c r="E38" s="9">
        <v>2.63</v>
      </c>
      <c r="F38" s="9">
        <v>0</v>
      </c>
      <c r="G38" s="9">
        <v>0</v>
      </c>
      <c r="H38" s="9">
        <f>D38+F38+'04-15-21'!H37</f>
        <v>1673.9099999999996</v>
      </c>
      <c r="I38" s="9">
        <f>E38+G38+'04-15-21'!I37</f>
        <v>31.679999999999996</v>
      </c>
      <c r="J38" s="10">
        <f t="shared" si="13"/>
        <v>1705.5899999999997</v>
      </c>
      <c r="K38" s="9">
        <f t="shared" si="15"/>
        <v>794.41000000000031</v>
      </c>
      <c r="L38" s="9">
        <f t="shared" si="14"/>
        <v>478.76509740260326</v>
      </c>
      <c r="M38" s="116"/>
    </row>
    <row r="39" spans="1:13" s="106" customFormat="1" ht="11.25" customHeight="1" x14ac:dyDescent="0.25">
      <c r="A39" s="28" t="s">
        <v>11</v>
      </c>
      <c r="B39" s="27" t="s">
        <v>10</v>
      </c>
      <c r="C39" s="9">
        <v>0</v>
      </c>
      <c r="D39" s="10">
        <v>0</v>
      </c>
      <c r="E39" s="10">
        <v>0</v>
      </c>
      <c r="F39" s="10">
        <v>0</v>
      </c>
      <c r="G39" s="10">
        <v>0</v>
      </c>
      <c r="H39" s="9">
        <f>D39+F39+'04-15-21'!H39</f>
        <v>0</v>
      </c>
      <c r="I39" s="9">
        <f>E39+G39+'04-15-21'!I39</f>
        <v>0</v>
      </c>
      <c r="J39" s="9">
        <f t="shared" si="13"/>
        <v>0</v>
      </c>
      <c r="K39" s="9">
        <f t="shared" si="15"/>
        <v>0</v>
      </c>
      <c r="L39" s="9">
        <f t="shared" si="14"/>
        <v>0</v>
      </c>
      <c r="M39" s="126"/>
    </row>
    <row r="40" spans="1:13" s="106" customFormat="1" ht="11.25" customHeight="1" x14ac:dyDescent="0.25">
      <c r="A40" s="25" t="s">
        <v>105</v>
      </c>
      <c r="B40" s="108" t="s">
        <v>69</v>
      </c>
      <c r="C40" s="9">
        <v>1500</v>
      </c>
      <c r="D40" s="9">
        <v>0</v>
      </c>
      <c r="E40" s="9">
        <v>0</v>
      </c>
      <c r="F40" s="9">
        <v>0</v>
      </c>
      <c r="G40" s="9">
        <v>0</v>
      </c>
      <c r="H40" s="9">
        <f>D40+F40+'04-15-21'!H40</f>
        <v>1122.3499999999997</v>
      </c>
      <c r="I40" s="9">
        <f>E40+G40+'04-15-21'!I40</f>
        <v>21.117000000000004</v>
      </c>
      <c r="J40" s="9">
        <f t="shared" si="13"/>
        <v>1143.4669999999996</v>
      </c>
      <c r="K40" s="9">
        <f t="shared" si="15"/>
        <v>356.53300000000036</v>
      </c>
      <c r="L40" s="9">
        <f t="shared" si="14"/>
        <v>144.91735389610812</v>
      </c>
      <c r="M40" s="126"/>
    </row>
    <row r="41" spans="1:13" s="106" customFormat="1" ht="11.45" customHeight="1" x14ac:dyDescent="0.25">
      <c r="A41" s="25" t="s">
        <v>89</v>
      </c>
      <c r="B41" s="108" t="s">
        <v>88</v>
      </c>
      <c r="C41" s="9">
        <v>1200</v>
      </c>
      <c r="D41" s="9">
        <v>0</v>
      </c>
      <c r="E41" s="9">
        <v>0</v>
      </c>
      <c r="F41" s="9">
        <v>0</v>
      </c>
      <c r="G41" s="9">
        <v>0</v>
      </c>
      <c r="H41" s="9">
        <f>D41+F41+'04-15-21'!H41</f>
        <v>633.79999999999995</v>
      </c>
      <c r="I41" s="9">
        <f>E41+G41+'04-15-21'!I41</f>
        <v>11.979999999999999</v>
      </c>
      <c r="J41" s="9">
        <f t="shared" si="13"/>
        <v>645.78</v>
      </c>
      <c r="K41" s="9">
        <f>C41-J41</f>
        <v>554.22</v>
      </c>
      <c r="L41" s="9">
        <f t="shared" si="14"/>
        <v>434.70876623376842</v>
      </c>
      <c r="M41" s="120"/>
    </row>
    <row r="42" spans="1:13" s="98" customFormat="1" ht="11.45" customHeight="1" x14ac:dyDescent="0.25">
      <c r="A42" s="25" t="s">
        <v>61</v>
      </c>
      <c r="B42" s="108" t="s">
        <v>62</v>
      </c>
      <c r="C42" s="9">
        <f>9800+1200+450</f>
        <v>11450</v>
      </c>
      <c r="D42" s="9">
        <v>414</v>
      </c>
      <c r="E42" s="9">
        <v>7.86</v>
      </c>
      <c r="F42" s="9">
        <v>0</v>
      </c>
      <c r="G42" s="9">
        <v>0</v>
      </c>
      <c r="H42" s="9">
        <f>D42+F42+'04-15-21'!H42</f>
        <v>11025</v>
      </c>
      <c r="I42" s="9">
        <f>E42+G42+'04-15-21'!I42</f>
        <v>447.83</v>
      </c>
      <c r="J42" s="9">
        <f t="shared" si="13"/>
        <v>11472.83</v>
      </c>
      <c r="K42" s="107">
        <f>C42-J42</f>
        <v>-22.829999999999927</v>
      </c>
      <c r="L42" s="9">
        <f t="shared" si="14"/>
        <v>-2146.0485389610003</v>
      </c>
      <c r="M42" s="116"/>
    </row>
    <row r="43" spans="1:13" s="98" customFormat="1" ht="11.45" customHeight="1" x14ac:dyDescent="0.25">
      <c r="A43" s="25" t="s">
        <v>59</v>
      </c>
      <c r="B43" s="108" t="s">
        <v>60</v>
      </c>
      <c r="C43" s="9">
        <f>2453.12+2598.45+16442.41</f>
        <v>21493.98</v>
      </c>
      <c r="D43" s="9">
        <v>52.5</v>
      </c>
      <c r="E43" s="9">
        <v>0.99</v>
      </c>
      <c r="F43" s="9">
        <v>0</v>
      </c>
      <c r="G43" s="9">
        <v>0</v>
      </c>
      <c r="H43" s="9">
        <f>D43+F43+'04-15-21'!H43</f>
        <v>5543.83</v>
      </c>
      <c r="I43" s="9">
        <f>E43+G43+'04-15-21'!I43</f>
        <v>105.21999999999998</v>
      </c>
      <c r="J43" s="9">
        <f t="shared" si="13"/>
        <v>5649.05</v>
      </c>
      <c r="K43" s="9">
        <f>C43-J43</f>
        <v>15844.93</v>
      </c>
      <c r="L43" s="9">
        <f t="shared" si="14"/>
        <v>14799.488928571445</v>
      </c>
      <c r="M43" s="116"/>
    </row>
    <row r="44" spans="1:13" s="98" customFormat="1" ht="11.45" customHeight="1" x14ac:dyDescent="0.25">
      <c r="A44" s="25" t="s">
        <v>70</v>
      </c>
      <c r="B44" s="108" t="s">
        <v>71</v>
      </c>
      <c r="C44" s="9">
        <v>5600</v>
      </c>
      <c r="D44" s="9">
        <v>0</v>
      </c>
      <c r="E44" s="9">
        <v>0</v>
      </c>
      <c r="F44" s="9">
        <v>0</v>
      </c>
      <c r="G44" s="9">
        <v>0</v>
      </c>
      <c r="H44" s="9">
        <f>D44+F44+'04-15-21'!H44</f>
        <v>4041.7000000000003</v>
      </c>
      <c r="I44" s="9">
        <f>E44+G44+'04-15-21'!I44</f>
        <v>76.720000000000013</v>
      </c>
      <c r="J44" s="9">
        <f t="shared" si="13"/>
        <v>4118.42</v>
      </c>
      <c r="K44" s="9">
        <f t="shared" ref="K44" si="16">C44-J44</f>
        <v>1481.58</v>
      </c>
      <c r="L44" s="9">
        <f t="shared" si="14"/>
        <v>719.40487012988342</v>
      </c>
      <c r="M44" s="116"/>
    </row>
    <row r="45" spans="1:13" s="98" customFormat="1" ht="11.45" customHeight="1" x14ac:dyDescent="0.25">
      <c r="A45" s="25" t="s">
        <v>7</v>
      </c>
      <c r="B45" s="108" t="s">
        <v>6</v>
      </c>
      <c r="C45" s="9">
        <v>1609.56</v>
      </c>
      <c r="D45" s="9">
        <v>165</v>
      </c>
      <c r="E45" s="9">
        <v>3.13</v>
      </c>
      <c r="F45" s="9">
        <v>0</v>
      </c>
      <c r="G45" s="9">
        <v>0</v>
      </c>
      <c r="H45" s="9">
        <f>D45+F45+'04-15-21'!H45</f>
        <v>1267.5</v>
      </c>
      <c r="I45" s="9">
        <f>E45+G45+'04-15-21'!I45</f>
        <v>24.05</v>
      </c>
      <c r="J45" s="9">
        <f t="shared" si="13"/>
        <v>1291.55</v>
      </c>
      <c r="K45" s="9">
        <f>C45-J45</f>
        <v>318.01</v>
      </c>
      <c r="L45" s="9">
        <f t="shared" si="14"/>
        <v>78.989383116887439</v>
      </c>
      <c r="M45" s="116"/>
    </row>
    <row r="46" spans="1:13" s="98" customFormat="1" ht="11.45" customHeight="1" x14ac:dyDescent="0.25">
      <c r="A46" s="25" t="s">
        <v>9</v>
      </c>
      <c r="B46" s="108" t="s">
        <v>8</v>
      </c>
      <c r="C46" s="9">
        <v>0</v>
      </c>
      <c r="D46" s="10">
        <v>0</v>
      </c>
      <c r="E46" s="10">
        <v>0</v>
      </c>
      <c r="F46" s="10">
        <v>0</v>
      </c>
      <c r="G46" s="10">
        <v>0</v>
      </c>
      <c r="H46" s="9">
        <f>D46+F46+'04-15-21'!H46</f>
        <v>0</v>
      </c>
      <c r="I46" s="9">
        <f>E46+G46+'04-15-21'!I46</f>
        <v>0</v>
      </c>
      <c r="J46" s="9">
        <f t="shared" si="13"/>
        <v>0</v>
      </c>
      <c r="K46" s="9">
        <f t="shared" si="15"/>
        <v>0</v>
      </c>
      <c r="L46" s="9">
        <f t="shared" si="14"/>
        <v>0</v>
      </c>
      <c r="M46" s="116"/>
    </row>
    <row r="47" spans="1:13" s="98" customFormat="1" ht="11.45" customHeight="1" x14ac:dyDescent="0.25">
      <c r="A47" s="25" t="s">
        <v>63</v>
      </c>
      <c r="B47" s="108" t="s">
        <v>66</v>
      </c>
      <c r="C47" s="9">
        <v>1784.19</v>
      </c>
      <c r="D47" s="10">
        <v>0</v>
      </c>
      <c r="E47" s="10">
        <v>0</v>
      </c>
      <c r="F47" s="10">
        <v>0</v>
      </c>
      <c r="G47" s="10">
        <v>0</v>
      </c>
      <c r="H47" s="9">
        <f>D47+F47+'04-15-21'!H47</f>
        <v>1504</v>
      </c>
      <c r="I47" s="9">
        <f>E47+G47+'04-15-21'!I47</f>
        <v>78.179999999999993</v>
      </c>
      <c r="J47" s="9">
        <f t="shared" si="13"/>
        <v>1582.18</v>
      </c>
      <c r="K47" s="9">
        <f t="shared" si="15"/>
        <v>202.01</v>
      </c>
      <c r="L47" s="9">
        <f t="shared" si="14"/>
        <v>-90.796038961033673</v>
      </c>
      <c r="M47" s="116"/>
    </row>
    <row r="48" spans="1:13" s="98" customFormat="1" ht="11.45" hidden="1" customHeight="1" x14ac:dyDescent="0.25">
      <c r="A48" s="25" t="s">
        <v>64</v>
      </c>
      <c r="B48" s="108" t="s">
        <v>65</v>
      </c>
      <c r="C48" s="97"/>
      <c r="D48" s="10"/>
      <c r="E48" s="10"/>
      <c r="F48" s="10"/>
      <c r="G48" s="10"/>
      <c r="H48" s="9">
        <f>D48+F48+'04-15-21'!H48</f>
        <v>0</v>
      </c>
      <c r="I48" s="9">
        <f>E48+G48+'04-15-21'!I48</f>
        <v>0</v>
      </c>
      <c r="J48" s="9">
        <f t="shared" si="13"/>
        <v>0</v>
      </c>
      <c r="K48" s="9">
        <f t="shared" si="15"/>
        <v>0</v>
      </c>
      <c r="L48" s="9">
        <f t="shared" si="14"/>
        <v>0</v>
      </c>
      <c r="M48" s="116"/>
    </row>
    <row r="49" spans="1:13" s="110" customFormat="1" ht="11.25" customHeight="1" x14ac:dyDescent="0.25">
      <c r="A49" s="25" t="s">
        <v>57</v>
      </c>
      <c r="B49" s="108" t="s">
        <v>58</v>
      </c>
      <c r="C49" s="109">
        <v>5369</v>
      </c>
      <c r="D49" s="109">
        <v>450</v>
      </c>
      <c r="E49" s="109">
        <v>8.5500000000000007</v>
      </c>
      <c r="F49" s="109">
        <v>0</v>
      </c>
      <c r="G49" s="109">
        <v>0</v>
      </c>
      <c r="H49" s="9">
        <f>D49+F49+'04-15-21'!H49</f>
        <v>1682.0900000000001</v>
      </c>
      <c r="I49" s="9">
        <f>E49+G49+'04-15-21'!I49</f>
        <v>31.85</v>
      </c>
      <c r="J49" s="9">
        <f t="shared" si="13"/>
        <v>1713.94</v>
      </c>
      <c r="K49" s="9">
        <f>C49-J49</f>
        <v>3655.06</v>
      </c>
      <c r="L49" s="9">
        <f t="shared" si="14"/>
        <v>3337.8698051948109</v>
      </c>
      <c r="M49" s="115"/>
    </row>
    <row r="50" spans="1:13" s="110" customFormat="1" ht="11.25" customHeight="1" x14ac:dyDescent="0.25">
      <c r="A50" s="25" t="s">
        <v>95</v>
      </c>
      <c r="B50" s="108" t="s">
        <v>94</v>
      </c>
      <c r="C50" s="109">
        <f>2000+1000+500</f>
        <v>3500</v>
      </c>
      <c r="D50" s="109">
        <v>260</v>
      </c>
      <c r="E50" s="109">
        <v>4.9400000000000004</v>
      </c>
      <c r="F50" s="109">
        <v>0</v>
      </c>
      <c r="G50" s="109">
        <v>0</v>
      </c>
      <c r="H50" s="9">
        <f>D50+F50+'04-15-21'!H50</f>
        <v>3071.5</v>
      </c>
      <c r="I50" s="9">
        <f>E50+G50+'04-15-21'!I50</f>
        <v>59.129999999999995</v>
      </c>
      <c r="J50" s="9">
        <f t="shared" si="13"/>
        <v>3130.63</v>
      </c>
      <c r="K50" s="9">
        <f>C50-J50</f>
        <v>369.36999999999989</v>
      </c>
      <c r="L50" s="9">
        <f t="shared" si="14"/>
        <v>-209.99983766232754</v>
      </c>
      <c r="M50" s="116"/>
    </row>
    <row r="51" spans="1:13" s="110" customFormat="1" ht="11.25" customHeight="1" x14ac:dyDescent="0.25">
      <c r="A51" s="25" t="s">
        <v>131</v>
      </c>
      <c r="B51" s="108" t="s">
        <v>130</v>
      </c>
      <c r="C51" s="109">
        <f>28.53+2000</f>
        <v>2028.53</v>
      </c>
      <c r="D51" s="109">
        <v>150</v>
      </c>
      <c r="E51" s="109">
        <v>2.85</v>
      </c>
      <c r="F51" s="109">
        <v>0</v>
      </c>
      <c r="G51" s="109">
        <v>0</v>
      </c>
      <c r="H51" s="9">
        <f>D51+F51+'04-15-21'!H51</f>
        <v>178</v>
      </c>
      <c r="I51" s="9">
        <f>E51+G51+'04-15-21'!I51</f>
        <v>3.38</v>
      </c>
      <c r="J51" s="9">
        <f t="shared" si="13"/>
        <v>181.38</v>
      </c>
      <c r="K51" s="9">
        <f>C51-J51</f>
        <v>1847.15</v>
      </c>
      <c r="L51" s="9">
        <f t="shared" si="14"/>
        <v>1813.5829220779226</v>
      </c>
      <c r="M51" s="116"/>
    </row>
    <row r="52" spans="1:13" s="110" customFormat="1" ht="11.25" customHeight="1" x14ac:dyDescent="0.25">
      <c r="A52" s="74" t="s">
        <v>141</v>
      </c>
      <c r="B52" s="108" t="s">
        <v>142</v>
      </c>
      <c r="C52" s="127">
        <v>3800</v>
      </c>
      <c r="D52" s="127">
        <v>0</v>
      </c>
      <c r="E52" s="127">
        <v>0</v>
      </c>
      <c r="F52" s="127">
        <v>0</v>
      </c>
      <c r="G52" s="127">
        <v>0</v>
      </c>
      <c r="H52" s="73">
        <f>D52+F52</f>
        <v>0</v>
      </c>
      <c r="I52" s="73">
        <f>E52+G52</f>
        <v>0</v>
      </c>
      <c r="J52" s="73">
        <f t="shared" ref="J52" si="17">H52+I52</f>
        <v>0</v>
      </c>
      <c r="K52" s="73">
        <f>C52-J52</f>
        <v>3800</v>
      </c>
      <c r="L52" s="73">
        <f t="shared" ref="L52" si="18">C52-((J52/22)*26.0714285714285)</f>
        <v>3800</v>
      </c>
      <c r="M52" s="116"/>
    </row>
    <row r="53" spans="1:13" ht="21.6" customHeight="1" x14ac:dyDescent="0.25">
      <c r="A53" s="153" t="s">
        <v>5</v>
      </c>
      <c r="B53" s="154"/>
      <c r="C53" s="7">
        <f>SUM(C34:C49)</f>
        <v>67301.95</v>
      </c>
      <c r="D53" s="7"/>
      <c r="E53" s="7"/>
      <c r="F53" s="7"/>
      <c r="G53" s="7"/>
      <c r="H53" s="7">
        <f>SUM(H34:H50)</f>
        <v>39655.679999999993</v>
      </c>
      <c r="I53" s="7">
        <f>SUM(I34:I50)</f>
        <v>1256.607</v>
      </c>
      <c r="J53" s="7">
        <f>SUM(J34:J50)</f>
        <v>40912.287000000004</v>
      </c>
      <c r="K53" s="7">
        <f>SUM(K34:K50)</f>
        <v>29889.663</v>
      </c>
      <c r="L53" s="7">
        <f>SUM(L34:L50)</f>
        <v>22318.233262987153</v>
      </c>
      <c r="M53" s="133"/>
    </row>
    <row r="54" spans="1:13" ht="10.9" customHeight="1" x14ac:dyDescent="0.25">
      <c r="A54" s="17"/>
      <c r="B54" s="16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33"/>
    </row>
    <row r="55" spans="1:13" ht="10.9" customHeight="1" x14ac:dyDescent="0.25">
      <c r="A55" s="17"/>
      <c r="B55" s="16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6" spans="1:13" s="92" customFormat="1" ht="10.9" customHeight="1" x14ac:dyDescent="0.25">
      <c r="A56" s="22" t="s">
        <v>4</v>
      </c>
      <c r="B56" s="29" t="s">
        <v>3</v>
      </c>
      <c r="C56" s="9">
        <v>62583</v>
      </c>
      <c r="D56" s="10">
        <v>1749.13</v>
      </c>
      <c r="E56" s="10">
        <v>33.229999999999997</v>
      </c>
      <c r="F56" s="10">
        <v>646.88</v>
      </c>
      <c r="G56" s="10">
        <v>33.630000000000003</v>
      </c>
      <c r="H56" s="9">
        <f>D56+F56+'04-15-21'!H55</f>
        <v>21842.36</v>
      </c>
      <c r="I56" s="9">
        <f>E56+G56+'04-15-21'!I55</f>
        <v>486.25200000000007</v>
      </c>
      <c r="J56" s="9">
        <f t="shared" ref="J56:J57" si="19">H56+I56</f>
        <v>22328.612000000001</v>
      </c>
      <c r="K56" s="9">
        <f>C56-J56</f>
        <v>40254.387999999999</v>
      </c>
      <c r="L56" s="9">
        <f t="shared" ref="L56:L57" si="20">C56-((J56/22)*26.0714285714285)</f>
        <v>36122.144870129945</v>
      </c>
      <c r="M56" s="115"/>
    </row>
    <row r="57" spans="1:13" s="92" customFormat="1" ht="10.9" customHeight="1" x14ac:dyDescent="0.25">
      <c r="A57" s="22" t="s">
        <v>112</v>
      </c>
      <c r="B57" s="29" t="s">
        <v>111</v>
      </c>
      <c r="C57" s="9">
        <v>11243</v>
      </c>
      <c r="D57" s="9">
        <v>0</v>
      </c>
      <c r="E57" s="9">
        <v>0</v>
      </c>
      <c r="F57" s="9">
        <v>0</v>
      </c>
      <c r="G57" s="9">
        <v>0</v>
      </c>
      <c r="H57" s="9">
        <f>D57+F57+'04-15-21'!H56</f>
        <v>0</v>
      </c>
      <c r="I57" s="9">
        <f>E57+G57+'04-15-21'!I56</f>
        <v>0</v>
      </c>
      <c r="J57" s="9">
        <f t="shared" si="19"/>
        <v>0</v>
      </c>
      <c r="K57" s="9">
        <f>C57-J57</f>
        <v>11243</v>
      </c>
      <c r="L57" s="9">
        <f t="shared" si="20"/>
        <v>11243</v>
      </c>
      <c r="M57" s="115"/>
    </row>
    <row r="58" spans="1:13" ht="21.6" customHeight="1" x14ac:dyDescent="0.25">
      <c r="A58" s="20" t="s">
        <v>2</v>
      </c>
      <c r="B58" s="19"/>
      <c r="C58" s="18">
        <f>C56+C57</f>
        <v>73826</v>
      </c>
      <c r="D58" s="18">
        <f t="shared" ref="D58:L58" si="21">D56+D57</f>
        <v>1749.13</v>
      </c>
      <c r="E58" s="18">
        <f t="shared" si="21"/>
        <v>33.229999999999997</v>
      </c>
      <c r="F58" s="18">
        <f t="shared" si="21"/>
        <v>646.88</v>
      </c>
      <c r="G58" s="18">
        <f t="shared" si="21"/>
        <v>33.630000000000003</v>
      </c>
      <c r="H58" s="18">
        <f t="shared" si="21"/>
        <v>21842.36</v>
      </c>
      <c r="I58" s="18">
        <f t="shared" si="21"/>
        <v>486.25200000000007</v>
      </c>
      <c r="J58" s="18">
        <f t="shared" si="21"/>
        <v>22328.612000000001</v>
      </c>
      <c r="K58" s="18">
        <f t="shared" si="21"/>
        <v>51497.387999999999</v>
      </c>
      <c r="L58" s="18">
        <f t="shared" si="21"/>
        <v>47365.144870129945</v>
      </c>
    </row>
    <row r="59" spans="1:13" ht="10.9" customHeight="1" x14ac:dyDescent="0.25">
      <c r="A59" s="17"/>
      <c r="B59" s="16"/>
      <c r="C59" s="15"/>
      <c r="D59" s="15"/>
      <c r="E59" s="15"/>
      <c r="F59" s="15"/>
      <c r="G59" s="15"/>
      <c r="H59" s="15"/>
      <c r="I59" s="15"/>
      <c r="J59" s="15"/>
      <c r="K59" s="15"/>
      <c r="L59" s="15"/>
    </row>
    <row r="60" spans="1:13" ht="10.9" customHeight="1" x14ac:dyDescent="0.25">
      <c r="A60" s="17"/>
      <c r="B60" s="16"/>
      <c r="C60" s="15"/>
      <c r="D60" s="15"/>
      <c r="E60" s="15"/>
      <c r="F60" s="15"/>
      <c r="G60" s="15"/>
      <c r="H60" s="15"/>
      <c r="I60" s="15"/>
      <c r="J60" s="15"/>
      <c r="K60" s="15"/>
      <c r="L60" s="15"/>
    </row>
    <row r="61" spans="1:13" s="92" customFormat="1" ht="10.9" customHeight="1" x14ac:dyDescent="0.25">
      <c r="A61" s="13" t="s">
        <v>1</v>
      </c>
      <c r="B61" s="33">
        <v>55180000</v>
      </c>
      <c r="C61" s="9">
        <v>37736</v>
      </c>
      <c r="D61" s="10">
        <v>0</v>
      </c>
      <c r="E61" s="10">
        <v>0</v>
      </c>
      <c r="F61" s="10">
        <v>238.6</v>
      </c>
      <c r="G61" s="10">
        <v>22.8</v>
      </c>
      <c r="H61" s="9">
        <f>D61+F61+'04-15-21'!H60</f>
        <v>9054.4600000000028</v>
      </c>
      <c r="I61" s="9">
        <f>E61+G61+'04-15-21'!I60</f>
        <v>481.0800000000001</v>
      </c>
      <c r="J61" s="9">
        <f t="shared" ref="J61" si="22">H61+I61</f>
        <v>9535.5400000000027</v>
      </c>
      <c r="K61" s="9">
        <f>C61-J61</f>
        <v>28200.46</v>
      </c>
      <c r="L61" s="9">
        <f>C61-((J61/22)*26.0714285714285)</f>
        <v>26435.765909090936</v>
      </c>
      <c r="M61" s="115"/>
    </row>
    <row r="62" spans="1:13" s="3" customFormat="1" ht="21.6" customHeight="1" x14ac:dyDescent="0.25">
      <c r="A62" s="153" t="s">
        <v>0</v>
      </c>
      <c r="B62" s="154"/>
      <c r="C62" s="7">
        <f t="shared" ref="C62:L62" si="23">SUM(C61)</f>
        <v>37736</v>
      </c>
      <c r="D62" s="7">
        <f t="shared" si="23"/>
        <v>0</v>
      </c>
      <c r="E62" s="7">
        <f t="shared" si="23"/>
        <v>0</v>
      </c>
      <c r="F62" s="7">
        <f t="shared" si="23"/>
        <v>238.6</v>
      </c>
      <c r="G62" s="7">
        <f t="shared" si="23"/>
        <v>22.8</v>
      </c>
      <c r="H62" s="7">
        <f t="shared" si="23"/>
        <v>9054.4600000000028</v>
      </c>
      <c r="I62" s="7">
        <f t="shared" si="23"/>
        <v>481.0800000000001</v>
      </c>
      <c r="J62" s="7">
        <f t="shared" si="23"/>
        <v>9535.5400000000027</v>
      </c>
      <c r="K62" s="7">
        <f t="shared" si="23"/>
        <v>28200.46</v>
      </c>
      <c r="L62" s="7">
        <f t="shared" si="23"/>
        <v>26435.765909090936</v>
      </c>
      <c r="M62" s="122"/>
    </row>
    <row r="63" spans="1:13" s="3" customFormat="1" ht="11.25" customHeight="1" x14ac:dyDescent="0.25">
      <c r="A63" s="6"/>
      <c r="B63" s="5"/>
      <c r="C63" s="4"/>
      <c r="D63" s="4"/>
      <c r="E63" s="4"/>
      <c r="F63" s="4"/>
      <c r="G63" s="4"/>
      <c r="H63" s="4"/>
      <c r="I63" s="4"/>
      <c r="J63" s="4"/>
      <c r="K63" s="4"/>
      <c r="L63" s="4"/>
      <c r="M63" s="122"/>
    </row>
    <row r="64" spans="1:13" s="2" customFormat="1" ht="10.5" customHeight="1" x14ac:dyDescent="0.25">
      <c r="A64" s="160" t="s">
        <v>72</v>
      </c>
      <c r="B64" s="160"/>
      <c r="C64" s="160"/>
      <c r="D64" s="160"/>
      <c r="E64" s="160"/>
      <c r="F64" s="160"/>
      <c r="G64" s="82">
        <v>12000</v>
      </c>
      <c r="M64" s="111"/>
    </row>
    <row r="65" spans="1:13" s="2" customFormat="1" ht="10.5" customHeight="1" x14ac:dyDescent="0.25">
      <c r="A65" s="160" t="s">
        <v>73</v>
      </c>
      <c r="B65" s="160"/>
      <c r="C65" s="160"/>
      <c r="D65" s="160"/>
      <c r="E65" s="160"/>
      <c r="F65" s="160"/>
      <c r="G65" s="82">
        <v>5600</v>
      </c>
      <c r="M65" s="111"/>
    </row>
    <row r="66" spans="1:13" ht="10.5" customHeight="1" x14ac:dyDescent="0.25">
      <c r="A66" s="160" t="s">
        <v>76</v>
      </c>
      <c r="B66" s="160"/>
      <c r="C66" s="160"/>
      <c r="D66" s="160"/>
      <c r="E66" s="160"/>
      <c r="F66" s="160"/>
      <c r="G66" s="82">
        <v>9800</v>
      </c>
    </row>
    <row r="67" spans="1:13" ht="10.5" customHeight="1" x14ac:dyDescent="0.25">
      <c r="A67" s="160" t="s">
        <v>75</v>
      </c>
      <c r="B67" s="160"/>
      <c r="C67" s="160"/>
      <c r="D67" s="160"/>
      <c r="E67" s="160"/>
      <c r="F67" s="160"/>
      <c r="G67" s="82">
        <v>1500</v>
      </c>
    </row>
    <row r="68" spans="1:13" ht="10.5" customHeight="1" x14ac:dyDescent="0.25">
      <c r="A68" s="160" t="s">
        <v>74</v>
      </c>
      <c r="B68" s="160"/>
      <c r="C68" s="160"/>
      <c r="D68" s="160"/>
      <c r="E68" s="160"/>
      <c r="F68" s="160"/>
      <c r="G68" s="82">
        <v>843.44</v>
      </c>
    </row>
    <row r="69" spans="1:13" ht="10.5" customHeight="1" x14ac:dyDescent="0.25">
      <c r="A69" s="160" t="s">
        <v>77</v>
      </c>
      <c r="B69" s="160"/>
      <c r="C69" s="160"/>
      <c r="D69" s="160"/>
      <c r="E69" s="160"/>
      <c r="F69" s="160"/>
      <c r="G69" s="82">
        <v>1784.19</v>
      </c>
    </row>
    <row r="70" spans="1:13" ht="10.5" customHeight="1" x14ac:dyDescent="0.25">
      <c r="A70" s="160" t="s">
        <v>78</v>
      </c>
      <c r="B70" s="160"/>
      <c r="C70" s="160"/>
      <c r="D70" s="160"/>
      <c r="E70" s="160"/>
      <c r="F70" s="160"/>
      <c r="G70" s="82">
        <v>2453.12</v>
      </c>
    </row>
    <row r="71" spans="1:13" s="2" customFormat="1" ht="10.5" customHeight="1" x14ac:dyDescent="0.25">
      <c r="A71" s="160" t="s">
        <v>84</v>
      </c>
      <c r="B71" s="160"/>
      <c r="C71" s="160"/>
      <c r="D71" s="160"/>
      <c r="E71" s="160"/>
      <c r="F71" s="160"/>
      <c r="G71" s="82">
        <v>2598.4499999999998</v>
      </c>
      <c r="M71" s="112"/>
    </row>
    <row r="72" spans="1:13" s="2" customFormat="1" ht="10.5" customHeight="1" x14ac:dyDescent="0.25">
      <c r="A72" s="160" t="s">
        <v>134</v>
      </c>
      <c r="B72" s="160"/>
      <c r="C72" s="160"/>
      <c r="D72" s="160"/>
      <c r="E72" s="160"/>
      <c r="F72" s="160"/>
      <c r="G72" s="82">
        <v>2659</v>
      </c>
      <c r="M72" s="112"/>
    </row>
    <row r="73" spans="1:13" s="2" customFormat="1" ht="10.5" customHeight="1" x14ac:dyDescent="0.25">
      <c r="A73" s="160" t="s">
        <v>90</v>
      </c>
      <c r="B73" s="160"/>
      <c r="C73" s="160"/>
      <c r="D73" s="160"/>
      <c r="E73" s="160"/>
      <c r="F73" s="160"/>
      <c r="G73" s="82">
        <v>1200</v>
      </c>
      <c r="M73" s="112"/>
    </row>
    <row r="74" spans="1:13" s="2" customFormat="1" ht="10.5" customHeight="1" x14ac:dyDescent="0.25">
      <c r="A74" s="160" t="s">
        <v>93</v>
      </c>
      <c r="B74" s="160"/>
      <c r="C74" s="160"/>
      <c r="D74" s="160"/>
      <c r="E74" s="160"/>
      <c r="F74" s="160"/>
      <c r="G74" s="82">
        <v>2109</v>
      </c>
      <c r="M74" s="111"/>
    </row>
    <row r="75" spans="1:13" s="2" customFormat="1" ht="10.5" customHeight="1" x14ac:dyDescent="0.25">
      <c r="A75" s="160" t="s">
        <v>100</v>
      </c>
      <c r="B75" s="160"/>
      <c r="C75" s="160"/>
      <c r="D75" s="160"/>
      <c r="E75" s="160"/>
      <c r="F75" s="160"/>
      <c r="G75" s="82">
        <v>6100</v>
      </c>
      <c r="M75" s="111"/>
    </row>
    <row r="76" spans="1:13" s="2" customFormat="1" ht="10.5" customHeight="1" x14ac:dyDescent="0.25">
      <c r="A76" s="160" t="s">
        <v>102</v>
      </c>
      <c r="B76" s="160"/>
      <c r="C76" s="160"/>
      <c r="D76" s="160"/>
      <c r="E76" s="160"/>
      <c r="F76" s="160"/>
      <c r="G76" s="82">
        <v>5369</v>
      </c>
      <c r="M76" s="112"/>
    </row>
    <row r="77" spans="1:13" ht="10.5" customHeight="1" x14ac:dyDescent="0.25">
      <c r="A77" s="160" t="s">
        <v>106</v>
      </c>
      <c r="B77" s="160"/>
      <c r="C77" s="160"/>
      <c r="D77" s="160"/>
      <c r="E77" s="160"/>
      <c r="F77" s="160"/>
      <c r="G77" s="82">
        <v>16442.41</v>
      </c>
    </row>
    <row r="78" spans="1:13" ht="10.5" customHeight="1" x14ac:dyDescent="0.25">
      <c r="A78" s="160" t="s">
        <v>107</v>
      </c>
      <c r="B78" s="160"/>
      <c r="C78" s="160"/>
      <c r="D78" s="160"/>
      <c r="E78" s="160"/>
      <c r="F78" s="160"/>
      <c r="G78" s="82">
        <v>1609.56</v>
      </c>
    </row>
    <row r="79" spans="1:13" s="2" customFormat="1" ht="10.5" customHeight="1" x14ac:dyDescent="0.25">
      <c r="A79" s="160" t="s">
        <v>140</v>
      </c>
      <c r="B79" s="160"/>
      <c r="C79" s="160"/>
      <c r="D79" s="160"/>
      <c r="E79" s="160"/>
      <c r="F79" s="160"/>
      <c r="G79" s="82">
        <v>1000</v>
      </c>
      <c r="M79" s="112"/>
    </row>
    <row r="80" spans="1:13" ht="10.5" customHeight="1" x14ac:dyDescent="0.25">
      <c r="A80" s="160" t="s">
        <v>113</v>
      </c>
      <c r="B80" s="160"/>
      <c r="C80" s="160"/>
      <c r="D80" s="160"/>
      <c r="E80" s="160"/>
      <c r="F80" s="160"/>
      <c r="G80" s="82">
        <v>75940.289999999994</v>
      </c>
    </row>
    <row r="81" spans="1:13" s="2" customFormat="1" ht="10.5" customHeight="1" x14ac:dyDescent="0.25">
      <c r="A81" s="160" t="s">
        <v>115</v>
      </c>
      <c r="B81" s="160"/>
      <c r="C81" s="160"/>
      <c r="D81" s="160"/>
      <c r="E81" s="160"/>
      <c r="F81" s="160"/>
      <c r="G81" s="82">
        <v>1200</v>
      </c>
      <c r="M81" s="112"/>
    </row>
    <row r="82" spans="1:13" s="2" customFormat="1" ht="10.5" customHeight="1" x14ac:dyDescent="0.25">
      <c r="A82" s="160" t="s">
        <v>117</v>
      </c>
      <c r="B82" s="160"/>
      <c r="C82" s="160"/>
      <c r="D82" s="160"/>
      <c r="E82" s="160"/>
      <c r="F82" s="160"/>
      <c r="G82" s="82">
        <v>4208</v>
      </c>
      <c r="M82" s="112"/>
    </row>
    <row r="83" spans="1:13" ht="10.5" customHeight="1" x14ac:dyDescent="0.25">
      <c r="A83" s="160" t="s">
        <v>118</v>
      </c>
      <c r="B83" s="160"/>
      <c r="C83" s="160"/>
      <c r="D83" s="160"/>
      <c r="E83" s="160"/>
      <c r="F83" s="160"/>
      <c r="G83" s="82">
        <v>500</v>
      </c>
    </row>
    <row r="84" spans="1:13" s="2" customFormat="1" ht="10.5" customHeight="1" x14ac:dyDescent="0.25">
      <c r="A84" s="160" t="s">
        <v>133</v>
      </c>
      <c r="B84" s="160"/>
      <c r="C84" s="160"/>
      <c r="D84" s="160"/>
      <c r="E84" s="160"/>
      <c r="F84" s="160"/>
      <c r="G84" s="134">
        <v>3360</v>
      </c>
      <c r="M84" s="112"/>
    </row>
    <row r="85" spans="1:13" s="2" customFormat="1" ht="10.5" customHeight="1" x14ac:dyDescent="0.25">
      <c r="A85" s="160" t="s">
        <v>124</v>
      </c>
      <c r="B85" s="160"/>
      <c r="C85" s="160"/>
      <c r="D85" s="160"/>
      <c r="E85" s="160"/>
      <c r="F85" s="160"/>
      <c r="G85" s="134">
        <v>-137.84</v>
      </c>
      <c r="M85" s="112"/>
    </row>
    <row r="86" spans="1:13" s="2" customFormat="1" ht="10.5" customHeight="1" x14ac:dyDescent="0.25">
      <c r="A86" s="160" t="s">
        <v>126</v>
      </c>
      <c r="B86" s="160"/>
      <c r="C86" s="160"/>
      <c r="D86" s="160"/>
      <c r="E86" s="160"/>
      <c r="F86" s="160"/>
      <c r="G86" s="134">
        <v>2500</v>
      </c>
      <c r="M86" s="112"/>
    </row>
    <row r="87" spans="1:13" s="2" customFormat="1" ht="10.5" customHeight="1" x14ac:dyDescent="0.25">
      <c r="A87" s="160" t="s">
        <v>127</v>
      </c>
      <c r="B87" s="160"/>
      <c r="C87" s="160"/>
      <c r="D87" s="160"/>
      <c r="E87" s="160"/>
      <c r="F87" s="160"/>
      <c r="G87" s="134">
        <v>61.23</v>
      </c>
      <c r="M87" s="112"/>
    </row>
    <row r="88" spans="1:13" ht="10.5" customHeight="1" x14ac:dyDescent="0.25">
      <c r="A88" s="138" t="s">
        <v>139</v>
      </c>
      <c r="B88" s="139"/>
      <c r="C88" s="140"/>
      <c r="D88" s="140"/>
      <c r="E88" s="140"/>
      <c r="F88" s="140"/>
      <c r="G88" s="135">
        <v>28.53</v>
      </c>
    </row>
    <row r="89" spans="1:13" ht="10.5" customHeight="1" x14ac:dyDescent="0.25">
      <c r="A89" s="138" t="s">
        <v>138</v>
      </c>
      <c r="B89" s="139"/>
      <c r="C89" s="140"/>
      <c r="D89" s="140"/>
      <c r="E89" s="140"/>
      <c r="F89" s="140"/>
      <c r="G89" s="135">
        <v>2000</v>
      </c>
    </row>
    <row r="90" spans="1:13" s="2" customFormat="1" ht="10.5" customHeight="1" x14ac:dyDescent="0.25">
      <c r="A90" s="160" t="s">
        <v>136</v>
      </c>
      <c r="B90" s="160"/>
      <c r="C90" s="160"/>
      <c r="D90" s="160"/>
      <c r="E90" s="160"/>
      <c r="F90" s="160"/>
      <c r="G90" s="82">
        <v>5341</v>
      </c>
      <c r="M90" s="111"/>
    </row>
    <row r="91" spans="1:13" ht="10.5" customHeight="1" x14ac:dyDescent="0.25">
      <c r="A91" s="144" t="s">
        <v>137</v>
      </c>
      <c r="B91" s="145"/>
      <c r="C91" s="146"/>
      <c r="D91" s="146"/>
      <c r="E91" s="146"/>
      <c r="F91" s="146"/>
      <c r="G91" s="147">
        <v>3800</v>
      </c>
    </row>
    <row r="92" spans="1:13" ht="10.5" customHeight="1" x14ac:dyDescent="0.25">
      <c r="A92" s="138" t="s">
        <v>143</v>
      </c>
      <c r="B92" s="139"/>
      <c r="C92" s="140"/>
      <c r="D92" s="140"/>
      <c r="E92" s="140"/>
      <c r="F92" s="140"/>
      <c r="G92" s="135">
        <v>450</v>
      </c>
    </row>
  </sheetData>
  <mergeCells count="31">
    <mergeCell ref="A69:F69"/>
    <mergeCell ref="A15:B15"/>
    <mergeCell ref="A21:B21"/>
    <mergeCell ref="A28:B28"/>
    <mergeCell ref="A31:B31"/>
    <mergeCell ref="A53:B53"/>
    <mergeCell ref="A62:B62"/>
    <mergeCell ref="A64:F64"/>
    <mergeCell ref="A65:F65"/>
    <mergeCell ref="A66:F66"/>
    <mergeCell ref="A67:F67"/>
    <mergeCell ref="A68:F68"/>
    <mergeCell ref="A81:F81"/>
    <mergeCell ref="A70:F70"/>
    <mergeCell ref="A71:F71"/>
    <mergeCell ref="A72:F72"/>
    <mergeCell ref="A73:F73"/>
    <mergeCell ref="A74:F74"/>
    <mergeCell ref="A75:F75"/>
    <mergeCell ref="A76:F76"/>
    <mergeCell ref="A77:F77"/>
    <mergeCell ref="A78:F78"/>
    <mergeCell ref="A79:F79"/>
    <mergeCell ref="A80:F80"/>
    <mergeCell ref="A90:F90"/>
    <mergeCell ref="A82:F82"/>
    <mergeCell ref="A83:F83"/>
    <mergeCell ref="A84:F84"/>
    <mergeCell ref="A85:F85"/>
    <mergeCell ref="A86:F86"/>
    <mergeCell ref="A87:F87"/>
  </mergeCells>
  <pageMargins left="0.25" right="0" top="0.4" bottom="0" header="0.3" footer="0"/>
  <pageSetup scale="84" fitToWidth="0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M95"/>
  <sheetViews>
    <sheetView zoomScale="130" zoomScaleNormal="130" workbookViewId="0">
      <pane ySplit="2" topLeftCell="A29" activePane="bottomLeft" state="frozen"/>
      <selection pane="bottomLeft" activeCell="C40" sqref="C40"/>
    </sheetView>
  </sheetViews>
  <sheetFormatPr defaultColWidth="28" defaultRowHeight="15" x14ac:dyDescent="0.25"/>
  <cols>
    <col min="1" max="1" width="34" style="1" bestFit="1" customWidth="1"/>
    <col min="2" max="2" width="19" style="1" bestFit="1" customWidth="1"/>
    <col min="3" max="3" width="11" style="77" customWidth="1"/>
    <col min="4" max="4" width="9" style="2" bestFit="1" customWidth="1"/>
    <col min="5" max="5" width="6.85546875" style="2" bestFit="1" customWidth="1"/>
    <col min="6" max="6" width="9" style="2" bestFit="1" customWidth="1"/>
    <col min="7" max="7" width="8.7109375" style="2" bestFit="1" customWidth="1"/>
    <col min="8" max="8" width="9.28515625" style="2" bestFit="1" customWidth="1"/>
    <col min="9" max="9" width="9.42578125" style="2" bestFit="1" customWidth="1"/>
    <col min="10" max="10" width="9.7109375" style="2" bestFit="1" customWidth="1"/>
    <col min="11" max="11" width="9.28515625" style="2" bestFit="1" customWidth="1"/>
    <col min="12" max="12" width="13.42578125" style="2" bestFit="1" customWidth="1"/>
    <col min="13" max="13" width="17.85546875" style="112" customWidth="1"/>
    <col min="14" max="16384" width="28" style="1"/>
  </cols>
  <sheetData>
    <row r="1" spans="1:13" ht="11.25" customHeight="1" x14ac:dyDescent="0.25">
      <c r="A1" s="68"/>
      <c r="B1" s="67"/>
      <c r="C1" s="76"/>
      <c r="D1" s="66"/>
      <c r="E1" s="66"/>
      <c r="F1" s="66"/>
      <c r="G1" s="66"/>
      <c r="H1" s="66"/>
      <c r="I1" s="66"/>
      <c r="J1" s="66"/>
      <c r="K1" s="66"/>
      <c r="L1" s="65" t="s">
        <v>144</v>
      </c>
    </row>
    <row r="2" spans="1:13" s="61" customFormat="1" ht="23.25" x14ac:dyDescent="0.25">
      <c r="A2" s="64" t="s">
        <v>53</v>
      </c>
      <c r="B2" s="64" t="s">
        <v>52</v>
      </c>
      <c r="C2" s="63" t="s">
        <v>51</v>
      </c>
      <c r="D2" s="63" t="s">
        <v>50</v>
      </c>
      <c r="E2" s="63" t="s">
        <v>48</v>
      </c>
      <c r="F2" s="63" t="s">
        <v>49</v>
      </c>
      <c r="G2" s="63" t="s">
        <v>48</v>
      </c>
      <c r="H2" s="62" t="s">
        <v>47</v>
      </c>
      <c r="I2" s="62" t="s">
        <v>46</v>
      </c>
      <c r="J2" s="62" t="s">
        <v>45</v>
      </c>
      <c r="K2" s="62" t="s">
        <v>44</v>
      </c>
      <c r="L2" s="62" t="s">
        <v>43</v>
      </c>
      <c r="M2" s="113"/>
    </row>
    <row r="3" spans="1:13" s="101" customFormat="1" ht="11.25" customHeight="1" x14ac:dyDescent="0.25">
      <c r="A3" s="22" t="s">
        <v>42</v>
      </c>
      <c r="B3" s="29">
        <v>55010300</v>
      </c>
      <c r="C3" s="10">
        <v>4208</v>
      </c>
      <c r="D3" s="9">
        <v>0</v>
      </c>
      <c r="E3" s="9">
        <v>0</v>
      </c>
      <c r="F3" s="9">
        <v>0</v>
      </c>
      <c r="G3" s="9">
        <v>0</v>
      </c>
      <c r="H3" s="9">
        <f>D3+F3+'04-29-21'!H3</f>
        <v>0</v>
      </c>
      <c r="I3" s="9">
        <f>E3+G3+'04-29-21'!I3</f>
        <v>0</v>
      </c>
      <c r="J3" s="9">
        <f>H3+I3</f>
        <v>0</v>
      </c>
      <c r="K3" s="9">
        <f>C3-J3</f>
        <v>4208</v>
      </c>
      <c r="L3" s="9">
        <f>C3-((J3/23)*26.0714285714285)</f>
        <v>4208</v>
      </c>
      <c r="M3" s="114"/>
    </row>
    <row r="4" spans="1:13" s="101" customFormat="1" ht="11.25" customHeight="1" x14ac:dyDescent="0.25">
      <c r="A4" s="22" t="s">
        <v>41</v>
      </c>
      <c r="B4" s="29">
        <v>55010500</v>
      </c>
      <c r="C4" s="9">
        <v>3229</v>
      </c>
      <c r="D4" s="10">
        <v>0</v>
      </c>
      <c r="E4" s="10">
        <v>0</v>
      </c>
      <c r="F4" s="10">
        <v>0</v>
      </c>
      <c r="G4" s="10">
        <v>0</v>
      </c>
      <c r="H4" s="9">
        <f>D4+F4+'04-29-21'!H4</f>
        <v>0</v>
      </c>
      <c r="I4" s="9">
        <f>E4+G4+'04-29-21'!I4</f>
        <v>0</v>
      </c>
      <c r="J4" s="9">
        <f t="shared" ref="J4:J15" si="0">H4+I4</f>
        <v>0</v>
      </c>
      <c r="K4" s="9">
        <f t="shared" ref="K4:K15" si="1">C4-J4</f>
        <v>3229</v>
      </c>
      <c r="L4" s="9">
        <f t="shared" ref="L4:L15" si="2">C4-((J4/23)*26.0714285714285)</f>
        <v>3229</v>
      </c>
      <c r="M4" s="114"/>
    </row>
    <row r="5" spans="1:13" s="101" customFormat="1" ht="11.25" customHeight="1" x14ac:dyDescent="0.25">
      <c r="A5" s="141" t="s">
        <v>146</v>
      </c>
      <c r="B5" s="142">
        <v>55010601</v>
      </c>
      <c r="C5" s="143">
        <v>1069.95</v>
      </c>
      <c r="D5" s="143">
        <v>0</v>
      </c>
      <c r="E5" s="143">
        <v>0</v>
      </c>
      <c r="F5" s="143">
        <v>0</v>
      </c>
      <c r="G5" s="143">
        <v>0</v>
      </c>
      <c r="H5" s="89">
        <f>D5+F5</f>
        <v>0</v>
      </c>
      <c r="I5" s="89">
        <f>E5+G5</f>
        <v>0</v>
      </c>
      <c r="J5" s="89">
        <f t="shared" ref="J5" si="3">H5+I5</f>
        <v>0</v>
      </c>
      <c r="K5" s="89">
        <f t="shared" ref="K5" si="4">C5-J5</f>
        <v>1069.95</v>
      </c>
      <c r="L5" s="89">
        <f t="shared" ref="L5" si="5">C5-((J5/23)*26.0714285714285)</f>
        <v>1069.95</v>
      </c>
      <c r="M5" s="114"/>
    </row>
    <row r="6" spans="1:13" s="92" customFormat="1" ht="11.25" customHeight="1" x14ac:dyDescent="0.25">
      <c r="A6" s="58" t="s">
        <v>40</v>
      </c>
      <c r="B6" s="102">
        <v>55020200</v>
      </c>
      <c r="C6" s="103">
        <f>24649+14202</f>
        <v>38851</v>
      </c>
      <c r="D6" s="55">
        <f>796.12+323.27</f>
        <v>1119.3899999999999</v>
      </c>
      <c r="E6" s="55">
        <f>15.12+6.13</f>
        <v>21.25</v>
      </c>
      <c r="F6" s="55">
        <v>1175.01</v>
      </c>
      <c r="G6" s="55">
        <v>61.09</v>
      </c>
      <c r="H6" s="9">
        <f>D6+F6+'04-29-21'!H5</f>
        <v>28959.08</v>
      </c>
      <c r="I6" s="9">
        <f>E6+G6+'04-29-21'!I5</f>
        <v>1017.2700000000001</v>
      </c>
      <c r="J6" s="9">
        <f t="shared" si="0"/>
        <v>29976.350000000002</v>
      </c>
      <c r="K6" s="9">
        <f t="shared" si="1"/>
        <v>8874.6499999999978</v>
      </c>
      <c r="L6" s="9">
        <f t="shared" si="2"/>
        <v>4871.5970496895388</v>
      </c>
      <c r="M6" s="115"/>
    </row>
    <row r="7" spans="1:13" s="92" customFormat="1" ht="11.25" customHeight="1" x14ac:dyDescent="0.25">
      <c r="A7" s="22" t="s">
        <v>39</v>
      </c>
      <c r="B7" s="29">
        <v>55020300</v>
      </c>
      <c r="C7" s="9">
        <f>17974+9665</f>
        <v>27639</v>
      </c>
      <c r="D7" s="10">
        <f>-558.16+696.18</f>
        <v>138.01999999999998</v>
      </c>
      <c r="E7" s="10">
        <f>-10.61+13.22</f>
        <v>2.6100000000000012</v>
      </c>
      <c r="F7" s="10">
        <v>937.5</v>
      </c>
      <c r="G7" s="10">
        <v>48.75</v>
      </c>
      <c r="H7" s="9">
        <f>D7+F7+'04-29-21'!H6</f>
        <v>16568.310000000001</v>
      </c>
      <c r="I7" s="9">
        <f>E7+G7+'04-29-21'!I6</f>
        <v>596.39</v>
      </c>
      <c r="J7" s="9">
        <f t="shared" si="0"/>
        <v>17164.7</v>
      </c>
      <c r="K7" s="9">
        <f t="shared" si="1"/>
        <v>10474.299999999999</v>
      </c>
      <c r="L7" s="9">
        <f t="shared" si="2"/>
        <v>8182.1195652174465</v>
      </c>
      <c r="M7" s="115"/>
    </row>
    <row r="8" spans="1:13" s="92" customFormat="1" ht="11.25" customHeight="1" x14ac:dyDescent="0.25">
      <c r="A8" s="22" t="s">
        <v>38</v>
      </c>
      <c r="B8" s="29">
        <v>55020400</v>
      </c>
      <c r="C8" s="9">
        <f>17974+9665</f>
        <v>27639</v>
      </c>
      <c r="D8" s="10">
        <f>-1343.97+334.88</f>
        <v>-1009.09</v>
      </c>
      <c r="E8" s="10">
        <f>-25.54+6.35</f>
        <v>-19.189999999999998</v>
      </c>
      <c r="F8" s="10">
        <v>837.5</v>
      </c>
      <c r="G8" s="10">
        <v>43.55</v>
      </c>
      <c r="H8" s="9">
        <f>D8+F8+'04-29-21'!H7</f>
        <v>12345.589999999998</v>
      </c>
      <c r="I8" s="9">
        <f>E8+G8+'04-29-21'!I7</f>
        <v>483.45000000000005</v>
      </c>
      <c r="J8" s="9">
        <f t="shared" si="0"/>
        <v>12829.039999999999</v>
      </c>
      <c r="K8" s="9">
        <f t="shared" si="1"/>
        <v>14809.960000000001</v>
      </c>
      <c r="L8" s="9">
        <f t="shared" si="2"/>
        <v>13096.765217391347</v>
      </c>
      <c r="M8" s="115"/>
    </row>
    <row r="9" spans="1:13" s="92" customFormat="1" ht="11.25" customHeight="1" x14ac:dyDescent="0.25">
      <c r="A9" s="22" t="s">
        <v>92</v>
      </c>
      <c r="B9" s="29">
        <v>55030100</v>
      </c>
      <c r="C9" s="9">
        <v>2109</v>
      </c>
      <c r="D9" s="9">
        <v>0</v>
      </c>
      <c r="E9" s="9">
        <v>0</v>
      </c>
      <c r="F9" s="9">
        <v>0</v>
      </c>
      <c r="G9" s="9">
        <v>0</v>
      </c>
      <c r="H9" s="9">
        <f>D9+F9+'04-29-21'!H8</f>
        <v>841.91000000000008</v>
      </c>
      <c r="I9" s="9">
        <f>E9+G9+'04-29-21'!I8</f>
        <v>15.939999999999998</v>
      </c>
      <c r="J9" s="9">
        <f t="shared" si="0"/>
        <v>857.85000000000014</v>
      </c>
      <c r="K9" s="9">
        <f t="shared" si="1"/>
        <v>1251.1499999999999</v>
      </c>
      <c r="L9" s="9">
        <f t="shared" si="2"/>
        <v>1136.5923913043505</v>
      </c>
      <c r="M9" s="115"/>
    </row>
    <row r="10" spans="1:13" s="92" customFormat="1" ht="11.25" customHeight="1" x14ac:dyDescent="0.25">
      <c r="A10" s="54" t="s">
        <v>37</v>
      </c>
      <c r="B10" s="29">
        <v>55030200</v>
      </c>
      <c r="C10" s="9">
        <v>24330</v>
      </c>
      <c r="D10" s="10">
        <f>-1609.68+376.81</f>
        <v>-1232.8700000000001</v>
      </c>
      <c r="E10" s="10">
        <f>-30.58+7.15</f>
        <v>-23.43</v>
      </c>
      <c r="F10" s="10">
        <v>571.52</v>
      </c>
      <c r="G10" s="10">
        <v>29.71</v>
      </c>
      <c r="H10" s="9">
        <f>D10+F10+'04-29-21'!H9</f>
        <v>8895.0000000000018</v>
      </c>
      <c r="I10" s="9">
        <f>E10+G10+'04-29-21'!I9</f>
        <v>187.99</v>
      </c>
      <c r="J10" s="9">
        <f t="shared" si="0"/>
        <v>9082.9900000000016</v>
      </c>
      <c r="K10" s="9">
        <f t="shared" si="1"/>
        <v>15247.009999999998</v>
      </c>
      <c r="L10" s="9">
        <f t="shared" si="2"/>
        <v>14034.06413043481</v>
      </c>
      <c r="M10" s="123"/>
    </row>
    <row r="11" spans="1:13" s="92" customFormat="1" ht="11.25" customHeight="1" x14ac:dyDescent="0.25">
      <c r="A11" s="22" t="s">
        <v>36</v>
      </c>
      <c r="B11" s="29">
        <v>55050200</v>
      </c>
      <c r="C11" s="9">
        <f>34000+21500.29+3360</f>
        <v>58860.29</v>
      </c>
      <c r="D11" s="10">
        <f>-3775.63+765.21</f>
        <v>-3010.42</v>
      </c>
      <c r="E11" s="10">
        <f>-71.73+14.53</f>
        <v>-57.2</v>
      </c>
      <c r="F11" s="10">
        <v>1520.18</v>
      </c>
      <c r="G11" s="10">
        <v>79.040000000000006</v>
      </c>
      <c r="H11" s="9">
        <f>D11+F11+'04-29-21'!H10</f>
        <v>38349.14</v>
      </c>
      <c r="I11" s="9">
        <f>E11+G11+'04-29-21'!I10</f>
        <v>1312.7699999999998</v>
      </c>
      <c r="J11" s="9">
        <f t="shared" si="0"/>
        <v>39661.909999999996</v>
      </c>
      <c r="K11" s="9">
        <f t="shared" si="1"/>
        <v>19198.380000000005</v>
      </c>
      <c r="L11" s="9">
        <f t="shared" si="2"/>
        <v>13901.913757764101</v>
      </c>
      <c r="M11" s="124"/>
    </row>
    <row r="12" spans="1:13" s="92" customFormat="1" ht="11.25" hidden="1" customHeight="1" x14ac:dyDescent="0.25">
      <c r="A12" s="22" t="s">
        <v>80</v>
      </c>
      <c r="B12" s="29">
        <v>55050300</v>
      </c>
      <c r="C12" s="97"/>
      <c r="D12" s="9"/>
      <c r="E12" s="9"/>
      <c r="F12" s="9"/>
      <c r="G12" s="9"/>
      <c r="H12" s="9">
        <f>D12+F12+'04-29-21'!H11</f>
        <v>-310</v>
      </c>
      <c r="I12" s="9">
        <f>E12+G12+'04-29-21'!I11</f>
        <v>-5.8900000000000006</v>
      </c>
      <c r="J12" s="9">
        <f t="shared" si="0"/>
        <v>-315.89</v>
      </c>
      <c r="K12" s="9">
        <f t="shared" si="1"/>
        <v>315.89</v>
      </c>
      <c r="L12" s="9">
        <f t="shared" si="2"/>
        <v>358.07406832298039</v>
      </c>
      <c r="M12" s="116"/>
    </row>
    <row r="13" spans="1:13" s="98" customFormat="1" ht="11.25" customHeight="1" x14ac:dyDescent="0.25">
      <c r="A13" s="22" t="s">
        <v>35</v>
      </c>
      <c r="B13" s="29">
        <v>55070100</v>
      </c>
      <c r="C13" s="9">
        <f>42741+9665</f>
        <v>52406</v>
      </c>
      <c r="D13" s="10">
        <f>-4060.15+783.8</f>
        <v>-3276.3500000000004</v>
      </c>
      <c r="E13" s="10">
        <f>-38.53+14.88</f>
        <v>-23.65</v>
      </c>
      <c r="F13" s="10">
        <v>2019.8</v>
      </c>
      <c r="G13" s="10">
        <v>105.02</v>
      </c>
      <c r="H13" s="9">
        <f>D13+F13+'04-29-21'!H12</f>
        <v>39938.369999999995</v>
      </c>
      <c r="I13" s="9">
        <f>E13+G13+'04-29-21'!I12</f>
        <v>1246.5099999999998</v>
      </c>
      <c r="J13" s="9">
        <f t="shared" si="0"/>
        <v>41184.879999999997</v>
      </c>
      <c r="K13" s="9">
        <f t="shared" si="1"/>
        <v>11221.120000000003</v>
      </c>
      <c r="L13" s="9">
        <f t="shared" si="2"/>
        <v>5721.2757763976479</v>
      </c>
      <c r="M13" s="124"/>
    </row>
    <row r="14" spans="1:13" s="92" customFormat="1" ht="11.25" customHeight="1" x14ac:dyDescent="0.25">
      <c r="A14" s="22" t="s">
        <v>34</v>
      </c>
      <c r="B14" s="29">
        <v>55080100</v>
      </c>
      <c r="C14" s="9">
        <v>23173</v>
      </c>
      <c r="D14" s="10">
        <v>364.58</v>
      </c>
      <c r="E14" s="10">
        <v>6.92</v>
      </c>
      <c r="F14" s="10">
        <v>0</v>
      </c>
      <c r="G14" s="10">
        <v>0</v>
      </c>
      <c r="H14" s="9">
        <f>D14+F14+'04-29-21'!H13</f>
        <v>21815.530000000002</v>
      </c>
      <c r="I14" s="9">
        <f>E14+G14+'04-29-21'!I13</f>
        <v>414.38</v>
      </c>
      <c r="J14" s="9">
        <f t="shared" si="0"/>
        <v>22229.910000000003</v>
      </c>
      <c r="K14" s="9">
        <f t="shared" si="1"/>
        <v>943.08999999999651</v>
      </c>
      <c r="L14" s="9">
        <f t="shared" si="2"/>
        <v>-2025.5004658384423</v>
      </c>
      <c r="M14" s="123"/>
    </row>
    <row r="15" spans="1:13" s="99" customFormat="1" ht="11.25" customHeight="1" x14ac:dyDescent="0.25">
      <c r="A15" s="53" t="s">
        <v>33</v>
      </c>
      <c r="B15" s="33">
        <v>55190000</v>
      </c>
      <c r="C15" s="9">
        <v>6000</v>
      </c>
      <c r="D15" s="10">
        <f>-174.2+127.4</f>
        <v>-46.799999999999983</v>
      </c>
      <c r="E15" s="10">
        <f>-3.3+2.41</f>
        <v>-0.88999999999999968</v>
      </c>
      <c r="F15" s="10">
        <v>0</v>
      </c>
      <c r="G15" s="10">
        <v>0</v>
      </c>
      <c r="H15" s="9">
        <f>D15+F15+'04-29-21'!H14</f>
        <v>1493.03</v>
      </c>
      <c r="I15" s="9">
        <f>E15+G15+'04-29-21'!I14</f>
        <v>28.289999999999996</v>
      </c>
      <c r="J15" s="9">
        <f t="shared" si="0"/>
        <v>1521.32</v>
      </c>
      <c r="K15" s="9">
        <f t="shared" si="1"/>
        <v>4478.68</v>
      </c>
      <c r="L15" s="9">
        <f t="shared" si="2"/>
        <v>4275.5223602484521</v>
      </c>
      <c r="M15" s="117"/>
    </row>
    <row r="16" spans="1:13" ht="21.6" customHeight="1" thickBot="1" x14ac:dyDescent="0.3">
      <c r="A16" s="155" t="s">
        <v>32</v>
      </c>
      <c r="B16" s="156"/>
      <c r="C16" s="49">
        <f t="shared" ref="C16:L16" si="6">SUM(C3:C15)</f>
        <v>269514.23999999999</v>
      </c>
      <c r="D16" s="7">
        <f t="shared" si="6"/>
        <v>-6953.5400000000009</v>
      </c>
      <c r="E16" s="7">
        <f t="shared" si="6"/>
        <v>-93.580000000000013</v>
      </c>
      <c r="F16" s="7">
        <f t="shared" si="6"/>
        <v>7061.51</v>
      </c>
      <c r="G16" s="7">
        <f t="shared" si="6"/>
        <v>367.15999999999997</v>
      </c>
      <c r="H16" s="7">
        <f t="shared" si="6"/>
        <v>168895.96</v>
      </c>
      <c r="I16" s="7">
        <f t="shared" si="6"/>
        <v>5297.0999999999995</v>
      </c>
      <c r="J16" s="49">
        <f t="shared" si="6"/>
        <v>174193.06</v>
      </c>
      <c r="K16" s="49">
        <f t="shared" si="6"/>
        <v>95321.18</v>
      </c>
      <c r="L16" s="7">
        <f t="shared" si="6"/>
        <v>72059.373850932228</v>
      </c>
    </row>
    <row r="17" spans="1:13" ht="11.25" customHeight="1" x14ac:dyDescent="0.25">
      <c r="A17" s="52"/>
      <c r="B17" s="41"/>
      <c r="C17" s="39"/>
      <c r="D17" s="39"/>
      <c r="E17" s="39"/>
      <c r="F17" s="39"/>
      <c r="G17" s="39"/>
      <c r="H17" s="39"/>
      <c r="I17" s="39"/>
      <c r="J17" s="39"/>
      <c r="K17" s="39"/>
      <c r="L17" s="51"/>
    </row>
    <row r="18" spans="1:13" ht="11.25" customHeight="1" thickBot="1" x14ac:dyDescent="0.3">
      <c r="A18" s="38"/>
      <c r="B18" s="37"/>
      <c r="C18" s="35"/>
      <c r="D18" s="35"/>
      <c r="E18" s="35"/>
      <c r="F18" s="35"/>
      <c r="G18" s="35"/>
      <c r="H18" s="35"/>
      <c r="I18" s="35"/>
      <c r="J18" s="35"/>
      <c r="K18" s="35"/>
      <c r="L18" s="50"/>
    </row>
    <row r="19" spans="1:13" s="92" customFormat="1" ht="11.45" customHeight="1" x14ac:dyDescent="0.25">
      <c r="A19" s="13" t="s">
        <v>31</v>
      </c>
      <c r="B19" s="33">
        <v>55090100</v>
      </c>
      <c r="C19" s="9">
        <v>26923</v>
      </c>
      <c r="D19" s="10">
        <v>0</v>
      </c>
      <c r="E19" s="10">
        <v>0</v>
      </c>
      <c r="F19" s="10">
        <v>0</v>
      </c>
      <c r="G19" s="10">
        <v>0</v>
      </c>
      <c r="H19" s="9">
        <f>D19+F19+'04-29-21'!H18</f>
        <v>13503</v>
      </c>
      <c r="I19" s="9">
        <f>E19+G19+'04-29-21'!I18</f>
        <v>702.13999999999987</v>
      </c>
      <c r="J19" s="9">
        <f t="shared" ref="J19:J21" si="7">H19+I19</f>
        <v>14205.14</v>
      </c>
      <c r="K19" s="9">
        <f>C19-J19</f>
        <v>12717.86</v>
      </c>
      <c r="L19" s="9">
        <f t="shared" ref="L19:L21" si="8">C19-((J19/23)*26.0714285714285)</f>
        <v>10820.900310559053</v>
      </c>
      <c r="M19" s="115"/>
    </row>
    <row r="20" spans="1:13" s="92" customFormat="1" ht="11.45" customHeight="1" x14ac:dyDescent="0.25">
      <c r="A20" s="22" t="s">
        <v>30</v>
      </c>
      <c r="B20" s="29">
        <v>55160100</v>
      </c>
      <c r="C20" s="9">
        <f>16062-2109</f>
        <v>13953</v>
      </c>
      <c r="D20" s="9">
        <v>0</v>
      </c>
      <c r="E20" s="9">
        <v>0</v>
      </c>
      <c r="F20" s="10">
        <v>0</v>
      </c>
      <c r="G20" s="10">
        <v>0</v>
      </c>
      <c r="H20" s="9">
        <f>D20+F20+'04-29-21'!H19</f>
        <v>0</v>
      </c>
      <c r="I20" s="9">
        <f>E20+G20+'04-29-21'!I19</f>
        <v>0</v>
      </c>
      <c r="J20" s="9">
        <f t="shared" si="7"/>
        <v>0</v>
      </c>
      <c r="K20" s="9">
        <f t="shared" ref="K20:K21" si="9">C20-J20</f>
        <v>13953</v>
      </c>
      <c r="L20" s="9">
        <f t="shared" si="8"/>
        <v>13953</v>
      </c>
      <c r="M20" s="115"/>
    </row>
    <row r="21" spans="1:13" s="92" customFormat="1" ht="11.45" customHeight="1" x14ac:dyDescent="0.25">
      <c r="A21" s="13" t="s">
        <v>29</v>
      </c>
      <c r="B21" s="33">
        <v>55100100</v>
      </c>
      <c r="C21" s="9">
        <v>2026</v>
      </c>
      <c r="D21" s="10">
        <v>0</v>
      </c>
      <c r="E21" s="10">
        <v>0</v>
      </c>
      <c r="F21" s="10">
        <v>0</v>
      </c>
      <c r="G21" s="10">
        <v>0</v>
      </c>
      <c r="H21" s="9">
        <f>D21+F21+'04-29-21'!H20</f>
        <v>936.46</v>
      </c>
      <c r="I21" s="9">
        <f>E21+G21+'04-29-21'!I20</f>
        <v>16.864999999999998</v>
      </c>
      <c r="J21" s="9">
        <f t="shared" si="7"/>
        <v>953.32500000000005</v>
      </c>
      <c r="K21" s="9">
        <f t="shared" si="9"/>
        <v>1072.675</v>
      </c>
      <c r="L21" s="9">
        <f t="shared" si="8"/>
        <v>945.36762422360539</v>
      </c>
      <c r="M21" s="115"/>
    </row>
    <row r="22" spans="1:13" ht="21.6" customHeight="1" thickBot="1" x14ac:dyDescent="0.3">
      <c r="A22" s="155" t="s">
        <v>28</v>
      </c>
      <c r="B22" s="156"/>
      <c r="C22" s="7">
        <f t="shared" ref="C22:L22" si="10">SUM(C19:C21)</f>
        <v>42902</v>
      </c>
      <c r="D22" s="7">
        <f t="shared" si="10"/>
        <v>0</v>
      </c>
      <c r="E22" s="7">
        <f t="shared" si="10"/>
        <v>0</v>
      </c>
      <c r="F22" s="7">
        <f t="shared" si="10"/>
        <v>0</v>
      </c>
      <c r="G22" s="7">
        <f t="shared" si="10"/>
        <v>0</v>
      </c>
      <c r="H22" s="7">
        <f t="shared" si="10"/>
        <v>14439.46</v>
      </c>
      <c r="I22" s="7">
        <f t="shared" si="10"/>
        <v>719.00499999999988</v>
      </c>
      <c r="J22" s="49">
        <f t="shared" si="10"/>
        <v>15158.465</v>
      </c>
      <c r="K22" s="7">
        <f t="shared" si="10"/>
        <v>27743.535</v>
      </c>
      <c r="L22" s="7">
        <f t="shared" si="10"/>
        <v>25719.26793478266</v>
      </c>
    </row>
    <row r="23" spans="1:13" ht="11.25" customHeight="1" x14ac:dyDescent="0.25">
      <c r="A23" s="42"/>
      <c r="B23" s="41"/>
      <c r="C23" s="39"/>
      <c r="D23" s="39"/>
      <c r="E23" s="39"/>
      <c r="F23" s="39"/>
      <c r="G23" s="39"/>
      <c r="H23" s="39"/>
      <c r="I23" s="39"/>
      <c r="J23" s="39"/>
      <c r="K23" s="39"/>
      <c r="L23" s="51"/>
    </row>
    <row r="24" spans="1:13" ht="11.25" customHeight="1" thickBot="1" x14ac:dyDescent="0.3">
      <c r="A24" s="38"/>
      <c r="B24" s="37"/>
      <c r="C24" s="35"/>
      <c r="D24" s="35"/>
      <c r="E24" s="35"/>
      <c r="F24" s="35"/>
      <c r="G24" s="35"/>
      <c r="H24" s="35"/>
      <c r="I24" s="35"/>
      <c r="J24" s="35"/>
      <c r="K24" s="35"/>
      <c r="L24" s="50"/>
    </row>
    <row r="25" spans="1:13" s="99" customFormat="1" ht="11.45" customHeight="1" x14ac:dyDescent="0.25">
      <c r="A25" s="13" t="s">
        <v>27</v>
      </c>
      <c r="B25" s="33">
        <v>55200000</v>
      </c>
      <c r="C25" s="9">
        <v>25000</v>
      </c>
      <c r="D25" s="10">
        <v>420</v>
      </c>
      <c r="E25" s="10">
        <v>7.97</v>
      </c>
      <c r="F25" s="10">
        <v>0</v>
      </c>
      <c r="G25" s="10">
        <v>0</v>
      </c>
      <c r="H25" s="9">
        <f>D25+F25+'04-29-21'!H24</f>
        <v>11171.25</v>
      </c>
      <c r="I25" s="9">
        <f>E25+G25+'04-29-21'!I24</f>
        <v>212.14000000000001</v>
      </c>
      <c r="J25" s="9">
        <f t="shared" ref="J25:J27" si="11">H25+I25</f>
        <v>11383.39</v>
      </c>
      <c r="K25" s="9">
        <f>C25-J25</f>
        <v>13616.61</v>
      </c>
      <c r="L25" s="9">
        <f t="shared" ref="L25:L28" si="12">C25-((J25/23)*26.0714285714285)</f>
        <v>12096.467857142894</v>
      </c>
      <c r="M25" s="118"/>
    </row>
    <row r="26" spans="1:13" s="99" customFormat="1" ht="11.45" hidden="1" customHeight="1" x14ac:dyDescent="0.25">
      <c r="A26" s="13" t="s">
        <v>26</v>
      </c>
      <c r="B26" s="100" t="s">
        <v>25</v>
      </c>
      <c r="C26" s="46">
        <v>0</v>
      </c>
      <c r="D26" s="45"/>
      <c r="E26" s="45"/>
      <c r="F26" s="45"/>
      <c r="G26" s="45"/>
      <c r="H26" s="9">
        <f>D26+F26+'04-29-21'!H25</f>
        <v>0</v>
      </c>
      <c r="I26" s="9">
        <f>E26+G26+'04-29-21'!I25</f>
        <v>-9.9999999999997868E-3</v>
      </c>
      <c r="J26" s="9">
        <f t="shared" si="11"/>
        <v>-9.9999999999997868E-3</v>
      </c>
      <c r="K26" s="75">
        <f t="shared" ref="K26:K27" si="13">C26-J26</f>
        <v>9.9999999999997868E-3</v>
      </c>
      <c r="L26" s="9">
        <f t="shared" si="12"/>
        <v>1.1335403726707801E-2</v>
      </c>
      <c r="M26" s="118"/>
    </row>
    <row r="27" spans="1:13" s="99" customFormat="1" ht="10.9" customHeight="1" x14ac:dyDescent="0.25">
      <c r="A27" s="28" t="s">
        <v>24</v>
      </c>
      <c r="B27" s="47" t="s">
        <v>23</v>
      </c>
      <c r="C27" s="46">
        <v>0</v>
      </c>
      <c r="D27" s="45">
        <v>0</v>
      </c>
      <c r="E27" s="45">
        <v>0</v>
      </c>
      <c r="F27" s="45">
        <v>0</v>
      </c>
      <c r="G27" s="45">
        <v>0</v>
      </c>
      <c r="H27" s="9">
        <f>D27+F27+'04-29-21'!H26</f>
        <v>0</v>
      </c>
      <c r="I27" s="9">
        <f>E27+G27+'04-29-21'!I26</f>
        <v>0</v>
      </c>
      <c r="J27" s="9">
        <f t="shared" si="11"/>
        <v>0</v>
      </c>
      <c r="K27" s="9">
        <f t="shared" si="13"/>
        <v>0</v>
      </c>
      <c r="L27" s="9">
        <f t="shared" si="12"/>
        <v>0</v>
      </c>
      <c r="M27" s="117"/>
    </row>
    <row r="28" spans="1:13" s="99" customFormat="1" ht="10.9" customHeight="1" x14ac:dyDescent="0.25">
      <c r="A28" s="136" t="s">
        <v>12</v>
      </c>
      <c r="B28" s="137">
        <v>55110100</v>
      </c>
      <c r="C28" s="46">
        <f>2659+6100+5341</f>
        <v>14100</v>
      </c>
      <c r="D28" s="45">
        <v>0</v>
      </c>
      <c r="E28" s="45">
        <v>0</v>
      </c>
      <c r="F28" s="45">
        <v>120</v>
      </c>
      <c r="G28" s="45">
        <v>6.24</v>
      </c>
      <c r="H28" s="9">
        <f>D28+F28+'04-29-21'!H27</f>
        <v>11782.5</v>
      </c>
      <c r="I28" s="9">
        <f>E28+G28+'04-29-21'!I27</f>
        <v>511.7</v>
      </c>
      <c r="J28" s="9">
        <f>H28+I28</f>
        <v>12294.2</v>
      </c>
      <c r="K28" s="9">
        <f>C28-J28</f>
        <v>1805.7999999999993</v>
      </c>
      <c r="L28" s="9">
        <f t="shared" si="12"/>
        <v>164.02795031059759</v>
      </c>
      <c r="M28" s="117"/>
    </row>
    <row r="29" spans="1:13" ht="24.75" customHeight="1" thickBot="1" x14ac:dyDescent="0.3">
      <c r="A29" s="157" t="s">
        <v>22</v>
      </c>
      <c r="B29" s="158"/>
      <c r="C29" s="43">
        <f>SUM(C25:C26)</f>
        <v>25000</v>
      </c>
      <c r="D29" s="43">
        <f t="shared" ref="D29:L29" si="14">SUM(D25:D27)</f>
        <v>420</v>
      </c>
      <c r="E29" s="43">
        <f t="shared" si="14"/>
        <v>7.97</v>
      </c>
      <c r="F29" s="43">
        <f t="shared" si="14"/>
        <v>0</v>
      </c>
      <c r="G29" s="43">
        <f t="shared" si="14"/>
        <v>0</v>
      </c>
      <c r="H29" s="43">
        <f t="shared" si="14"/>
        <v>11171.25</v>
      </c>
      <c r="I29" s="43">
        <f t="shared" si="14"/>
        <v>212.13000000000002</v>
      </c>
      <c r="J29" s="43">
        <f t="shared" si="14"/>
        <v>11383.38</v>
      </c>
      <c r="K29" s="43">
        <f t="shared" si="14"/>
        <v>13616.62</v>
      </c>
      <c r="L29" s="34">
        <f t="shared" si="14"/>
        <v>12096.479192546622</v>
      </c>
    </row>
    <row r="30" spans="1:13" ht="11.25" customHeight="1" x14ac:dyDescent="0.25">
      <c r="A30" s="42"/>
      <c r="B30" s="41"/>
      <c r="C30" s="39"/>
      <c r="D30" s="39"/>
      <c r="E30" s="39"/>
      <c r="F30" s="39"/>
      <c r="G30" s="39"/>
      <c r="H30" s="39"/>
      <c r="I30" s="39"/>
      <c r="J30" s="39"/>
      <c r="K30" s="39"/>
      <c r="L30" s="39"/>
    </row>
    <row r="31" spans="1:13" ht="11.25" customHeight="1" thickBot="1" x14ac:dyDescent="0.3">
      <c r="A31" s="38"/>
      <c r="B31" s="37"/>
      <c r="C31" s="35"/>
      <c r="D31" s="35"/>
      <c r="E31" s="35"/>
      <c r="F31" s="35"/>
      <c r="G31" s="35"/>
      <c r="H31" s="35"/>
      <c r="I31" s="35"/>
      <c r="J31" s="35"/>
      <c r="K31" s="35"/>
      <c r="L31" s="35"/>
    </row>
    <row r="32" spans="1:13" ht="21.6" customHeight="1" x14ac:dyDescent="0.25">
      <c r="A32" s="159" t="s">
        <v>21</v>
      </c>
      <c r="B32" s="159"/>
      <c r="C32" s="34">
        <f>C16+C22+C29</f>
        <v>337416.24</v>
      </c>
      <c r="D32" s="34">
        <f t="shared" ref="D32:L32" si="15">D16+D22+D29</f>
        <v>-6533.5400000000009</v>
      </c>
      <c r="E32" s="34">
        <f t="shared" si="15"/>
        <v>-85.610000000000014</v>
      </c>
      <c r="F32" s="34">
        <f t="shared" si="15"/>
        <v>7061.51</v>
      </c>
      <c r="G32" s="34">
        <f t="shared" si="15"/>
        <v>367.15999999999997</v>
      </c>
      <c r="H32" s="34">
        <f t="shared" si="15"/>
        <v>194506.66999999998</v>
      </c>
      <c r="I32" s="34">
        <f t="shared" si="15"/>
        <v>6228.2349999999997</v>
      </c>
      <c r="J32" s="34">
        <f t="shared" si="15"/>
        <v>200734.905</v>
      </c>
      <c r="K32" s="34">
        <f t="shared" si="15"/>
        <v>136681.33499999999</v>
      </c>
      <c r="L32" s="34">
        <f t="shared" si="15"/>
        <v>109875.12097826152</v>
      </c>
    </row>
    <row r="33" spans="1:13" ht="10.9" customHeight="1" x14ac:dyDescent="0.25">
      <c r="A33" s="17"/>
      <c r="B33" s="16"/>
      <c r="C33" s="15"/>
      <c r="D33" s="15"/>
      <c r="E33" s="15"/>
      <c r="F33" s="15"/>
      <c r="G33" s="15"/>
      <c r="H33" s="15"/>
      <c r="I33" s="15"/>
      <c r="J33" s="15"/>
      <c r="K33" s="15"/>
      <c r="L33" s="15"/>
    </row>
    <row r="34" spans="1:13" ht="11.25" customHeight="1" x14ac:dyDescent="0.25">
      <c r="A34" s="17"/>
      <c r="B34" s="16"/>
      <c r="C34" s="15"/>
      <c r="D34" s="15"/>
      <c r="E34" s="15"/>
      <c r="F34" s="15"/>
      <c r="G34" s="15"/>
      <c r="H34" s="15"/>
      <c r="I34" s="15"/>
      <c r="J34" s="15"/>
      <c r="K34" s="15"/>
      <c r="L34" s="15"/>
    </row>
    <row r="35" spans="1:13" s="104" customFormat="1" ht="11.25" customHeight="1" x14ac:dyDescent="0.25">
      <c r="A35" s="28" t="s">
        <v>20</v>
      </c>
      <c r="B35" s="27" t="s">
        <v>19</v>
      </c>
      <c r="C35" s="9">
        <v>0</v>
      </c>
      <c r="D35" s="10">
        <v>0</v>
      </c>
      <c r="E35" s="10">
        <v>0</v>
      </c>
      <c r="F35" s="10">
        <v>0</v>
      </c>
      <c r="G35" s="10">
        <v>0</v>
      </c>
      <c r="H35" s="9">
        <f>D35+F35+'04-29-21'!H34</f>
        <v>0</v>
      </c>
      <c r="I35" s="9">
        <f>E35+G35+'04-29-21'!I34</f>
        <v>0</v>
      </c>
      <c r="J35" s="9">
        <f t="shared" ref="J35:J53" si="16">H35+I35</f>
        <v>0</v>
      </c>
      <c r="K35" s="9">
        <f>C35-J35</f>
        <v>0</v>
      </c>
      <c r="L35" s="9">
        <f t="shared" ref="L35:L53" si="17">C35-((J35/23)*26.0714285714285)</f>
        <v>0</v>
      </c>
      <c r="M35" s="119"/>
    </row>
    <row r="36" spans="1:13" s="104" customFormat="1" ht="11.25" customHeight="1" x14ac:dyDescent="0.25">
      <c r="A36" s="32" t="s">
        <v>123</v>
      </c>
      <c r="B36" s="132" t="s">
        <v>55</v>
      </c>
      <c r="C36" s="9">
        <f>2795.22+12000</f>
        <v>14795.22</v>
      </c>
      <c r="D36" s="10">
        <v>0</v>
      </c>
      <c r="E36" s="10">
        <v>0</v>
      </c>
      <c r="F36" s="10">
        <v>0</v>
      </c>
      <c r="G36" s="10">
        <v>0</v>
      </c>
      <c r="H36" s="9">
        <f>D36+F36+'04-29-21'!H35</f>
        <v>8090</v>
      </c>
      <c r="I36" s="9">
        <f>E36+G36+'04-29-21'!I35</f>
        <v>368.86</v>
      </c>
      <c r="J36" s="9">
        <f>H36+I36</f>
        <v>8458.86</v>
      </c>
      <c r="K36" s="9">
        <f>C36-J36</f>
        <v>6336.3599999999988</v>
      </c>
      <c r="L36" s="9">
        <f t="shared" si="17"/>
        <v>5206.7606832298388</v>
      </c>
      <c r="M36" s="129"/>
    </row>
    <row r="37" spans="1:13" s="104" customFormat="1" ht="11.25" hidden="1" customHeight="1" x14ac:dyDescent="0.25">
      <c r="A37" s="32" t="s">
        <v>18</v>
      </c>
      <c r="B37" s="27" t="s">
        <v>17</v>
      </c>
      <c r="C37" s="105">
        <v>0</v>
      </c>
      <c r="D37" s="10"/>
      <c r="E37" s="10"/>
      <c r="F37" s="10"/>
      <c r="G37" s="10"/>
      <c r="H37" s="9">
        <f>D37+F37+'04-29-21'!H36</f>
        <v>0</v>
      </c>
      <c r="I37" s="9">
        <f>E37+G37+'04-29-21'!I36</f>
        <v>-1.0000000000005116E-2</v>
      </c>
      <c r="J37" s="9">
        <f t="shared" si="16"/>
        <v>-1.0000000000005116E-2</v>
      </c>
      <c r="K37" s="9">
        <f t="shared" ref="K37:K49" si="18">C37-J37</f>
        <v>1.0000000000005116E-2</v>
      </c>
      <c r="L37" s="9">
        <f t="shared" si="17"/>
        <v>1.1335403726713843E-2</v>
      </c>
      <c r="M37" s="119"/>
    </row>
    <row r="38" spans="1:13" s="106" customFormat="1" ht="11.25" customHeight="1" x14ac:dyDescent="0.25">
      <c r="A38" s="28" t="s">
        <v>16</v>
      </c>
      <c r="B38" s="29" t="s">
        <v>15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f>D38+F38+'04-29-21'!H37</f>
        <v>0</v>
      </c>
      <c r="I38" s="9">
        <f>E38+G38+'04-29-21'!I37</f>
        <v>0</v>
      </c>
      <c r="J38" s="9">
        <f t="shared" si="16"/>
        <v>0</v>
      </c>
      <c r="K38" s="9">
        <f t="shared" si="18"/>
        <v>0</v>
      </c>
      <c r="L38" s="9">
        <f t="shared" si="17"/>
        <v>0</v>
      </c>
      <c r="M38" s="120"/>
    </row>
    <row r="39" spans="1:13" s="106" customFormat="1" ht="11.25" customHeight="1" x14ac:dyDescent="0.25">
      <c r="A39" s="28" t="s">
        <v>125</v>
      </c>
      <c r="B39" s="132" t="s">
        <v>13</v>
      </c>
      <c r="C39" s="9">
        <f>2500</f>
        <v>2500</v>
      </c>
      <c r="D39" s="9">
        <v>105.55</v>
      </c>
      <c r="E39" s="9">
        <v>2</v>
      </c>
      <c r="F39" s="9">
        <v>0</v>
      </c>
      <c r="G39" s="9">
        <v>0</v>
      </c>
      <c r="H39" s="9">
        <f>D39+F39+'04-29-21'!H38</f>
        <v>1779.4599999999996</v>
      </c>
      <c r="I39" s="9">
        <f>E39+G39+'04-29-21'!I38</f>
        <v>33.679999999999993</v>
      </c>
      <c r="J39" s="10">
        <f t="shared" si="16"/>
        <v>1813.1399999999996</v>
      </c>
      <c r="K39" s="9">
        <f t="shared" si="18"/>
        <v>686.86000000000035</v>
      </c>
      <c r="L39" s="9">
        <f t="shared" si="17"/>
        <v>444.7326086956582</v>
      </c>
      <c r="M39" s="116"/>
    </row>
    <row r="40" spans="1:13" s="106" customFormat="1" ht="11.25" customHeight="1" x14ac:dyDescent="0.25">
      <c r="A40" s="28" t="s">
        <v>11</v>
      </c>
      <c r="B40" s="27" t="s">
        <v>10</v>
      </c>
      <c r="C40" s="9">
        <v>0</v>
      </c>
      <c r="D40" s="10">
        <v>0</v>
      </c>
      <c r="E40" s="10">
        <v>0</v>
      </c>
      <c r="F40" s="10">
        <v>0</v>
      </c>
      <c r="G40" s="10">
        <v>0</v>
      </c>
      <c r="H40" s="9">
        <f>D40+F40+'04-29-21'!H39</f>
        <v>0</v>
      </c>
      <c r="I40" s="9">
        <f>E40+G40+'04-29-21'!I39</f>
        <v>0</v>
      </c>
      <c r="J40" s="9">
        <f t="shared" si="16"/>
        <v>0</v>
      </c>
      <c r="K40" s="9">
        <f t="shared" si="18"/>
        <v>0</v>
      </c>
      <c r="L40" s="9">
        <f t="shared" si="17"/>
        <v>0</v>
      </c>
      <c r="M40" s="126"/>
    </row>
    <row r="41" spans="1:13" s="106" customFormat="1" ht="11.25" customHeight="1" x14ac:dyDescent="0.25">
      <c r="A41" s="25" t="s">
        <v>105</v>
      </c>
      <c r="B41" s="108" t="s">
        <v>69</v>
      </c>
      <c r="C41" s="9">
        <v>1500</v>
      </c>
      <c r="D41" s="9">
        <v>0</v>
      </c>
      <c r="E41" s="9">
        <v>0</v>
      </c>
      <c r="F41" s="9">
        <v>0</v>
      </c>
      <c r="G41" s="9">
        <v>0</v>
      </c>
      <c r="H41" s="9">
        <f>D41+F41+'04-29-21'!H40</f>
        <v>1122.3499999999997</v>
      </c>
      <c r="I41" s="9">
        <f>E41+G41+'04-29-21'!I40</f>
        <v>21.117000000000004</v>
      </c>
      <c r="J41" s="9">
        <f t="shared" si="16"/>
        <v>1143.4669999999996</v>
      </c>
      <c r="K41" s="9">
        <f t="shared" si="18"/>
        <v>356.53300000000036</v>
      </c>
      <c r="L41" s="9">
        <f t="shared" si="17"/>
        <v>203.83399068323388</v>
      </c>
      <c r="M41" s="126"/>
    </row>
    <row r="42" spans="1:13" s="106" customFormat="1" ht="11.45" customHeight="1" x14ac:dyDescent="0.25">
      <c r="A42" s="25" t="s">
        <v>89</v>
      </c>
      <c r="B42" s="108" t="s">
        <v>88</v>
      </c>
      <c r="C42" s="9">
        <v>1200</v>
      </c>
      <c r="D42" s="9">
        <v>0</v>
      </c>
      <c r="E42" s="9">
        <v>0</v>
      </c>
      <c r="F42" s="9">
        <v>0</v>
      </c>
      <c r="G42" s="9">
        <v>0</v>
      </c>
      <c r="H42" s="9">
        <f>D42+F42+'04-29-21'!H41</f>
        <v>633.79999999999995</v>
      </c>
      <c r="I42" s="9">
        <f>E42+G42+'04-29-21'!I41</f>
        <v>11.979999999999999</v>
      </c>
      <c r="J42" s="9">
        <f t="shared" si="16"/>
        <v>645.78</v>
      </c>
      <c r="K42" s="9">
        <f>C42-J42</f>
        <v>554.22</v>
      </c>
      <c r="L42" s="9">
        <f t="shared" si="17"/>
        <v>467.98229813664807</v>
      </c>
      <c r="M42" s="120"/>
    </row>
    <row r="43" spans="1:13" s="98" customFormat="1" ht="11.45" customHeight="1" x14ac:dyDescent="0.25">
      <c r="A43" s="25" t="s">
        <v>61</v>
      </c>
      <c r="B43" s="108" t="s">
        <v>62</v>
      </c>
      <c r="C43" s="9">
        <f>9800+1200+450+22.83</f>
        <v>11472.83</v>
      </c>
      <c r="D43" s="9">
        <v>0</v>
      </c>
      <c r="E43" s="9">
        <v>0</v>
      </c>
      <c r="F43" s="9">
        <v>0</v>
      </c>
      <c r="G43" s="9">
        <v>0</v>
      </c>
      <c r="H43" s="9">
        <f>D43+F43+'04-29-21'!H42</f>
        <v>11025</v>
      </c>
      <c r="I43" s="9">
        <f>E43+G43+'04-29-21'!I42</f>
        <v>447.83</v>
      </c>
      <c r="J43" s="9">
        <f t="shared" si="16"/>
        <v>11472.83</v>
      </c>
      <c r="K43" s="9">
        <f>C43-J43</f>
        <v>0</v>
      </c>
      <c r="L43" s="9">
        <f>C43-((J43/26.0714285714285)*26.0714285714285)</f>
        <v>0</v>
      </c>
      <c r="M43" s="116"/>
    </row>
    <row r="44" spans="1:13" s="98" customFormat="1" ht="11.45" customHeight="1" x14ac:dyDescent="0.25">
      <c r="A44" s="25" t="s">
        <v>59</v>
      </c>
      <c r="B44" s="108" t="s">
        <v>60</v>
      </c>
      <c r="C44" s="9">
        <f>2453.12+2598.45+16442.41</f>
        <v>21493.98</v>
      </c>
      <c r="D44" s="9">
        <v>0</v>
      </c>
      <c r="E44" s="9">
        <v>0</v>
      </c>
      <c r="F44" s="9">
        <v>0</v>
      </c>
      <c r="G44" s="9">
        <v>0</v>
      </c>
      <c r="H44" s="9">
        <f>D44+F44+'04-29-21'!H43</f>
        <v>5543.83</v>
      </c>
      <c r="I44" s="9">
        <f>E44+G44+'04-29-21'!I43</f>
        <v>105.21999999999998</v>
      </c>
      <c r="J44" s="9">
        <f t="shared" si="16"/>
        <v>5649.05</v>
      </c>
      <c r="K44" s="9">
        <f>C44-J44</f>
        <v>15844.93</v>
      </c>
      <c r="L44" s="9">
        <f t="shared" si="17"/>
        <v>15090.553757763992</v>
      </c>
      <c r="M44" s="116"/>
    </row>
    <row r="45" spans="1:13" s="98" customFormat="1" ht="11.45" customHeight="1" x14ac:dyDescent="0.25">
      <c r="A45" s="25" t="s">
        <v>70</v>
      </c>
      <c r="B45" s="108" t="s">
        <v>71</v>
      </c>
      <c r="C45" s="9">
        <v>5600</v>
      </c>
      <c r="D45" s="9">
        <v>0</v>
      </c>
      <c r="E45" s="9">
        <v>0</v>
      </c>
      <c r="F45" s="9">
        <v>0</v>
      </c>
      <c r="G45" s="9">
        <v>0</v>
      </c>
      <c r="H45" s="9">
        <f>D45+F45+'04-29-21'!H44</f>
        <v>4041.7000000000003</v>
      </c>
      <c r="I45" s="9">
        <f>E45+G45+'04-29-21'!I44</f>
        <v>76.720000000000013</v>
      </c>
      <c r="J45" s="9">
        <f t="shared" si="16"/>
        <v>4118.42</v>
      </c>
      <c r="K45" s="9">
        <f t="shared" ref="K45" si="19">C45-J45</f>
        <v>1481.58</v>
      </c>
      <c r="L45" s="9">
        <f t="shared" si="17"/>
        <v>931.60465838510663</v>
      </c>
      <c r="M45" s="116"/>
    </row>
    <row r="46" spans="1:13" s="98" customFormat="1" ht="11.45" customHeight="1" x14ac:dyDescent="0.25">
      <c r="A46" s="25" t="s">
        <v>7</v>
      </c>
      <c r="B46" s="108" t="s">
        <v>6</v>
      </c>
      <c r="C46" s="9">
        <v>1609.56</v>
      </c>
      <c r="D46" s="9">
        <v>0</v>
      </c>
      <c r="E46" s="9">
        <v>0</v>
      </c>
      <c r="F46" s="9">
        <v>0</v>
      </c>
      <c r="G46" s="9">
        <v>0</v>
      </c>
      <c r="H46" s="9">
        <f>D46+F46+'04-29-21'!H45</f>
        <v>1267.5</v>
      </c>
      <c r="I46" s="9">
        <f>E46+G46+'04-29-21'!I45</f>
        <v>24.05</v>
      </c>
      <c r="J46" s="9">
        <f t="shared" si="16"/>
        <v>1291.55</v>
      </c>
      <c r="K46" s="9">
        <f>C46-J46</f>
        <v>318.01</v>
      </c>
      <c r="L46" s="9">
        <f t="shared" si="17"/>
        <v>145.53593167702275</v>
      </c>
      <c r="M46" s="116"/>
    </row>
    <row r="47" spans="1:13" s="98" customFormat="1" ht="11.45" customHeight="1" x14ac:dyDescent="0.25">
      <c r="A47" s="25" t="s">
        <v>9</v>
      </c>
      <c r="B47" s="108" t="s">
        <v>8</v>
      </c>
      <c r="C47" s="9">
        <v>0</v>
      </c>
      <c r="D47" s="10">
        <v>0</v>
      </c>
      <c r="E47" s="10">
        <v>0</v>
      </c>
      <c r="F47" s="10">
        <v>0</v>
      </c>
      <c r="G47" s="10">
        <v>0</v>
      </c>
      <c r="H47" s="9">
        <f>D47+F47+'04-29-21'!H46</f>
        <v>0</v>
      </c>
      <c r="I47" s="9">
        <f>E47+G47+'04-29-21'!I46</f>
        <v>0</v>
      </c>
      <c r="J47" s="9">
        <f t="shared" si="16"/>
        <v>0</v>
      </c>
      <c r="K47" s="9">
        <f t="shared" si="18"/>
        <v>0</v>
      </c>
      <c r="L47" s="9">
        <f t="shared" si="17"/>
        <v>0</v>
      </c>
      <c r="M47" s="116"/>
    </row>
    <row r="48" spans="1:13" s="98" customFormat="1" ht="11.45" customHeight="1" x14ac:dyDescent="0.25">
      <c r="A48" s="25" t="s">
        <v>63</v>
      </c>
      <c r="B48" s="108" t="s">
        <v>66</v>
      </c>
      <c r="C48" s="9">
        <v>1784.19</v>
      </c>
      <c r="D48" s="10">
        <v>0</v>
      </c>
      <c r="E48" s="10">
        <v>0</v>
      </c>
      <c r="F48" s="10">
        <v>0</v>
      </c>
      <c r="G48" s="10">
        <v>0</v>
      </c>
      <c r="H48" s="9">
        <f>D48+F48+'04-29-21'!H47</f>
        <v>1504</v>
      </c>
      <c r="I48" s="9">
        <f>E48+G48+'04-29-21'!I47</f>
        <v>78.179999999999993</v>
      </c>
      <c r="J48" s="9">
        <f t="shared" si="16"/>
        <v>1582.18</v>
      </c>
      <c r="K48" s="9">
        <f t="shared" si="18"/>
        <v>202.01</v>
      </c>
      <c r="L48" s="9">
        <f t="shared" si="17"/>
        <v>-9.2749068322932544</v>
      </c>
      <c r="M48" s="116"/>
    </row>
    <row r="49" spans="1:13" s="98" customFormat="1" ht="11.45" hidden="1" customHeight="1" x14ac:dyDescent="0.25">
      <c r="A49" s="25" t="s">
        <v>64</v>
      </c>
      <c r="B49" s="108" t="s">
        <v>65</v>
      </c>
      <c r="C49" s="97"/>
      <c r="D49" s="10"/>
      <c r="E49" s="10"/>
      <c r="F49" s="10"/>
      <c r="G49" s="10"/>
      <c r="H49" s="9">
        <f>D49+F49+'04-29-21'!H48</f>
        <v>0</v>
      </c>
      <c r="I49" s="9">
        <f>E49+G49+'04-29-21'!I48</f>
        <v>0</v>
      </c>
      <c r="J49" s="9">
        <f t="shared" si="16"/>
        <v>0</v>
      </c>
      <c r="K49" s="9">
        <f t="shared" si="18"/>
        <v>0</v>
      </c>
      <c r="L49" s="9">
        <f t="shared" si="17"/>
        <v>0</v>
      </c>
      <c r="M49" s="116"/>
    </row>
    <row r="50" spans="1:13" s="110" customFormat="1" ht="11.25" customHeight="1" x14ac:dyDescent="0.25">
      <c r="A50" s="25" t="s">
        <v>57</v>
      </c>
      <c r="B50" s="108" t="s">
        <v>58</v>
      </c>
      <c r="C50" s="109">
        <v>5369</v>
      </c>
      <c r="D50" s="109">
        <v>0</v>
      </c>
      <c r="E50" s="109">
        <v>0</v>
      </c>
      <c r="F50" s="109">
        <v>0</v>
      </c>
      <c r="G50" s="109">
        <v>0</v>
      </c>
      <c r="H50" s="9">
        <f>D50+F50+'04-29-21'!H49</f>
        <v>1682.0900000000001</v>
      </c>
      <c r="I50" s="9">
        <f>E50+G50+'04-29-21'!I49</f>
        <v>31.85</v>
      </c>
      <c r="J50" s="9">
        <f t="shared" si="16"/>
        <v>1713.94</v>
      </c>
      <c r="K50" s="9">
        <f>C50-J50</f>
        <v>3655.06</v>
      </c>
      <c r="L50" s="9">
        <f t="shared" si="17"/>
        <v>3426.1798136646016</v>
      </c>
      <c r="M50" s="115"/>
    </row>
    <row r="51" spans="1:13" s="110" customFormat="1" ht="11.25" customHeight="1" x14ac:dyDescent="0.25">
      <c r="A51" s="25" t="s">
        <v>95</v>
      </c>
      <c r="B51" s="108" t="s">
        <v>94</v>
      </c>
      <c r="C51" s="109">
        <f>2000+1000+500</f>
        <v>3500</v>
      </c>
      <c r="D51" s="109">
        <v>0</v>
      </c>
      <c r="E51" s="109">
        <v>0</v>
      </c>
      <c r="F51" s="109">
        <v>0</v>
      </c>
      <c r="G51" s="109">
        <v>0</v>
      </c>
      <c r="H51" s="9">
        <f>D51+F51+'04-29-21'!H50</f>
        <v>3071.5</v>
      </c>
      <c r="I51" s="9">
        <f>E51+G51+'04-29-21'!I50</f>
        <v>59.129999999999995</v>
      </c>
      <c r="J51" s="9">
        <f t="shared" si="16"/>
        <v>3130.63</v>
      </c>
      <c r="K51" s="9">
        <f>C51-J51</f>
        <v>369.36999999999989</v>
      </c>
      <c r="L51" s="9">
        <f t="shared" si="17"/>
        <v>-48.695496894400549</v>
      </c>
      <c r="M51" s="116"/>
    </row>
    <row r="52" spans="1:13" s="110" customFormat="1" ht="11.25" customHeight="1" x14ac:dyDescent="0.25">
      <c r="A52" s="25" t="s">
        <v>131</v>
      </c>
      <c r="B52" s="108" t="s">
        <v>130</v>
      </c>
      <c r="C52" s="109">
        <f>28.53+2000</f>
        <v>2028.53</v>
      </c>
      <c r="D52" s="109">
        <v>300</v>
      </c>
      <c r="E52" s="109">
        <v>5.7</v>
      </c>
      <c r="F52" s="109">
        <v>0</v>
      </c>
      <c r="G52" s="109">
        <v>0</v>
      </c>
      <c r="H52" s="9">
        <f>D52+F52+'04-29-21'!H51</f>
        <v>478</v>
      </c>
      <c r="I52" s="9">
        <f>E52+G52+'04-29-21'!I51</f>
        <v>9.08</v>
      </c>
      <c r="J52" s="9">
        <f t="shared" si="16"/>
        <v>487.08</v>
      </c>
      <c r="K52" s="9">
        <f>C52-J52</f>
        <v>1541.45</v>
      </c>
      <c r="L52" s="9">
        <f t="shared" si="17"/>
        <v>1476.4051552795047</v>
      </c>
      <c r="M52" s="116"/>
    </row>
    <row r="53" spans="1:13" s="110" customFormat="1" ht="11.25" customHeight="1" x14ac:dyDescent="0.25">
      <c r="A53" s="25" t="s">
        <v>141</v>
      </c>
      <c r="B53" s="108" t="s">
        <v>142</v>
      </c>
      <c r="C53" s="109">
        <v>3800</v>
      </c>
      <c r="D53" s="109">
        <v>108</v>
      </c>
      <c r="E53" s="109">
        <v>2.04</v>
      </c>
      <c r="F53" s="109">
        <v>0</v>
      </c>
      <c r="G53" s="109">
        <v>0</v>
      </c>
      <c r="H53" s="9">
        <f>D53+F53+'04-29-21'!H52</f>
        <v>108</v>
      </c>
      <c r="I53" s="9">
        <f>E53+G53+'04-29-21'!I52</f>
        <v>2.04</v>
      </c>
      <c r="J53" s="9">
        <f t="shared" si="16"/>
        <v>110.04</v>
      </c>
      <c r="K53" s="9">
        <f>C53-J53</f>
        <v>3689.96</v>
      </c>
      <c r="L53" s="9">
        <f t="shared" si="17"/>
        <v>3675.2652173913048</v>
      </c>
      <c r="M53" s="116"/>
    </row>
    <row r="54" spans="1:13" ht="21.6" customHeight="1" x14ac:dyDescent="0.25">
      <c r="A54" s="153" t="s">
        <v>5</v>
      </c>
      <c r="B54" s="154"/>
      <c r="C54" s="7">
        <f>SUM(C35:C50)</f>
        <v>67324.78</v>
      </c>
      <c r="D54" s="7"/>
      <c r="E54" s="7"/>
      <c r="F54" s="7"/>
      <c r="G54" s="7"/>
      <c r="H54" s="7">
        <f>SUM(H35:H51)</f>
        <v>39761.229999999996</v>
      </c>
      <c r="I54" s="7">
        <f>SUM(I35:I51)</f>
        <v>1258.607</v>
      </c>
      <c r="J54" s="7">
        <f>SUM(J35:J51)</f>
        <v>41019.837</v>
      </c>
      <c r="K54" s="7">
        <f>SUM(K35:K51)</f>
        <v>29804.942999999999</v>
      </c>
      <c r="L54" s="7">
        <f>SUM(L35:L51)</f>
        <v>25859.224673913137</v>
      </c>
      <c r="M54" s="133"/>
    </row>
    <row r="55" spans="1:13" ht="10.9" customHeight="1" x14ac:dyDescent="0.25">
      <c r="A55" s="17"/>
      <c r="B55" s="16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33"/>
    </row>
    <row r="56" spans="1:13" ht="10.9" customHeight="1" x14ac:dyDescent="0.25">
      <c r="A56" s="17"/>
      <c r="B56" s="16"/>
      <c r="C56" s="15"/>
      <c r="D56" s="15"/>
      <c r="E56" s="15"/>
      <c r="F56" s="15"/>
      <c r="G56" s="15"/>
      <c r="H56" s="15"/>
      <c r="I56" s="15"/>
      <c r="J56" s="15"/>
      <c r="K56" s="15"/>
      <c r="L56" s="15"/>
    </row>
    <row r="57" spans="1:13" s="92" customFormat="1" ht="10.9" customHeight="1" x14ac:dyDescent="0.25">
      <c r="A57" s="22" t="s">
        <v>4</v>
      </c>
      <c r="B57" s="29" t="s">
        <v>3</v>
      </c>
      <c r="C57" s="9">
        <v>62583</v>
      </c>
      <c r="D57" s="10">
        <v>1301.78</v>
      </c>
      <c r="E57" s="10">
        <v>24.73</v>
      </c>
      <c r="F57" s="10">
        <v>493.75</v>
      </c>
      <c r="G57" s="10">
        <v>25.67</v>
      </c>
      <c r="H57" s="9">
        <f>D57+F57+'04-29-21'!H56</f>
        <v>23637.89</v>
      </c>
      <c r="I57" s="9">
        <f>E57+G57+'04-29-21'!I56</f>
        <v>536.65200000000004</v>
      </c>
      <c r="J57" s="9">
        <f t="shared" ref="J57:J58" si="20">H57+I57</f>
        <v>24174.542000000001</v>
      </c>
      <c r="K57" s="9">
        <f>C57-J57</f>
        <v>38408.457999999999</v>
      </c>
      <c r="L57" s="9">
        <f t="shared" ref="L57:L58" si="21">C57-((J57/23)*26.0714285714285)</f>
        <v>35180.180652173985</v>
      </c>
      <c r="M57" s="115"/>
    </row>
    <row r="58" spans="1:13" s="92" customFormat="1" ht="10.9" customHeight="1" x14ac:dyDescent="0.25">
      <c r="A58" s="22" t="s">
        <v>112</v>
      </c>
      <c r="B58" s="29" t="s">
        <v>111</v>
      </c>
      <c r="C58" s="9">
        <v>11243</v>
      </c>
      <c r="D58" s="9">
        <f>-1642.36</f>
        <v>-1642.36</v>
      </c>
      <c r="E58" s="9">
        <f>-31.2</f>
        <v>-31.2</v>
      </c>
      <c r="F58" s="9">
        <v>0</v>
      </c>
      <c r="G58" s="9">
        <v>0</v>
      </c>
      <c r="H58" s="9">
        <f>D58+F58+'04-29-21'!H57</f>
        <v>-1642.36</v>
      </c>
      <c r="I58" s="9">
        <f>E58+G58+'04-29-21'!I57</f>
        <v>-31.2</v>
      </c>
      <c r="J58" s="9">
        <f t="shared" si="20"/>
        <v>-1673.56</v>
      </c>
      <c r="K58" s="9">
        <f>C58-J58</f>
        <v>12916.56</v>
      </c>
      <c r="L58" s="9">
        <f t="shared" si="21"/>
        <v>13140.047826086951</v>
      </c>
      <c r="M58" s="115"/>
    </row>
    <row r="59" spans="1:13" ht="21.6" customHeight="1" x14ac:dyDescent="0.25">
      <c r="A59" s="20" t="s">
        <v>2</v>
      </c>
      <c r="B59" s="19"/>
      <c r="C59" s="18">
        <f>C57+C58</f>
        <v>73826</v>
      </c>
      <c r="D59" s="18">
        <f t="shared" ref="D59:L59" si="22">D57+D58</f>
        <v>-340.57999999999993</v>
      </c>
      <c r="E59" s="18">
        <f t="shared" si="22"/>
        <v>-6.4699999999999989</v>
      </c>
      <c r="F59" s="18">
        <f t="shared" si="22"/>
        <v>493.75</v>
      </c>
      <c r="G59" s="18">
        <f t="shared" si="22"/>
        <v>25.67</v>
      </c>
      <c r="H59" s="18">
        <f t="shared" si="22"/>
        <v>21995.53</v>
      </c>
      <c r="I59" s="18">
        <f t="shared" si="22"/>
        <v>505.45200000000006</v>
      </c>
      <c r="J59" s="18">
        <f t="shared" si="22"/>
        <v>22500.982</v>
      </c>
      <c r="K59" s="18">
        <f t="shared" si="22"/>
        <v>51325.017999999996</v>
      </c>
      <c r="L59" s="18">
        <f t="shared" si="22"/>
        <v>48320.228478260935</v>
      </c>
    </row>
    <row r="60" spans="1:13" ht="10.9" customHeight="1" x14ac:dyDescent="0.25">
      <c r="A60" s="17"/>
      <c r="B60" s="16"/>
      <c r="C60" s="15"/>
      <c r="D60" s="15"/>
      <c r="E60" s="15"/>
      <c r="F60" s="15"/>
      <c r="G60" s="15"/>
      <c r="H60" s="15"/>
      <c r="I60" s="15"/>
      <c r="J60" s="15"/>
      <c r="K60" s="15"/>
      <c r="L60" s="15"/>
    </row>
    <row r="61" spans="1:13" ht="10.9" customHeight="1" x14ac:dyDescent="0.25">
      <c r="A61" s="17"/>
      <c r="B61" s="16"/>
      <c r="C61" s="15"/>
      <c r="D61" s="15"/>
      <c r="E61" s="15"/>
      <c r="F61" s="15"/>
      <c r="G61" s="15"/>
      <c r="H61" s="15"/>
      <c r="I61" s="15"/>
      <c r="J61" s="15"/>
      <c r="K61" s="15"/>
      <c r="L61" s="15"/>
    </row>
    <row r="62" spans="1:13" s="92" customFormat="1" ht="10.9" customHeight="1" x14ac:dyDescent="0.25">
      <c r="A62" s="13" t="s">
        <v>1</v>
      </c>
      <c r="B62" s="33">
        <v>55180000</v>
      </c>
      <c r="C62" s="9">
        <v>37736</v>
      </c>
      <c r="D62" s="10">
        <v>0</v>
      </c>
      <c r="E62" s="10">
        <v>0</v>
      </c>
      <c r="F62" s="10">
        <v>438.6</v>
      </c>
      <c r="G62" s="10">
        <v>22.8</v>
      </c>
      <c r="H62" s="9">
        <f>D62+F62+'04-29-21'!H61</f>
        <v>9493.0600000000031</v>
      </c>
      <c r="I62" s="9">
        <f>E62+G62+'04-29-21'!I61</f>
        <v>503.88000000000011</v>
      </c>
      <c r="J62" s="9">
        <f t="shared" ref="J62" si="23">H62+I62</f>
        <v>9996.9400000000023</v>
      </c>
      <c r="K62" s="9">
        <f>C62-J62</f>
        <v>27739.059999999998</v>
      </c>
      <c r="L62" s="9">
        <f>C62-((J62/23)*26.0714285714285)</f>
        <v>26404.064906832326</v>
      </c>
      <c r="M62" s="115"/>
    </row>
    <row r="63" spans="1:13" s="3" customFormat="1" ht="21.6" customHeight="1" x14ac:dyDescent="0.25">
      <c r="A63" s="153" t="s">
        <v>0</v>
      </c>
      <c r="B63" s="154"/>
      <c r="C63" s="7">
        <f t="shared" ref="C63:L63" si="24">SUM(C62)</f>
        <v>37736</v>
      </c>
      <c r="D63" s="7">
        <f t="shared" si="24"/>
        <v>0</v>
      </c>
      <c r="E63" s="7">
        <f t="shared" si="24"/>
        <v>0</v>
      </c>
      <c r="F63" s="7">
        <f t="shared" si="24"/>
        <v>438.6</v>
      </c>
      <c r="G63" s="7">
        <f t="shared" si="24"/>
        <v>22.8</v>
      </c>
      <c r="H63" s="7">
        <f t="shared" si="24"/>
        <v>9493.0600000000031</v>
      </c>
      <c r="I63" s="7">
        <f t="shared" si="24"/>
        <v>503.88000000000011</v>
      </c>
      <c r="J63" s="7">
        <f t="shared" si="24"/>
        <v>9996.9400000000023</v>
      </c>
      <c r="K63" s="7">
        <f t="shared" si="24"/>
        <v>27739.059999999998</v>
      </c>
      <c r="L63" s="7">
        <f t="shared" si="24"/>
        <v>26404.064906832326</v>
      </c>
      <c r="M63" s="122"/>
    </row>
    <row r="64" spans="1:13" s="3" customFormat="1" ht="11.25" customHeight="1" x14ac:dyDescent="0.25">
      <c r="A64" s="6"/>
      <c r="B64" s="5"/>
      <c r="C64" s="4"/>
      <c r="D64" s="4"/>
      <c r="E64" s="4"/>
      <c r="F64" s="4"/>
      <c r="G64" s="4"/>
      <c r="H64" s="4"/>
      <c r="I64" s="4"/>
      <c r="J64" s="4"/>
      <c r="K64" s="4"/>
      <c r="L64" s="4"/>
      <c r="M64" s="122"/>
    </row>
    <row r="65" spans="1:13" s="2" customFormat="1" ht="10.5" customHeight="1" x14ac:dyDescent="0.25">
      <c r="A65" s="160" t="s">
        <v>72</v>
      </c>
      <c r="B65" s="160"/>
      <c r="C65" s="160"/>
      <c r="D65" s="160"/>
      <c r="E65" s="160"/>
      <c r="F65" s="160"/>
      <c r="G65" s="82">
        <v>12000</v>
      </c>
      <c r="M65" s="111"/>
    </row>
    <row r="66" spans="1:13" s="2" customFormat="1" ht="10.5" customHeight="1" x14ac:dyDescent="0.25">
      <c r="A66" s="160" t="s">
        <v>73</v>
      </c>
      <c r="B66" s="160"/>
      <c r="C66" s="160"/>
      <c r="D66" s="160"/>
      <c r="E66" s="160"/>
      <c r="F66" s="160"/>
      <c r="G66" s="82">
        <v>5600</v>
      </c>
      <c r="M66" s="111"/>
    </row>
    <row r="67" spans="1:13" ht="10.5" customHeight="1" x14ac:dyDescent="0.25">
      <c r="A67" s="160" t="s">
        <v>76</v>
      </c>
      <c r="B67" s="160"/>
      <c r="C67" s="160"/>
      <c r="D67" s="160"/>
      <c r="E67" s="160"/>
      <c r="F67" s="160"/>
      <c r="G67" s="82">
        <v>9800</v>
      </c>
    </row>
    <row r="68" spans="1:13" ht="10.5" customHeight="1" x14ac:dyDescent="0.25">
      <c r="A68" s="160" t="s">
        <v>75</v>
      </c>
      <c r="B68" s="160"/>
      <c r="C68" s="160"/>
      <c r="D68" s="160"/>
      <c r="E68" s="160"/>
      <c r="F68" s="160"/>
      <c r="G68" s="82">
        <v>1500</v>
      </c>
    </row>
    <row r="69" spans="1:13" ht="10.5" customHeight="1" x14ac:dyDescent="0.25">
      <c r="A69" s="160" t="s">
        <v>74</v>
      </c>
      <c r="B69" s="160"/>
      <c r="C69" s="160"/>
      <c r="D69" s="160"/>
      <c r="E69" s="160"/>
      <c r="F69" s="160"/>
      <c r="G69" s="82">
        <v>843.44</v>
      </c>
    </row>
    <row r="70" spans="1:13" ht="10.5" customHeight="1" x14ac:dyDescent="0.25">
      <c r="A70" s="160" t="s">
        <v>77</v>
      </c>
      <c r="B70" s="160"/>
      <c r="C70" s="160"/>
      <c r="D70" s="160"/>
      <c r="E70" s="160"/>
      <c r="F70" s="160"/>
      <c r="G70" s="82">
        <v>1784.19</v>
      </c>
    </row>
    <row r="71" spans="1:13" ht="10.5" customHeight="1" x14ac:dyDescent="0.25">
      <c r="A71" s="160" t="s">
        <v>78</v>
      </c>
      <c r="B71" s="160"/>
      <c r="C71" s="160"/>
      <c r="D71" s="160"/>
      <c r="E71" s="160"/>
      <c r="F71" s="160"/>
      <c r="G71" s="82">
        <v>2453.12</v>
      </c>
    </row>
    <row r="72" spans="1:13" s="2" customFormat="1" ht="10.5" customHeight="1" x14ac:dyDescent="0.25">
      <c r="A72" s="160" t="s">
        <v>84</v>
      </c>
      <c r="B72" s="160"/>
      <c r="C72" s="160"/>
      <c r="D72" s="160"/>
      <c r="E72" s="160"/>
      <c r="F72" s="160"/>
      <c r="G72" s="82">
        <v>2598.4499999999998</v>
      </c>
      <c r="M72" s="112"/>
    </row>
    <row r="73" spans="1:13" s="2" customFormat="1" ht="10.5" customHeight="1" x14ac:dyDescent="0.25">
      <c r="A73" s="160" t="s">
        <v>134</v>
      </c>
      <c r="B73" s="160"/>
      <c r="C73" s="160"/>
      <c r="D73" s="160"/>
      <c r="E73" s="160"/>
      <c r="F73" s="160"/>
      <c r="G73" s="82">
        <v>2659</v>
      </c>
      <c r="M73" s="112"/>
    </row>
    <row r="74" spans="1:13" s="2" customFormat="1" ht="10.5" customHeight="1" x14ac:dyDescent="0.25">
      <c r="A74" s="160" t="s">
        <v>90</v>
      </c>
      <c r="B74" s="160"/>
      <c r="C74" s="160"/>
      <c r="D74" s="160"/>
      <c r="E74" s="160"/>
      <c r="F74" s="160"/>
      <c r="G74" s="82">
        <v>1200</v>
      </c>
      <c r="M74" s="112"/>
    </row>
    <row r="75" spans="1:13" s="2" customFormat="1" ht="10.5" customHeight="1" x14ac:dyDescent="0.25">
      <c r="A75" s="160" t="s">
        <v>93</v>
      </c>
      <c r="B75" s="160"/>
      <c r="C75" s="160"/>
      <c r="D75" s="160"/>
      <c r="E75" s="160"/>
      <c r="F75" s="160"/>
      <c r="G75" s="82">
        <v>2109</v>
      </c>
      <c r="M75" s="111"/>
    </row>
    <row r="76" spans="1:13" s="2" customFormat="1" ht="10.5" customHeight="1" x14ac:dyDescent="0.25">
      <c r="A76" s="160" t="s">
        <v>100</v>
      </c>
      <c r="B76" s="160"/>
      <c r="C76" s="160"/>
      <c r="D76" s="160"/>
      <c r="E76" s="160"/>
      <c r="F76" s="160"/>
      <c r="G76" s="82">
        <v>6100</v>
      </c>
      <c r="M76" s="111"/>
    </row>
    <row r="77" spans="1:13" s="2" customFormat="1" ht="10.5" customHeight="1" x14ac:dyDescent="0.25">
      <c r="A77" s="160" t="s">
        <v>102</v>
      </c>
      <c r="B77" s="160"/>
      <c r="C77" s="160"/>
      <c r="D77" s="160"/>
      <c r="E77" s="160"/>
      <c r="F77" s="160"/>
      <c r="G77" s="82">
        <v>5369</v>
      </c>
      <c r="M77" s="112"/>
    </row>
    <row r="78" spans="1:13" ht="10.5" customHeight="1" x14ac:dyDescent="0.25">
      <c r="A78" s="160" t="s">
        <v>106</v>
      </c>
      <c r="B78" s="160"/>
      <c r="C78" s="160"/>
      <c r="D78" s="160"/>
      <c r="E78" s="160"/>
      <c r="F78" s="160"/>
      <c r="G78" s="82">
        <v>16442.41</v>
      </c>
    </row>
    <row r="79" spans="1:13" ht="10.5" customHeight="1" x14ac:dyDescent="0.25">
      <c r="A79" s="160" t="s">
        <v>107</v>
      </c>
      <c r="B79" s="160"/>
      <c r="C79" s="160"/>
      <c r="D79" s="160"/>
      <c r="E79" s="160"/>
      <c r="F79" s="160"/>
      <c r="G79" s="82">
        <v>1609.56</v>
      </c>
    </row>
    <row r="80" spans="1:13" s="2" customFormat="1" ht="10.5" customHeight="1" x14ac:dyDescent="0.25">
      <c r="A80" s="160" t="s">
        <v>140</v>
      </c>
      <c r="B80" s="160"/>
      <c r="C80" s="160"/>
      <c r="D80" s="160"/>
      <c r="E80" s="160"/>
      <c r="F80" s="160"/>
      <c r="G80" s="82">
        <v>1000</v>
      </c>
      <c r="M80" s="112"/>
    </row>
    <row r="81" spans="1:13" ht="10.5" customHeight="1" x14ac:dyDescent="0.25">
      <c r="A81" s="160" t="s">
        <v>113</v>
      </c>
      <c r="B81" s="160"/>
      <c r="C81" s="160"/>
      <c r="D81" s="160"/>
      <c r="E81" s="160"/>
      <c r="F81" s="160"/>
      <c r="G81" s="82">
        <v>75940.289999999994</v>
      </c>
    </row>
    <row r="82" spans="1:13" s="2" customFormat="1" ht="10.5" customHeight="1" x14ac:dyDescent="0.25">
      <c r="A82" s="160" t="s">
        <v>115</v>
      </c>
      <c r="B82" s="160"/>
      <c r="C82" s="160"/>
      <c r="D82" s="160"/>
      <c r="E82" s="160"/>
      <c r="F82" s="160"/>
      <c r="G82" s="82">
        <v>1200</v>
      </c>
      <c r="M82" s="112"/>
    </row>
    <row r="83" spans="1:13" s="2" customFormat="1" ht="10.5" customHeight="1" x14ac:dyDescent="0.25">
      <c r="A83" s="160" t="s">
        <v>117</v>
      </c>
      <c r="B83" s="160"/>
      <c r="C83" s="160"/>
      <c r="D83" s="160"/>
      <c r="E83" s="160"/>
      <c r="F83" s="160"/>
      <c r="G83" s="82">
        <v>4208</v>
      </c>
      <c r="M83" s="112"/>
    </row>
    <row r="84" spans="1:13" ht="10.5" customHeight="1" x14ac:dyDescent="0.25">
      <c r="A84" s="160" t="s">
        <v>118</v>
      </c>
      <c r="B84" s="160"/>
      <c r="C84" s="160"/>
      <c r="D84" s="160"/>
      <c r="E84" s="160"/>
      <c r="F84" s="160"/>
      <c r="G84" s="82">
        <v>500</v>
      </c>
    </row>
    <row r="85" spans="1:13" s="2" customFormat="1" ht="10.5" customHeight="1" x14ac:dyDescent="0.25">
      <c r="A85" s="160" t="s">
        <v>133</v>
      </c>
      <c r="B85" s="160"/>
      <c r="C85" s="160"/>
      <c r="D85" s="160"/>
      <c r="E85" s="160"/>
      <c r="F85" s="160"/>
      <c r="G85" s="134">
        <v>3360</v>
      </c>
      <c r="M85" s="112"/>
    </row>
    <row r="86" spans="1:13" s="2" customFormat="1" ht="10.5" customHeight="1" x14ac:dyDescent="0.25">
      <c r="A86" s="160" t="s">
        <v>124</v>
      </c>
      <c r="B86" s="160"/>
      <c r="C86" s="160"/>
      <c r="D86" s="160"/>
      <c r="E86" s="160"/>
      <c r="F86" s="160"/>
      <c r="G86" s="134">
        <v>-137.84</v>
      </c>
      <c r="M86" s="112"/>
    </row>
    <row r="87" spans="1:13" s="2" customFormat="1" ht="10.5" customHeight="1" x14ac:dyDescent="0.25">
      <c r="A87" s="160" t="s">
        <v>126</v>
      </c>
      <c r="B87" s="160"/>
      <c r="C87" s="160"/>
      <c r="D87" s="160"/>
      <c r="E87" s="160"/>
      <c r="F87" s="160"/>
      <c r="G87" s="134">
        <v>2500</v>
      </c>
      <c r="M87" s="112"/>
    </row>
    <row r="88" spans="1:13" s="2" customFormat="1" ht="10.5" customHeight="1" x14ac:dyDescent="0.25">
      <c r="A88" s="160" t="s">
        <v>127</v>
      </c>
      <c r="B88" s="160"/>
      <c r="C88" s="160"/>
      <c r="D88" s="160"/>
      <c r="E88" s="160"/>
      <c r="F88" s="160"/>
      <c r="G88" s="134">
        <v>61.23</v>
      </c>
      <c r="M88" s="112"/>
    </row>
    <row r="89" spans="1:13" ht="10.5" customHeight="1" x14ac:dyDescent="0.25">
      <c r="A89" s="138" t="s">
        <v>139</v>
      </c>
      <c r="B89" s="139"/>
      <c r="C89" s="140"/>
      <c r="D89" s="140"/>
      <c r="E89" s="140"/>
      <c r="F89" s="140"/>
      <c r="G89" s="135">
        <v>28.53</v>
      </c>
    </row>
    <row r="90" spans="1:13" ht="10.5" customHeight="1" x14ac:dyDescent="0.25">
      <c r="A90" s="138" t="s">
        <v>138</v>
      </c>
      <c r="B90" s="139"/>
      <c r="C90" s="140"/>
      <c r="D90" s="140"/>
      <c r="E90" s="140"/>
      <c r="F90" s="140"/>
      <c r="G90" s="135">
        <v>2000</v>
      </c>
    </row>
    <row r="91" spans="1:13" s="2" customFormat="1" ht="10.5" customHeight="1" x14ac:dyDescent="0.25">
      <c r="A91" s="160" t="s">
        <v>136</v>
      </c>
      <c r="B91" s="160"/>
      <c r="C91" s="160"/>
      <c r="D91" s="160"/>
      <c r="E91" s="160"/>
      <c r="F91" s="160"/>
      <c r="G91" s="82">
        <v>5341</v>
      </c>
      <c r="M91" s="111"/>
    </row>
    <row r="92" spans="1:13" ht="10.5" customHeight="1" x14ac:dyDescent="0.25">
      <c r="A92" s="138" t="s">
        <v>137</v>
      </c>
      <c r="B92" s="139"/>
      <c r="C92" s="140"/>
      <c r="D92" s="140"/>
      <c r="E92" s="140"/>
      <c r="F92" s="140"/>
      <c r="G92" s="135">
        <v>3800</v>
      </c>
    </row>
    <row r="93" spans="1:13" ht="10.5" customHeight="1" x14ac:dyDescent="0.25">
      <c r="A93" s="138" t="s">
        <v>143</v>
      </c>
      <c r="B93" s="139"/>
      <c r="C93" s="140"/>
      <c r="D93" s="140"/>
      <c r="E93" s="140"/>
      <c r="F93" s="140"/>
      <c r="G93" s="135">
        <v>450</v>
      </c>
    </row>
    <row r="94" spans="1:13" ht="9.75" customHeight="1" x14ac:dyDescent="0.25">
      <c r="A94" s="138" t="s">
        <v>145</v>
      </c>
      <c r="B94" s="139"/>
      <c r="C94" s="140"/>
      <c r="D94" s="140"/>
      <c r="E94" s="140"/>
      <c r="F94" s="140"/>
      <c r="G94" s="135">
        <v>22.83</v>
      </c>
    </row>
    <row r="95" spans="1:13" ht="10.5" customHeight="1" x14ac:dyDescent="0.25">
      <c r="A95" s="144" t="s">
        <v>147</v>
      </c>
      <c r="B95" s="145"/>
      <c r="C95" s="146"/>
      <c r="D95" s="146"/>
      <c r="E95" s="146"/>
      <c r="F95" s="146"/>
      <c r="G95" s="147">
        <v>1069.95</v>
      </c>
    </row>
  </sheetData>
  <mergeCells count="31">
    <mergeCell ref="A91:F91"/>
    <mergeCell ref="A83:F83"/>
    <mergeCell ref="A84:F84"/>
    <mergeCell ref="A85:F85"/>
    <mergeCell ref="A86:F86"/>
    <mergeCell ref="A87:F87"/>
    <mergeCell ref="A88:F88"/>
    <mergeCell ref="A82:F82"/>
    <mergeCell ref="A71:F71"/>
    <mergeCell ref="A72:F72"/>
    <mergeCell ref="A73:F73"/>
    <mergeCell ref="A74:F74"/>
    <mergeCell ref="A75:F75"/>
    <mergeCell ref="A76:F76"/>
    <mergeCell ref="A77:F77"/>
    <mergeCell ref="A78:F78"/>
    <mergeCell ref="A79:F79"/>
    <mergeCell ref="A80:F80"/>
    <mergeCell ref="A81:F81"/>
    <mergeCell ref="A70:F70"/>
    <mergeCell ref="A16:B16"/>
    <mergeCell ref="A22:B22"/>
    <mergeCell ref="A29:B29"/>
    <mergeCell ref="A32:B32"/>
    <mergeCell ref="A54:B54"/>
    <mergeCell ref="A63:B63"/>
    <mergeCell ref="A65:F65"/>
    <mergeCell ref="A66:F66"/>
    <mergeCell ref="A67:F67"/>
    <mergeCell ref="A68:F68"/>
    <mergeCell ref="A69:F69"/>
  </mergeCells>
  <pageMargins left="0.25" right="0" top="0.4" bottom="0" header="0.3" footer="0"/>
  <pageSetup scale="84" fitToWidth="0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901898-FE97-4A9D-9C54-AC308172D33B}">
  <sheetPr>
    <pageSetUpPr fitToPage="1"/>
  </sheetPr>
  <dimension ref="A1:M96"/>
  <sheetViews>
    <sheetView zoomScale="145" zoomScaleNormal="145" workbookViewId="0">
      <pane ySplit="2" topLeftCell="A30" activePane="bottomLeft" state="frozen"/>
      <selection pane="bottomLeft" activeCell="C40" sqref="C40"/>
    </sheetView>
  </sheetViews>
  <sheetFormatPr defaultColWidth="28" defaultRowHeight="15" x14ac:dyDescent="0.25"/>
  <cols>
    <col min="1" max="1" width="34" style="1" bestFit="1" customWidth="1"/>
    <col min="2" max="2" width="19" style="1" bestFit="1" customWidth="1"/>
    <col min="3" max="3" width="11" style="77" customWidth="1"/>
    <col min="4" max="4" width="9" style="2" bestFit="1" customWidth="1"/>
    <col min="5" max="5" width="6.85546875" style="2" bestFit="1" customWidth="1"/>
    <col min="6" max="6" width="9" style="2" bestFit="1" customWidth="1"/>
    <col min="7" max="8" width="9.28515625" style="2" bestFit="1" customWidth="1"/>
    <col min="9" max="9" width="9.42578125" style="2" bestFit="1" customWidth="1"/>
    <col min="10" max="10" width="9.7109375" style="2" bestFit="1" customWidth="1"/>
    <col min="11" max="11" width="9.28515625" style="2" bestFit="1" customWidth="1"/>
    <col min="12" max="12" width="13.42578125" style="2" bestFit="1" customWidth="1"/>
    <col min="13" max="13" width="17.85546875" style="112" customWidth="1"/>
    <col min="14" max="16384" width="28" style="1"/>
  </cols>
  <sheetData>
    <row r="1" spans="1:13" ht="11.25" customHeight="1" x14ac:dyDescent="0.25">
      <c r="A1" s="68"/>
      <c r="B1" s="67"/>
      <c r="C1" s="76"/>
      <c r="D1" s="66"/>
      <c r="E1" s="66"/>
      <c r="F1" s="66"/>
      <c r="G1" s="66"/>
      <c r="H1" s="66"/>
      <c r="I1" s="66"/>
      <c r="J1" s="66"/>
      <c r="K1" s="66"/>
      <c r="L1" s="65" t="s">
        <v>148</v>
      </c>
    </row>
    <row r="2" spans="1:13" s="61" customFormat="1" ht="23.25" x14ac:dyDescent="0.25">
      <c r="A2" s="64" t="s">
        <v>53</v>
      </c>
      <c r="B2" s="64" t="s">
        <v>52</v>
      </c>
      <c r="C2" s="63" t="s">
        <v>51</v>
      </c>
      <c r="D2" s="63" t="s">
        <v>50</v>
      </c>
      <c r="E2" s="63" t="s">
        <v>48</v>
      </c>
      <c r="F2" s="63" t="s">
        <v>49</v>
      </c>
      <c r="G2" s="63" t="s">
        <v>48</v>
      </c>
      <c r="H2" s="62" t="s">
        <v>47</v>
      </c>
      <c r="I2" s="62" t="s">
        <v>46</v>
      </c>
      <c r="J2" s="62" t="s">
        <v>45</v>
      </c>
      <c r="K2" s="62" t="s">
        <v>44</v>
      </c>
      <c r="L2" s="62" t="s">
        <v>43</v>
      </c>
      <c r="M2" s="113"/>
    </row>
    <row r="3" spans="1:13" s="101" customFormat="1" ht="11.25" customHeight="1" x14ac:dyDescent="0.25">
      <c r="A3" s="22" t="s">
        <v>42</v>
      </c>
      <c r="B3" s="29">
        <v>55010300</v>
      </c>
      <c r="C3" s="10">
        <v>4208</v>
      </c>
      <c r="D3" s="45">
        <v>0</v>
      </c>
      <c r="E3" s="45">
        <v>0</v>
      </c>
      <c r="F3" s="45">
        <v>0</v>
      </c>
      <c r="G3" s="45">
        <v>0</v>
      </c>
      <c r="H3" s="9">
        <f>D3+F3+'05-13-21'!H3</f>
        <v>0</v>
      </c>
      <c r="I3" s="9">
        <f>E3+G3+'05-13-21'!I3</f>
        <v>0</v>
      </c>
      <c r="J3" s="9">
        <f>H3+I3</f>
        <v>0</v>
      </c>
      <c r="K3" s="9">
        <f>C3-J3</f>
        <v>4208</v>
      </c>
      <c r="L3" s="9">
        <f>C3-((J3/24)*26.0714285714285)</f>
        <v>4208</v>
      </c>
      <c r="M3" s="114"/>
    </row>
    <row r="4" spans="1:13" s="101" customFormat="1" ht="11.25" customHeight="1" x14ac:dyDescent="0.25">
      <c r="A4" s="22" t="s">
        <v>41</v>
      </c>
      <c r="B4" s="29">
        <v>55010500</v>
      </c>
      <c r="C4" s="9">
        <v>3229</v>
      </c>
      <c r="D4" s="10">
        <v>0</v>
      </c>
      <c r="E4" s="10">
        <v>0</v>
      </c>
      <c r="F4" s="10">
        <v>0</v>
      </c>
      <c r="G4" s="10">
        <v>0</v>
      </c>
      <c r="H4" s="9">
        <f>D4+F4+'05-13-21'!H4</f>
        <v>0</v>
      </c>
      <c r="I4" s="9">
        <f>E4+G4+'05-13-21'!I4</f>
        <v>0</v>
      </c>
      <c r="J4" s="9">
        <f t="shared" ref="J4:J15" si="0">H4+I4</f>
        <v>0</v>
      </c>
      <c r="K4" s="9">
        <f t="shared" ref="K4:K15" si="1">C4-J4</f>
        <v>3229</v>
      </c>
      <c r="L4" s="9">
        <f t="shared" ref="L4:L15" si="2">C4-((J4/24)*26.0714285714285)</f>
        <v>3229</v>
      </c>
      <c r="M4" s="114"/>
    </row>
    <row r="5" spans="1:13" s="101" customFormat="1" ht="11.25" customHeight="1" x14ac:dyDescent="0.25">
      <c r="A5" s="58" t="s">
        <v>146</v>
      </c>
      <c r="B5" s="102">
        <v>55010601</v>
      </c>
      <c r="C5" s="103">
        <v>1069.95</v>
      </c>
      <c r="D5" s="9">
        <v>255</v>
      </c>
      <c r="E5" s="9">
        <v>4.84</v>
      </c>
      <c r="F5" s="9">
        <v>0</v>
      </c>
      <c r="G5" s="9">
        <v>0</v>
      </c>
      <c r="H5" s="9">
        <f>D5+F5+'05-13-21'!H5</f>
        <v>255</v>
      </c>
      <c r="I5" s="9">
        <f>E5+G5+'05-13-21'!I5</f>
        <v>4.84</v>
      </c>
      <c r="J5" s="9">
        <f t="shared" si="0"/>
        <v>259.83999999999997</v>
      </c>
      <c r="K5" s="9">
        <f t="shared" si="1"/>
        <v>810.11000000000013</v>
      </c>
      <c r="L5" s="9">
        <f t="shared" si="2"/>
        <v>787.68333333333419</v>
      </c>
      <c r="M5" s="114"/>
    </row>
    <row r="6" spans="1:13" s="92" customFormat="1" ht="11.25" customHeight="1" x14ac:dyDescent="0.25">
      <c r="A6" s="58" t="s">
        <v>40</v>
      </c>
      <c r="B6" s="102">
        <v>55020200</v>
      </c>
      <c r="C6" s="103">
        <f>24649+14202</f>
        <v>38851</v>
      </c>
      <c r="D6" s="55">
        <v>636.9</v>
      </c>
      <c r="E6" s="55">
        <v>12.1</v>
      </c>
      <c r="F6" s="55">
        <v>1331.26</v>
      </c>
      <c r="G6" s="55">
        <v>69.22</v>
      </c>
      <c r="H6" s="9">
        <f>D6+F6+'05-13-21'!H6</f>
        <v>30927.24</v>
      </c>
      <c r="I6" s="9">
        <f>E6+G6+'05-13-21'!I6</f>
        <v>1098.5900000000001</v>
      </c>
      <c r="J6" s="9">
        <f t="shared" si="0"/>
        <v>32025.83</v>
      </c>
      <c r="K6" s="9">
        <f t="shared" si="1"/>
        <v>6825.1699999999983</v>
      </c>
      <c r="L6" s="9">
        <f t="shared" si="2"/>
        <v>4061.0358630953342</v>
      </c>
      <c r="M6" s="115"/>
    </row>
    <row r="7" spans="1:13" s="92" customFormat="1" ht="11.25" customHeight="1" x14ac:dyDescent="0.25">
      <c r="A7" s="22" t="s">
        <v>39</v>
      </c>
      <c r="B7" s="29">
        <v>55020300</v>
      </c>
      <c r="C7" s="9">
        <f>17974+9665</f>
        <v>27639</v>
      </c>
      <c r="D7" s="10">
        <f>1364.93+1038.14</f>
        <v>2403.0700000000002</v>
      </c>
      <c r="E7" s="10">
        <f>25.93+19.72</f>
        <v>45.65</v>
      </c>
      <c r="F7" s="10">
        <v>384.38</v>
      </c>
      <c r="G7" s="10">
        <v>19.98</v>
      </c>
      <c r="H7" s="9">
        <f>D7+F7+'05-13-21'!H7</f>
        <v>19355.760000000002</v>
      </c>
      <c r="I7" s="9">
        <f>E7+G7+'05-13-21'!I7</f>
        <v>662.02</v>
      </c>
      <c r="J7" s="9">
        <f t="shared" si="0"/>
        <v>20017.780000000002</v>
      </c>
      <c r="K7" s="9">
        <f t="shared" si="1"/>
        <v>7621.2199999999975</v>
      </c>
      <c r="L7" s="9">
        <f t="shared" si="2"/>
        <v>5893.4949404762483</v>
      </c>
      <c r="M7" s="115"/>
    </row>
    <row r="8" spans="1:13" s="92" customFormat="1" ht="11.25" customHeight="1" x14ac:dyDescent="0.25">
      <c r="A8" s="22" t="s">
        <v>38</v>
      </c>
      <c r="B8" s="29">
        <v>55020400</v>
      </c>
      <c r="C8" s="9">
        <f>17974+9665</f>
        <v>27639</v>
      </c>
      <c r="D8" s="10">
        <f>251.38+627.8</f>
        <v>879.18</v>
      </c>
      <c r="E8" s="10">
        <f>4.77+11.92</f>
        <v>16.689999999999998</v>
      </c>
      <c r="F8" s="10">
        <v>1579.13</v>
      </c>
      <c r="G8" s="10">
        <v>82.11</v>
      </c>
      <c r="H8" s="9">
        <f>D8+F8+'05-13-21'!H8</f>
        <v>14803.899999999998</v>
      </c>
      <c r="I8" s="9">
        <f>E8+G8+'05-13-21'!I8</f>
        <v>582.25</v>
      </c>
      <c r="J8" s="9">
        <f t="shared" si="0"/>
        <v>15386.149999999998</v>
      </c>
      <c r="K8" s="9">
        <f t="shared" si="1"/>
        <v>12252.850000000002</v>
      </c>
      <c r="L8" s="9">
        <f t="shared" si="2"/>
        <v>10924.878720238143</v>
      </c>
      <c r="M8" s="115"/>
    </row>
    <row r="9" spans="1:13" s="92" customFormat="1" ht="11.25" customHeight="1" x14ac:dyDescent="0.25">
      <c r="A9" s="22" t="s">
        <v>92</v>
      </c>
      <c r="B9" s="29">
        <v>55030100</v>
      </c>
      <c r="C9" s="9">
        <v>2109</v>
      </c>
      <c r="D9" s="45">
        <v>0</v>
      </c>
      <c r="E9" s="45">
        <v>0</v>
      </c>
      <c r="F9" s="45">
        <v>0</v>
      </c>
      <c r="G9" s="45">
        <v>0</v>
      </c>
      <c r="H9" s="9">
        <f>D9+F9+'05-13-21'!H9</f>
        <v>841.91000000000008</v>
      </c>
      <c r="I9" s="9">
        <f>E9+G9+'05-13-21'!I9</f>
        <v>15.939999999999998</v>
      </c>
      <c r="J9" s="9">
        <f t="shared" si="0"/>
        <v>857.85000000000014</v>
      </c>
      <c r="K9" s="9">
        <f t="shared" si="1"/>
        <v>1251.1499999999999</v>
      </c>
      <c r="L9" s="9">
        <f t="shared" si="2"/>
        <v>1177.1093750000025</v>
      </c>
      <c r="M9" s="115"/>
    </row>
    <row r="10" spans="1:13" s="92" customFormat="1" ht="11.25" customHeight="1" x14ac:dyDescent="0.25">
      <c r="A10" s="54" t="s">
        <v>37</v>
      </c>
      <c r="B10" s="29">
        <v>55030200</v>
      </c>
      <c r="C10" s="9">
        <v>24330</v>
      </c>
      <c r="D10" s="10">
        <v>517.52</v>
      </c>
      <c r="E10" s="10">
        <v>9.83</v>
      </c>
      <c r="F10" s="10">
        <v>554.92999999999995</v>
      </c>
      <c r="G10" s="10">
        <v>28.85</v>
      </c>
      <c r="H10" s="9">
        <f>D10+F10+'05-13-21'!H10</f>
        <v>9967.4500000000007</v>
      </c>
      <c r="I10" s="9">
        <f>E10+G10+'05-13-21'!I10</f>
        <v>226.67000000000002</v>
      </c>
      <c r="J10" s="9">
        <f t="shared" si="0"/>
        <v>10194.120000000001</v>
      </c>
      <c r="K10" s="9">
        <f t="shared" si="1"/>
        <v>14135.88</v>
      </c>
      <c r="L10" s="9">
        <f t="shared" si="2"/>
        <v>13256.030357142887</v>
      </c>
      <c r="M10" s="123"/>
    </row>
    <row r="11" spans="1:13" s="92" customFormat="1" ht="11.25" customHeight="1" x14ac:dyDescent="0.25">
      <c r="A11" s="22" t="s">
        <v>36</v>
      </c>
      <c r="B11" s="29">
        <v>55050200</v>
      </c>
      <c r="C11" s="9">
        <f>34000+21500.29+3360</f>
        <v>58860.29</v>
      </c>
      <c r="D11" s="10">
        <f>-166.4+2563.25</f>
        <v>2396.85</v>
      </c>
      <c r="E11" s="10">
        <f>-3.16+48.7</f>
        <v>45.540000000000006</v>
      </c>
      <c r="F11" s="10">
        <v>2758.25</v>
      </c>
      <c r="G11" s="10">
        <v>143.41999999999999</v>
      </c>
      <c r="H11" s="9">
        <f>D11+F11+'05-13-21'!H11</f>
        <v>43504.24</v>
      </c>
      <c r="I11" s="9">
        <f>E11+G11+'05-13-21'!I11</f>
        <v>1501.7299999999998</v>
      </c>
      <c r="J11" s="9">
        <f t="shared" si="0"/>
        <v>45005.97</v>
      </c>
      <c r="K11" s="9">
        <f t="shared" si="1"/>
        <v>13854.32</v>
      </c>
      <c r="L11" s="9">
        <f t="shared" si="2"/>
        <v>9969.8761607144261</v>
      </c>
      <c r="M11" s="124"/>
    </row>
    <row r="12" spans="1:13" s="92" customFormat="1" ht="11.25" hidden="1" customHeight="1" x14ac:dyDescent="0.25">
      <c r="A12" s="22" t="s">
        <v>80</v>
      </c>
      <c r="B12" s="29">
        <v>55050300</v>
      </c>
      <c r="C12" s="97"/>
      <c r="D12" s="9"/>
      <c r="E12" s="9"/>
      <c r="F12" s="9"/>
      <c r="G12" s="9"/>
      <c r="H12" s="9">
        <f>D12+F12+'05-13-21'!H12</f>
        <v>-310</v>
      </c>
      <c r="I12" s="9">
        <f>E12+G12+'05-13-21'!I12</f>
        <v>-5.8900000000000006</v>
      </c>
      <c r="J12" s="9">
        <f t="shared" si="0"/>
        <v>-315.89</v>
      </c>
      <c r="K12" s="9">
        <f t="shared" si="1"/>
        <v>315.89</v>
      </c>
      <c r="L12" s="9">
        <f t="shared" si="2"/>
        <v>343.15431547618954</v>
      </c>
      <c r="M12" s="116"/>
    </row>
    <row r="13" spans="1:13" s="98" customFormat="1" ht="11.25" customHeight="1" x14ac:dyDescent="0.25">
      <c r="A13" s="22" t="s">
        <v>35</v>
      </c>
      <c r="B13" s="29">
        <v>55070100</v>
      </c>
      <c r="C13" s="9">
        <f>42741+9665</f>
        <v>52406</v>
      </c>
      <c r="D13" s="10">
        <f>-48.73+109.81+1682.82</f>
        <v>1743.8999999999999</v>
      </c>
      <c r="E13" s="10">
        <f>-0.92+2.08+31.97</f>
        <v>33.129999999999995</v>
      </c>
      <c r="F13" s="10">
        <v>1333.23</v>
      </c>
      <c r="G13" s="10">
        <v>69.319999999999993</v>
      </c>
      <c r="H13" s="9">
        <f>D13+F13+'05-13-21'!H13</f>
        <v>43015.499999999993</v>
      </c>
      <c r="I13" s="9">
        <f>E13+G13+'05-13-21'!I13</f>
        <v>1348.9599999999998</v>
      </c>
      <c r="J13" s="9">
        <f t="shared" si="0"/>
        <v>44364.459999999992</v>
      </c>
      <c r="K13" s="9">
        <f t="shared" si="1"/>
        <v>8041.5400000000081</v>
      </c>
      <c r="L13" s="9">
        <f t="shared" si="2"/>
        <v>4212.4645833334798</v>
      </c>
      <c r="M13" s="124"/>
    </row>
    <row r="14" spans="1:13" s="92" customFormat="1" ht="11.25" customHeight="1" x14ac:dyDescent="0.25">
      <c r="A14" s="22" t="s">
        <v>34</v>
      </c>
      <c r="B14" s="29">
        <v>55080100</v>
      </c>
      <c r="C14" s="9">
        <v>23173</v>
      </c>
      <c r="D14" s="10">
        <v>582.1</v>
      </c>
      <c r="E14" s="10">
        <v>11.05</v>
      </c>
      <c r="F14" s="10">
        <v>0</v>
      </c>
      <c r="G14" s="10">
        <v>0</v>
      </c>
      <c r="H14" s="9">
        <f>D14+F14+'05-13-21'!H14</f>
        <v>22397.63</v>
      </c>
      <c r="I14" s="9">
        <f>E14+G14+'05-13-21'!I14</f>
        <v>425.43</v>
      </c>
      <c r="J14" s="9">
        <f t="shared" si="0"/>
        <v>22823.06</v>
      </c>
      <c r="K14" s="9">
        <f t="shared" si="1"/>
        <v>349.93999999999869</v>
      </c>
      <c r="L14" s="9">
        <f t="shared" si="2"/>
        <v>-1619.9074404761232</v>
      </c>
      <c r="M14" s="123"/>
    </row>
    <row r="15" spans="1:13" s="99" customFormat="1" ht="11.25" customHeight="1" x14ac:dyDescent="0.25">
      <c r="A15" s="53" t="s">
        <v>33</v>
      </c>
      <c r="B15" s="33">
        <v>55190000</v>
      </c>
      <c r="C15" s="9">
        <v>6000</v>
      </c>
      <c r="D15" s="10">
        <f>166.4+150.8</f>
        <v>317.20000000000005</v>
      </c>
      <c r="E15" s="10">
        <f>3.16+2.86</f>
        <v>6.02</v>
      </c>
      <c r="F15" s="10">
        <v>210</v>
      </c>
      <c r="G15" s="10">
        <v>10.92</v>
      </c>
      <c r="H15" s="9">
        <f>D15+F15+'05-13-21'!H15</f>
        <v>2020.23</v>
      </c>
      <c r="I15" s="9">
        <f>E15+G15+'05-13-21'!I15</f>
        <v>45.22999999999999</v>
      </c>
      <c r="J15" s="9">
        <f t="shared" si="0"/>
        <v>2065.46</v>
      </c>
      <c r="K15" s="9">
        <f t="shared" si="1"/>
        <v>3934.54</v>
      </c>
      <c r="L15" s="9">
        <f t="shared" si="2"/>
        <v>3756.271130952387</v>
      </c>
      <c r="M15" s="117"/>
    </row>
    <row r="16" spans="1:13" ht="21.6" customHeight="1" thickBot="1" x14ac:dyDescent="0.3">
      <c r="A16" s="155" t="s">
        <v>32</v>
      </c>
      <c r="B16" s="156"/>
      <c r="C16" s="49">
        <f t="shared" ref="C16:L16" si="3">SUM(C3:C15)</f>
        <v>269514.23999999999</v>
      </c>
      <c r="D16" s="7">
        <f t="shared" si="3"/>
        <v>9731.7200000000012</v>
      </c>
      <c r="E16" s="7">
        <f t="shared" si="3"/>
        <v>184.85000000000002</v>
      </c>
      <c r="F16" s="7">
        <f t="shared" si="3"/>
        <v>8151.18</v>
      </c>
      <c r="G16" s="7">
        <f t="shared" si="3"/>
        <v>423.82</v>
      </c>
      <c r="H16" s="7">
        <f t="shared" si="3"/>
        <v>186778.86000000002</v>
      </c>
      <c r="I16" s="7">
        <f t="shared" si="3"/>
        <v>5905.7699999999995</v>
      </c>
      <c r="J16" s="49">
        <f t="shared" si="3"/>
        <v>192684.62999999998</v>
      </c>
      <c r="K16" s="49">
        <f t="shared" si="3"/>
        <v>76829.61</v>
      </c>
      <c r="L16" s="7">
        <f t="shared" si="3"/>
        <v>60199.091339286315</v>
      </c>
    </row>
    <row r="17" spans="1:13" ht="11.25" customHeight="1" x14ac:dyDescent="0.25">
      <c r="A17" s="52"/>
      <c r="B17" s="41"/>
      <c r="C17" s="39"/>
      <c r="D17" s="39"/>
      <c r="E17" s="39"/>
      <c r="F17" s="39"/>
      <c r="G17" s="39"/>
      <c r="H17" s="39"/>
      <c r="I17" s="39"/>
      <c r="J17" s="39"/>
      <c r="K17" s="39"/>
      <c r="L17" s="51"/>
    </row>
    <row r="18" spans="1:13" ht="11.25" customHeight="1" thickBot="1" x14ac:dyDescent="0.3">
      <c r="A18" s="38"/>
      <c r="B18" s="37"/>
      <c r="C18" s="35"/>
      <c r="D18" s="35"/>
      <c r="E18" s="35"/>
      <c r="F18" s="35"/>
      <c r="G18" s="35"/>
      <c r="H18" s="35"/>
      <c r="I18" s="35"/>
      <c r="J18" s="35"/>
      <c r="K18" s="35"/>
      <c r="L18" s="50"/>
    </row>
    <row r="19" spans="1:13" s="92" customFormat="1" ht="11.45" customHeight="1" x14ac:dyDescent="0.25">
      <c r="A19" s="13" t="s">
        <v>31</v>
      </c>
      <c r="B19" s="33">
        <v>55090100</v>
      </c>
      <c r="C19" s="9">
        <v>26923</v>
      </c>
      <c r="D19" s="45">
        <v>0</v>
      </c>
      <c r="E19" s="45">
        <v>0</v>
      </c>
      <c r="F19" s="45">
        <v>0</v>
      </c>
      <c r="G19" s="45">
        <v>0</v>
      </c>
      <c r="H19" s="9">
        <f>D19+F19+'05-13-21'!H19</f>
        <v>13503</v>
      </c>
      <c r="I19" s="9">
        <f>E19+G19+'05-13-21'!I19</f>
        <v>702.13999999999987</v>
      </c>
      <c r="J19" s="9">
        <f t="shared" ref="J19:J21" si="4">H19+I19</f>
        <v>14205.14</v>
      </c>
      <c r="K19" s="9">
        <f>C19-J19</f>
        <v>12717.86</v>
      </c>
      <c r="L19" s="9">
        <f t="shared" ref="L19:L21" si="5">C19-((J19/24)*26.0714285714285)</f>
        <v>11491.821130952425</v>
      </c>
      <c r="M19" s="115"/>
    </row>
    <row r="20" spans="1:13" s="92" customFormat="1" ht="11.45" customHeight="1" x14ac:dyDescent="0.25">
      <c r="A20" s="22" t="s">
        <v>30</v>
      </c>
      <c r="B20" s="29">
        <v>55160100</v>
      </c>
      <c r="C20" s="9">
        <f>16062-2109</f>
        <v>13953</v>
      </c>
      <c r="D20" s="45">
        <v>0</v>
      </c>
      <c r="E20" s="45">
        <v>0</v>
      </c>
      <c r="F20" s="45">
        <v>0</v>
      </c>
      <c r="G20" s="45">
        <v>0</v>
      </c>
      <c r="H20" s="9">
        <f>D20+F20+'05-13-21'!H20</f>
        <v>0</v>
      </c>
      <c r="I20" s="9">
        <f>E20+G20+'05-13-21'!I20</f>
        <v>0</v>
      </c>
      <c r="J20" s="9">
        <f t="shared" si="4"/>
        <v>0</v>
      </c>
      <c r="K20" s="9">
        <f t="shared" ref="K20:K21" si="6">C20-J20</f>
        <v>13953</v>
      </c>
      <c r="L20" s="9">
        <f t="shared" si="5"/>
        <v>13953</v>
      </c>
      <c r="M20" s="115"/>
    </row>
    <row r="21" spans="1:13" s="92" customFormat="1" ht="11.45" customHeight="1" x14ac:dyDescent="0.25">
      <c r="A21" s="13" t="s">
        <v>29</v>
      </c>
      <c r="B21" s="33">
        <v>55100100</v>
      </c>
      <c r="C21" s="9">
        <v>2026</v>
      </c>
      <c r="D21" s="45">
        <v>0</v>
      </c>
      <c r="E21" s="45">
        <v>0</v>
      </c>
      <c r="F21" s="45">
        <v>0</v>
      </c>
      <c r="G21" s="45">
        <v>0</v>
      </c>
      <c r="H21" s="9">
        <f>D21+F21+'05-13-21'!H21</f>
        <v>936.46</v>
      </c>
      <c r="I21" s="9">
        <f>E21+G21+'05-13-21'!I21</f>
        <v>16.864999999999998</v>
      </c>
      <c r="J21" s="9">
        <f t="shared" si="4"/>
        <v>953.32500000000005</v>
      </c>
      <c r="K21" s="9">
        <f t="shared" si="6"/>
        <v>1072.675</v>
      </c>
      <c r="L21" s="9">
        <f t="shared" si="5"/>
        <v>990.39397321428851</v>
      </c>
      <c r="M21" s="115"/>
    </row>
    <row r="22" spans="1:13" ht="21.6" customHeight="1" thickBot="1" x14ac:dyDescent="0.3">
      <c r="A22" s="155" t="s">
        <v>28</v>
      </c>
      <c r="B22" s="156"/>
      <c r="C22" s="7">
        <f t="shared" ref="C22:L22" si="7">SUM(C19:C21)</f>
        <v>42902</v>
      </c>
      <c r="D22" s="7">
        <f t="shared" si="7"/>
        <v>0</v>
      </c>
      <c r="E22" s="7">
        <f t="shared" si="7"/>
        <v>0</v>
      </c>
      <c r="F22" s="7">
        <f t="shared" si="7"/>
        <v>0</v>
      </c>
      <c r="G22" s="7">
        <f t="shared" si="7"/>
        <v>0</v>
      </c>
      <c r="H22" s="7">
        <f t="shared" si="7"/>
        <v>14439.46</v>
      </c>
      <c r="I22" s="7">
        <f t="shared" si="7"/>
        <v>719.00499999999988</v>
      </c>
      <c r="J22" s="49">
        <f t="shared" si="7"/>
        <v>15158.465</v>
      </c>
      <c r="K22" s="7">
        <f t="shared" si="7"/>
        <v>27743.535</v>
      </c>
      <c r="L22" s="7">
        <f t="shared" si="7"/>
        <v>26435.215104166717</v>
      </c>
    </row>
    <row r="23" spans="1:13" ht="11.25" customHeight="1" x14ac:dyDescent="0.25">
      <c r="A23" s="42"/>
      <c r="B23" s="41"/>
      <c r="C23" s="39"/>
      <c r="D23" s="39"/>
      <c r="E23" s="39"/>
      <c r="F23" s="39"/>
      <c r="G23" s="39"/>
      <c r="H23" s="39"/>
      <c r="I23" s="39"/>
      <c r="J23" s="39"/>
      <c r="K23" s="39"/>
      <c r="L23" s="51"/>
    </row>
    <row r="24" spans="1:13" ht="11.25" customHeight="1" thickBot="1" x14ac:dyDescent="0.3">
      <c r="A24" s="38"/>
      <c r="B24" s="37"/>
      <c r="C24" s="35"/>
      <c r="D24" s="35"/>
      <c r="E24" s="35"/>
      <c r="F24" s="35"/>
      <c r="G24" s="35"/>
      <c r="H24" s="35"/>
      <c r="I24" s="35"/>
      <c r="J24" s="35"/>
      <c r="K24" s="35"/>
      <c r="L24" s="50"/>
    </row>
    <row r="25" spans="1:13" s="99" customFormat="1" ht="11.45" customHeight="1" x14ac:dyDescent="0.25">
      <c r="A25" s="13" t="s">
        <v>27</v>
      </c>
      <c r="B25" s="33">
        <v>55200000</v>
      </c>
      <c r="C25" s="9">
        <v>25000</v>
      </c>
      <c r="D25" s="10">
        <v>135</v>
      </c>
      <c r="E25" s="10">
        <v>2.56</v>
      </c>
      <c r="F25" s="10">
        <v>0</v>
      </c>
      <c r="G25" s="10">
        <v>0</v>
      </c>
      <c r="H25" s="9">
        <f>D25+F25+'05-13-21'!H25</f>
        <v>11306.25</v>
      </c>
      <c r="I25" s="9">
        <f>E25+G25+'05-13-21'!I25</f>
        <v>214.70000000000002</v>
      </c>
      <c r="J25" s="9">
        <f t="shared" ref="J25:J27" si="8">H25+I25</f>
        <v>11520.95</v>
      </c>
      <c r="K25" s="9">
        <f>C25-J25</f>
        <v>13479.05</v>
      </c>
      <c r="L25" s="9">
        <f t="shared" ref="L25:L28" si="9">C25-((J25/24)*26.0714285714285)</f>
        <v>12484.682291666701</v>
      </c>
      <c r="M25" s="118"/>
    </row>
    <row r="26" spans="1:13" s="99" customFormat="1" ht="11.45" hidden="1" customHeight="1" x14ac:dyDescent="0.25">
      <c r="A26" s="13" t="s">
        <v>26</v>
      </c>
      <c r="B26" s="100" t="s">
        <v>25</v>
      </c>
      <c r="C26" s="46">
        <v>0</v>
      </c>
      <c r="D26" s="45"/>
      <c r="E26" s="45"/>
      <c r="F26" s="45"/>
      <c r="G26" s="45"/>
      <c r="H26" s="9">
        <f>D26+F26+'05-13-21'!H26</f>
        <v>0</v>
      </c>
      <c r="I26" s="9">
        <f>E26+G26+'05-13-21'!I26</f>
        <v>-9.9999999999997868E-3</v>
      </c>
      <c r="J26" s="9">
        <f t="shared" si="8"/>
        <v>-9.9999999999997868E-3</v>
      </c>
      <c r="K26" s="75">
        <f t="shared" ref="K26:K27" si="10">C26-J26</f>
        <v>9.9999999999997868E-3</v>
      </c>
      <c r="L26" s="9">
        <f t="shared" si="9"/>
        <v>1.0863095238094976E-2</v>
      </c>
      <c r="M26" s="118"/>
    </row>
    <row r="27" spans="1:13" s="99" customFormat="1" ht="10.9" customHeight="1" x14ac:dyDescent="0.25">
      <c r="A27" s="28" t="s">
        <v>24</v>
      </c>
      <c r="B27" s="47" t="s">
        <v>23</v>
      </c>
      <c r="C27" s="46">
        <v>0</v>
      </c>
      <c r="D27" s="45">
        <v>0</v>
      </c>
      <c r="E27" s="45">
        <v>0</v>
      </c>
      <c r="F27" s="45">
        <v>0</v>
      </c>
      <c r="G27" s="45">
        <v>0</v>
      </c>
      <c r="H27" s="9">
        <f>D27+F27+'05-13-21'!H27</f>
        <v>0</v>
      </c>
      <c r="I27" s="9">
        <f>E27+G27+'05-13-21'!I27</f>
        <v>0</v>
      </c>
      <c r="J27" s="9">
        <f t="shared" si="8"/>
        <v>0</v>
      </c>
      <c r="K27" s="9">
        <f t="shared" si="10"/>
        <v>0</v>
      </c>
      <c r="L27" s="9">
        <f t="shared" si="9"/>
        <v>0</v>
      </c>
      <c r="M27" s="117"/>
    </row>
    <row r="28" spans="1:13" s="99" customFormat="1" ht="10.9" customHeight="1" x14ac:dyDescent="0.25">
      <c r="A28" s="136" t="s">
        <v>12</v>
      </c>
      <c r="B28" s="137">
        <v>55110100</v>
      </c>
      <c r="C28" s="46">
        <f>2659+6100+5341</f>
        <v>14100</v>
      </c>
      <c r="D28" s="45">
        <v>0</v>
      </c>
      <c r="E28" s="45">
        <v>0</v>
      </c>
      <c r="F28" s="45">
        <v>0</v>
      </c>
      <c r="G28" s="45">
        <v>0</v>
      </c>
      <c r="H28" s="9">
        <f>D28+F28+'05-13-21'!H28</f>
        <v>11782.5</v>
      </c>
      <c r="I28" s="9">
        <f>E28+G28+'05-13-21'!I28</f>
        <v>511.7</v>
      </c>
      <c r="J28" s="9">
        <f>H28+I28</f>
        <v>12294.2</v>
      </c>
      <c r="K28" s="9">
        <f>C28-J28</f>
        <v>1805.7999999999993</v>
      </c>
      <c r="L28" s="9">
        <f t="shared" si="9"/>
        <v>744.69345238099049</v>
      </c>
      <c r="M28" s="117"/>
    </row>
    <row r="29" spans="1:13" ht="24.75" customHeight="1" thickBot="1" x14ac:dyDescent="0.3">
      <c r="A29" s="157" t="s">
        <v>22</v>
      </c>
      <c r="B29" s="158"/>
      <c r="C29" s="43">
        <f>SUM(C25:C26)</f>
        <v>25000</v>
      </c>
      <c r="D29" s="43">
        <f t="shared" ref="D29:L29" si="11">SUM(D25:D27)</f>
        <v>135</v>
      </c>
      <c r="E29" s="43">
        <f t="shared" si="11"/>
        <v>2.56</v>
      </c>
      <c r="F29" s="43">
        <f t="shared" si="11"/>
        <v>0</v>
      </c>
      <c r="G29" s="43">
        <f t="shared" si="11"/>
        <v>0</v>
      </c>
      <c r="H29" s="43">
        <f t="shared" si="11"/>
        <v>11306.25</v>
      </c>
      <c r="I29" s="43">
        <f t="shared" si="11"/>
        <v>214.69000000000003</v>
      </c>
      <c r="J29" s="43">
        <f t="shared" si="11"/>
        <v>11520.94</v>
      </c>
      <c r="K29" s="43">
        <f t="shared" si="11"/>
        <v>13479.06</v>
      </c>
      <c r="L29" s="34">
        <f t="shared" si="11"/>
        <v>12484.693154761939</v>
      </c>
    </row>
    <row r="30" spans="1:13" ht="11.25" customHeight="1" x14ac:dyDescent="0.25">
      <c r="A30" s="42"/>
      <c r="B30" s="41"/>
      <c r="C30" s="39"/>
      <c r="D30" s="39"/>
      <c r="E30" s="39"/>
      <c r="F30" s="39"/>
      <c r="G30" s="39"/>
      <c r="H30" s="39"/>
      <c r="I30" s="39"/>
      <c r="J30" s="39"/>
      <c r="K30" s="39"/>
      <c r="L30" s="39"/>
    </row>
    <row r="31" spans="1:13" ht="11.25" customHeight="1" thickBot="1" x14ac:dyDescent="0.3">
      <c r="A31" s="38"/>
      <c r="B31" s="37"/>
      <c r="C31" s="35"/>
      <c r="D31" s="35"/>
      <c r="E31" s="35"/>
      <c r="F31" s="35"/>
      <c r="G31" s="35"/>
      <c r="H31" s="35"/>
      <c r="I31" s="35"/>
      <c r="J31" s="35"/>
      <c r="K31" s="35"/>
      <c r="L31" s="35"/>
    </row>
    <row r="32" spans="1:13" ht="21.6" customHeight="1" x14ac:dyDescent="0.25">
      <c r="A32" s="159" t="s">
        <v>21</v>
      </c>
      <c r="B32" s="159"/>
      <c r="C32" s="34">
        <f>C16+C22+C29</f>
        <v>337416.24</v>
      </c>
      <c r="D32" s="34">
        <f t="shared" ref="D32:L32" si="12">D16+D22+D29</f>
        <v>9866.7200000000012</v>
      </c>
      <c r="E32" s="34">
        <f t="shared" si="12"/>
        <v>187.41000000000003</v>
      </c>
      <c r="F32" s="34">
        <f t="shared" si="12"/>
        <v>8151.18</v>
      </c>
      <c r="G32" s="34">
        <f t="shared" si="12"/>
        <v>423.82</v>
      </c>
      <c r="H32" s="34">
        <f t="shared" si="12"/>
        <v>212524.57</v>
      </c>
      <c r="I32" s="34">
        <f t="shared" si="12"/>
        <v>6839.4649999999992</v>
      </c>
      <c r="J32" s="34">
        <f t="shared" si="12"/>
        <v>219364.03499999997</v>
      </c>
      <c r="K32" s="34">
        <f t="shared" si="12"/>
        <v>118052.205</v>
      </c>
      <c r="L32" s="34">
        <f t="shared" si="12"/>
        <v>99118.999598214985</v>
      </c>
    </row>
    <row r="33" spans="1:13" ht="10.9" customHeight="1" x14ac:dyDescent="0.25">
      <c r="A33" s="17"/>
      <c r="B33" s="16"/>
      <c r="C33" s="15"/>
      <c r="D33" s="15"/>
      <c r="E33" s="15"/>
      <c r="F33" s="15"/>
      <c r="G33" s="15"/>
      <c r="H33" s="15"/>
      <c r="I33" s="15"/>
      <c r="J33" s="15"/>
      <c r="K33" s="15"/>
      <c r="L33" s="15"/>
    </row>
    <row r="34" spans="1:13" ht="11.25" customHeight="1" x14ac:dyDescent="0.25">
      <c r="A34" s="17"/>
      <c r="B34" s="16"/>
      <c r="C34" s="15"/>
      <c r="D34" s="15"/>
      <c r="E34" s="15"/>
      <c r="F34" s="15"/>
      <c r="G34" s="15"/>
      <c r="H34" s="15"/>
      <c r="I34" s="15"/>
      <c r="J34" s="15"/>
      <c r="K34" s="15"/>
      <c r="L34" s="15"/>
    </row>
    <row r="35" spans="1:13" s="104" customFormat="1" ht="11.25" customHeight="1" x14ac:dyDescent="0.25">
      <c r="A35" s="28" t="s">
        <v>20</v>
      </c>
      <c r="B35" s="27" t="s">
        <v>19</v>
      </c>
      <c r="C35" s="9">
        <v>0</v>
      </c>
      <c r="D35" s="10">
        <v>0</v>
      </c>
      <c r="E35" s="10">
        <v>0</v>
      </c>
      <c r="F35" s="10">
        <v>0</v>
      </c>
      <c r="G35" s="10">
        <v>0</v>
      </c>
      <c r="H35" s="9">
        <f>D35+F35+'05-13-21'!H35</f>
        <v>0</v>
      </c>
      <c r="I35" s="9">
        <f>E35+G35+'05-13-21'!I35</f>
        <v>0</v>
      </c>
      <c r="J35" s="9">
        <f t="shared" ref="J35:J53" si="13">H35+I35</f>
        <v>0</v>
      </c>
      <c r="K35" s="9">
        <f>C35-J35</f>
        <v>0</v>
      </c>
      <c r="L35" s="9">
        <f t="shared" ref="L35:L42" si="14">C35-((J35/24)*26.0714285714285)</f>
        <v>0</v>
      </c>
      <c r="M35" s="119"/>
    </row>
    <row r="36" spans="1:13" s="104" customFormat="1" ht="11.25" customHeight="1" x14ac:dyDescent="0.25">
      <c r="A36" s="32" t="s">
        <v>123</v>
      </c>
      <c r="B36" s="132" t="s">
        <v>55</v>
      </c>
      <c r="C36" s="9">
        <f>2795.22+12000</f>
        <v>14795.22</v>
      </c>
      <c r="D36" s="10">
        <v>0</v>
      </c>
      <c r="E36" s="10">
        <v>0</v>
      </c>
      <c r="F36" s="10">
        <v>180</v>
      </c>
      <c r="G36" s="10">
        <v>9.36</v>
      </c>
      <c r="H36" s="9">
        <f>D36+F36+'05-13-21'!H36</f>
        <v>8270</v>
      </c>
      <c r="I36" s="9">
        <f>E36+G36+'05-13-21'!I36</f>
        <v>378.22</v>
      </c>
      <c r="J36" s="9">
        <f>H36+I36</f>
        <v>8648.2199999999993</v>
      </c>
      <c r="K36" s="9">
        <f>C36-J36</f>
        <v>6147</v>
      </c>
      <c r="L36" s="9">
        <f t="shared" si="14"/>
        <v>5400.5762500000255</v>
      </c>
      <c r="M36" s="129"/>
    </row>
    <row r="37" spans="1:13" s="104" customFormat="1" ht="11.25" hidden="1" customHeight="1" x14ac:dyDescent="0.25">
      <c r="A37" s="32" t="s">
        <v>18</v>
      </c>
      <c r="B37" s="27" t="s">
        <v>17</v>
      </c>
      <c r="C37" s="105">
        <v>0</v>
      </c>
      <c r="D37" s="10"/>
      <c r="E37" s="10"/>
      <c r="F37" s="10"/>
      <c r="G37" s="10"/>
      <c r="H37" s="9">
        <f>D37+F37+'05-13-21'!H37</f>
        <v>0</v>
      </c>
      <c r="I37" s="9">
        <f>E37+G37+'05-13-21'!I37</f>
        <v>-1.0000000000005116E-2</v>
      </c>
      <c r="J37" s="9">
        <f t="shared" si="13"/>
        <v>-1.0000000000005116E-2</v>
      </c>
      <c r="K37" s="9">
        <f t="shared" ref="K37:K49" si="15">C37-J37</f>
        <v>1.0000000000005116E-2</v>
      </c>
      <c r="L37" s="9">
        <f t="shared" si="14"/>
        <v>1.0863095238100766E-2</v>
      </c>
      <c r="M37" s="119"/>
    </row>
    <row r="38" spans="1:13" s="106" customFormat="1" ht="11.25" customHeight="1" x14ac:dyDescent="0.25">
      <c r="A38" s="28" t="s">
        <v>16</v>
      </c>
      <c r="B38" s="29" t="s">
        <v>15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f>D38+F38+'05-13-21'!H38</f>
        <v>0</v>
      </c>
      <c r="I38" s="9">
        <f>E38+G38+'05-13-21'!I38</f>
        <v>0</v>
      </c>
      <c r="J38" s="9">
        <f t="shared" si="13"/>
        <v>0</v>
      </c>
      <c r="K38" s="9">
        <f t="shared" si="15"/>
        <v>0</v>
      </c>
      <c r="L38" s="9">
        <f t="shared" si="14"/>
        <v>0</v>
      </c>
      <c r="M38" s="120"/>
    </row>
    <row r="39" spans="1:13" s="106" customFormat="1" ht="11.25" customHeight="1" x14ac:dyDescent="0.25">
      <c r="A39" s="28" t="s">
        <v>150</v>
      </c>
      <c r="B39" s="132" t="s">
        <v>13</v>
      </c>
      <c r="C39" s="9">
        <f>2500</f>
        <v>2500</v>
      </c>
      <c r="D39" s="9">
        <v>43.42</v>
      </c>
      <c r="E39" s="9">
        <v>0.82</v>
      </c>
      <c r="F39" s="9">
        <v>0</v>
      </c>
      <c r="G39" s="9">
        <v>0</v>
      </c>
      <c r="H39" s="9">
        <f>D39+F39+'05-13-21'!H39</f>
        <v>1822.8799999999997</v>
      </c>
      <c r="I39" s="9">
        <f>E39+G39+'05-13-21'!I39</f>
        <v>34.499999999999993</v>
      </c>
      <c r="J39" s="10">
        <f t="shared" si="13"/>
        <v>1857.3799999999997</v>
      </c>
      <c r="K39" s="9">
        <f t="shared" si="15"/>
        <v>642.62000000000035</v>
      </c>
      <c r="L39" s="9">
        <f t="shared" si="14"/>
        <v>482.31041666667261</v>
      </c>
      <c r="M39" s="116"/>
    </row>
    <row r="40" spans="1:13" s="106" customFormat="1" ht="11.25" customHeight="1" x14ac:dyDescent="0.25">
      <c r="A40" s="28" t="s">
        <v>11</v>
      </c>
      <c r="B40" s="27" t="s">
        <v>10</v>
      </c>
      <c r="C40" s="9">
        <v>0</v>
      </c>
      <c r="D40" s="109">
        <v>0</v>
      </c>
      <c r="E40" s="109">
        <v>0</v>
      </c>
      <c r="F40" s="109">
        <v>0</v>
      </c>
      <c r="G40" s="109">
        <v>0</v>
      </c>
      <c r="H40" s="9">
        <f>D40+F40+'05-13-21'!H40</f>
        <v>0</v>
      </c>
      <c r="I40" s="9">
        <f>E40+G40+'05-13-21'!I40</f>
        <v>0</v>
      </c>
      <c r="J40" s="9">
        <f t="shared" si="13"/>
        <v>0</v>
      </c>
      <c r="K40" s="9">
        <f t="shared" si="15"/>
        <v>0</v>
      </c>
      <c r="L40" s="9">
        <f t="shared" si="14"/>
        <v>0</v>
      </c>
      <c r="M40" s="126"/>
    </row>
    <row r="41" spans="1:13" s="106" customFormat="1" ht="11.25" customHeight="1" x14ac:dyDescent="0.25">
      <c r="A41" s="25" t="s">
        <v>105</v>
      </c>
      <c r="B41" s="108" t="s">
        <v>69</v>
      </c>
      <c r="C41" s="9">
        <v>1500</v>
      </c>
      <c r="D41" s="109">
        <v>0</v>
      </c>
      <c r="E41" s="109">
        <v>0</v>
      </c>
      <c r="F41" s="109">
        <v>0</v>
      </c>
      <c r="G41" s="109">
        <v>0</v>
      </c>
      <c r="H41" s="9">
        <f>D41+F41+'05-13-21'!H41</f>
        <v>1122.3499999999997</v>
      </c>
      <c r="I41" s="9">
        <f>E41+G41+'05-13-21'!I41</f>
        <v>21.117000000000004</v>
      </c>
      <c r="J41" s="9">
        <f t="shared" si="13"/>
        <v>1143.4669999999996</v>
      </c>
      <c r="K41" s="9">
        <f t="shared" si="15"/>
        <v>356.53300000000036</v>
      </c>
      <c r="L41" s="9">
        <f t="shared" si="14"/>
        <v>257.84090773809908</v>
      </c>
      <c r="M41" s="126"/>
    </row>
    <row r="42" spans="1:13" s="106" customFormat="1" ht="11.45" customHeight="1" x14ac:dyDescent="0.25">
      <c r="A42" s="25" t="s">
        <v>89</v>
      </c>
      <c r="B42" s="108" t="s">
        <v>88</v>
      </c>
      <c r="C42" s="9">
        <v>1200</v>
      </c>
      <c r="D42" s="109">
        <v>0</v>
      </c>
      <c r="E42" s="109">
        <v>0</v>
      </c>
      <c r="F42" s="109">
        <v>0</v>
      </c>
      <c r="G42" s="109">
        <v>0</v>
      </c>
      <c r="H42" s="9">
        <f>D42+F42+'05-13-21'!H42</f>
        <v>633.79999999999995</v>
      </c>
      <c r="I42" s="9">
        <f>E42+G42+'05-13-21'!I42</f>
        <v>11.979999999999999</v>
      </c>
      <c r="J42" s="9">
        <f t="shared" si="13"/>
        <v>645.78</v>
      </c>
      <c r="K42" s="9">
        <f>C42-J42</f>
        <v>554.22</v>
      </c>
      <c r="L42" s="9">
        <f t="shared" si="14"/>
        <v>498.48303571428767</v>
      </c>
      <c r="M42" s="120"/>
    </row>
    <row r="43" spans="1:13" s="98" customFormat="1" ht="11.45" customHeight="1" x14ac:dyDescent="0.25">
      <c r="A43" s="25" t="s">
        <v>61</v>
      </c>
      <c r="B43" s="108" t="s">
        <v>62</v>
      </c>
      <c r="C43" s="9">
        <f>9800+1200+450+22.83</f>
        <v>11472.83</v>
      </c>
      <c r="D43" s="109">
        <v>0</v>
      </c>
      <c r="E43" s="109">
        <v>0</v>
      </c>
      <c r="F43" s="109">
        <v>0</v>
      </c>
      <c r="G43" s="109">
        <v>0</v>
      </c>
      <c r="H43" s="9">
        <f>D43+F43+'05-13-21'!H43</f>
        <v>11025</v>
      </c>
      <c r="I43" s="9">
        <f>E43+G43+'05-13-21'!I43</f>
        <v>447.83</v>
      </c>
      <c r="J43" s="9">
        <f t="shared" si="13"/>
        <v>11472.83</v>
      </c>
      <c r="K43" s="9">
        <f>C43-J43</f>
        <v>0</v>
      </c>
      <c r="L43" s="9">
        <f>C43-((J43/26.0714285714285)*26.0714285714285)</f>
        <v>0</v>
      </c>
      <c r="M43" s="116"/>
    </row>
    <row r="44" spans="1:13" s="98" customFormat="1" ht="11.45" customHeight="1" x14ac:dyDescent="0.25">
      <c r="A44" s="25" t="s">
        <v>59</v>
      </c>
      <c r="B44" s="108" t="s">
        <v>60</v>
      </c>
      <c r="C44" s="9">
        <f>2453.12+2598.45+16442.41</f>
        <v>21493.98</v>
      </c>
      <c r="D44" s="109">
        <v>0</v>
      </c>
      <c r="E44" s="109">
        <v>0</v>
      </c>
      <c r="F44" s="109">
        <v>0</v>
      </c>
      <c r="G44" s="109">
        <v>0</v>
      </c>
      <c r="H44" s="9">
        <f>D44+F44+'05-13-21'!H44</f>
        <v>5543.83</v>
      </c>
      <c r="I44" s="9">
        <f>E44+G44+'05-13-21'!I44</f>
        <v>105.21999999999998</v>
      </c>
      <c r="J44" s="9">
        <f t="shared" si="13"/>
        <v>5649.05</v>
      </c>
      <c r="K44" s="9">
        <f>C44-J44</f>
        <v>15844.93</v>
      </c>
      <c r="L44" s="9">
        <f t="shared" ref="L44:L53" si="16">C44-((J44/24)*26.0714285714285)</f>
        <v>15357.363184523827</v>
      </c>
      <c r="M44" s="116"/>
    </row>
    <row r="45" spans="1:13" s="98" customFormat="1" ht="11.45" customHeight="1" x14ac:dyDescent="0.25">
      <c r="A45" s="25" t="s">
        <v>70</v>
      </c>
      <c r="B45" s="108" t="s">
        <v>71</v>
      </c>
      <c r="C45" s="9">
        <v>5600</v>
      </c>
      <c r="D45" s="109">
        <v>0</v>
      </c>
      <c r="E45" s="109">
        <v>0</v>
      </c>
      <c r="F45" s="109">
        <v>0</v>
      </c>
      <c r="G45" s="109">
        <v>0</v>
      </c>
      <c r="H45" s="9">
        <f>D45+F45+'05-13-21'!H45</f>
        <v>4041.7000000000003</v>
      </c>
      <c r="I45" s="9">
        <f>E45+G45+'05-13-21'!I45</f>
        <v>76.720000000000013</v>
      </c>
      <c r="J45" s="9">
        <f t="shared" si="13"/>
        <v>4118.42</v>
      </c>
      <c r="K45" s="9">
        <f t="shared" ref="K45" si="17">C45-J45</f>
        <v>1481.58</v>
      </c>
      <c r="L45" s="9">
        <f t="shared" si="16"/>
        <v>1126.1211309523933</v>
      </c>
      <c r="M45" s="116"/>
    </row>
    <row r="46" spans="1:13" s="98" customFormat="1" ht="11.45" customHeight="1" x14ac:dyDescent="0.25">
      <c r="A46" s="25" t="s">
        <v>7</v>
      </c>
      <c r="B46" s="108" t="s">
        <v>6</v>
      </c>
      <c r="C46" s="9">
        <v>1609.56</v>
      </c>
      <c r="D46" s="109">
        <v>0</v>
      </c>
      <c r="E46" s="109">
        <v>0</v>
      </c>
      <c r="F46" s="109">
        <v>0</v>
      </c>
      <c r="G46" s="109">
        <v>0</v>
      </c>
      <c r="H46" s="9">
        <f>D46+F46+'05-13-21'!H46</f>
        <v>1267.5</v>
      </c>
      <c r="I46" s="9">
        <f>E46+G46+'05-13-21'!I46</f>
        <v>24.05</v>
      </c>
      <c r="J46" s="9">
        <f t="shared" si="13"/>
        <v>1291.55</v>
      </c>
      <c r="K46" s="9">
        <f>C46-J46</f>
        <v>318.01</v>
      </c>
      <c r="L46" s="9">
        <f t="shared" si="16"/>
        <v>206.53693452381344</v>
      </c>
      <c r="M46" s="116"/>
    </row>
    <row r="47" spans="1:13" s="98" customFormat="1" ht="11.45" customHeight="1" x14ac:dyDescent="0.25">
      <c r="A47" s="25" t="s">
        <v>9</v>
      </c>
      <c r="B47" s="108" t="s">
        <v>8</v>
      </c>
      <c r="C47" s="9">
        <v>0</v>
      </c>
      <c r="D47" s="109">
        <v>0</v>
      </c>
      <c r="E47" s="109">
        <v>0</v>
      </c>
      <c r="F47" s="109">
        <v>0</v>
      </c>
      <c r="G47" s="109">
        <v>0</v>
      </c>
      <c r="H47" s="9">
        <f>D47+F47+'05-13-21'!H47</f>
        <v>0</v>
      </c>
      <c r="I47" s="9">
        <f>E47+G47+'05-13-21'!I47</f>
        <v>0</v>
      </c>
      <c r="J47" s="9">
        <f t="shared" si="13"/>
        <v>0</v>
      </c>
      <c r="K47" s="9">
        <f t="shared" si="15"/>
        <v>0</v>
      </c>
      <c r="L47" s="9">
        <f t="shared" si="16"/>
        <v>0</v>
      </c>
      <c r="M47" s="116"/>
    </row>
    <row r="48" spans="1:13" s="98" customFormat="1" ht="11.45" customHeight="1" x14ac:dyDescent="0.25">
      <c r="A48" s="25" t="s">
        <v>63</v>
      </c>
      <c r="B48" s="108" t="s">
        <v>66</v>
      </c>
      <c r="C48" s="9">
        <v>1784.19</v>
      </c>
      <c r="D48" s="109">
        <v>0</v>
      </c>
      <c r="E48" s="109">
        <v>0</v>
      </c>
      <c r="F48" s="109">
        <v>0</v>
      </c>
      <c r="G48" s="109">
        <v>0</v>
      </c>
      <c r="H48" s="9">
        <f>D48+F48+'05-13-21'!H48</f>
        <v>1504</v>
      </c>
      <c r="I48" s="9">
        <f>E48+G48+'05-13-21'!I48</f>
        <v>78.179999999999993</v>
      </c>
      <c r="J48" s="9">
        <f t="shared" si="13"/>
        <v>1582.18</v>
      </c>
      <c r="K48" s="9">
        <f t="shared" si="15"/>
        <v>202.01</v>
      </c>
      <c r="L48" s="9">
        <f t="shared" si="16"/>
        <v>65.45279761905249</v>
      </c>
      <c r="M48" s="116"/>
    </row>
    <row r="49" spans="1:13" s="98" customFormat="1" ht="11.45" hidden="1" customHeight="1" x14ac:dyDescent="0.25">
      <c r="A49" s="25" t="s">
        <v>64</v>
      </c>
      <c r="B49" s="108" t="s">
        <v>65</v>
      </c>
      <c r="C49" s="97"/>
      <c r="D49" s="109">
        <v>0</v>
      </c>
      <c r="E49" s="109">
        <v>0</v>
      </c>
      <c r="F49" s="109">
        <v>0</v>
      </c>
      <c r="G49" s="109">
        <v>0</v>
      </c>
      <c r="H49" s="9">
        <f>D49+F49+'05-13-21'!H49</f>
        <v>0</v>
      </c>
      <c r="I49" s="9">
        <f>E49+G49+'05-13-21'!I49</f>
        <v>0</v>
      </c>
      <c r="J49" s="9">
        <f t="shared" si="13"/>
        <v>0</v>
      </c>
      <c r="K49" s="9">
        <f t="shared" si="15"/>
        <v>0</v>
      </c>
      <c r="L49" s="9">
        <f t="shared" si="16"/>
        <v>0</v>
      </c>
      <c r="M49" s="116"/>
    </row>
    <row r="50" spans="1:13" s="110" customFormat="1" ht="11.25" customHeight="1" x14ac:dyDescent="0.25">
      <c r="A50" s="25" t="s">
        <v>57</v>
      </c>
      <c r="B50" s="108" t="s">
        <v>58</v>
      </c>
      <c r="C50" s="109">
        <v>5369</v>
      </c>
      <c r="D50" s="109">
        <v>0</v>
      </c>
      <c r="E50" s="109">
        <v>0</v>
      </c>
      <c r="F50" s="109">
        <v>0</v>
      </c>
      <c r="G50" s="109">
        <v>0</v>
      </c>
      <c r="H50" s="9">
        <f>D50+F50+'05-13-21'!H50</f>
        <v>1682.0900000000001</v>
      </c>
      <c r="I50" s="9">
        <f>E50+G50+'05-13-21'!I50</f>
        <v>31.85</v>
      </c>
      <c r="J50" s="9">
        <f t="shared" si="13"/>
        <v>1713.94</v>
      </c>
      <c r="K50" s="9">
        <f>C50-J50</f>
        <v>3655.06</v>
      </c>
      <c r="L50" s="9">
        <f t="shared" si="16"/>
        <v>3507.1306547619097</v>
      </c>
      <c r="M50" s="115"/>
    </row>
    <row r="51" spans="1:13" s="110" customFormat="1" ht="11.25" customHeight="1" x14ac:dyDescent="0.25">
      <c r="A51" s="25" t="s">
        <v>95</v>
      </c>
      <c r="B51" s="108" t="s">
        <v>94</v>
      </c>
      <c r="C51" s="109">
        <f>2000+1000+500</f>
        <v>3500</v>
      </c>
      <c r="D51" s="109">
        <v>0</v>
      </c>
      <c r="E51" s="109">
        <v>0</v>
      </c>
      <c r="F51" s="109">
        <v>0</v>
      </c>
      <c r="G51" s="109">
        <v>0</v>
      </c>
      <c r="H51" s="9">
        <f>D51+F51+'05-13-21'!H51</f>
        <v>3071.5</v>
      </c>
      <c r="I51" s="9">
        <f>E51+G51+'05-13-21'!I51</f>
        <v>59.129999999999995</v>
      </c>
      <c r="J51" s="9">
        <f t="shared" si="13"/>
        <v>3130.63</v>
      </c>
      <c r="K51" s="9">
        <f>C51-J51</f>
        <v>369.36999999999989</v>
      </c>
      <c r="L51" s="9">
        <f t="shared" si="16"/>
        <v>99.1668154762001</v>
      </c>
      <c r="M51" s="116"/>
    </row>
    <row r="52" spans="1:13" s="110" customFormat="1" ht="11.25" customHeight="1" x14ac:dyDescent="0.25">
      <c r="A52" s="25" t="s">
        <v>131</v>
      </c>
      <c r="B52" s="108" t="s">
        <v>130</v>
      </c>
      <c r="C52" s="109">
        <f>28.53+2000</f>
        <v>2028.53</v>
      </c>
      <c r="D52" s="109">
        <v>600</v>
      </c>
      <c r="E52" s="109">
        <v>11.4</v>
      </c>
      <c r="F52" s="109">
        <v>0</v>
      </c>
      <c r="G52" s="109">
        <v>0</v>
      </c>
      <c r="H52" s="9">
        <f>D52+F52+'05-13-21'!H52</f>
        <v>1078</v>
      </c>
      <c r="I52" s="9">
        <f>E52+G52+'05-13-21'!I52</f>
        <v>20.48</v>
      </c>
      <c r="J52" s="9">
        <f t="shared" si="13"/>
        <v>1098.48</v>
      </c>
      <c r="K52" s="9">
        <f>C52-J52</f>
        <v>930.05</v>
      </c>
      <c r="L52" s="9">
        <f t="shared" si="16"/>
        <v>835.24071428571756</v>
      </c>
      <c r="M52" s="116"/>
    </row>
    <row r="53" spans="1:13" s="110" customFormat="1" ht="11.25" customHeight="1" x14ac:dyDescent="0.25">
      <c r="A53" s="25" t="s">
        <v>141</v>
      </c>
      <c r="B53" s="108" t="s">
        <v>142</v>
      </c>
      <c r="C53" s="109">
        <v>3800</v>
      </c>
      <c r="D53" s="109">
        <v>117</v>
      </c>
      <c r="E53" s="109">
        <v>2.2200000000000002</v>
      </c>
      <c r="F53" s="109">
        <v>0</v>
      </c>
      <c r="G53" s="109">
        <v>0</v>
      </c>
      <c r="H53" s="9">
        <f>D53+F53+'05-13-21'!H53</f>
        <v>225</v>
      </c>
      <c r="I53" s="9">
        <f>E53+G53+'05-13-21'!I53</f>
        <v>4.26</v>
      </c>
      <c r="J53" s="9">
        <f t="shared" si="13"/>
        <v>229.26</v>
      </c>
      <c r="K53" s="9">
        <f>C53-J53</f>
        <v>3570.74</v>
      </c>
      <c r="L53" s="9">
        <f t="shared" si="16"/>
        <v>3550.9526785714293</v>
      </c>
      <c r="M53" s="116"/>
    </row>
    <row r="54" spans="1:13" ht="21.6" customHeight="1" x14ac:dyDescent="0.25">
      <c r="A54" s="153" t="s">
        <v>5</v>
      </c>
      <c r="B54" s="154"/>
      <c r="C54" s="7">
        <f>SUM(C35:C50)</f>
        <v>67324.78</v>
      </c>
      <c r="D54" s="7"/>
      <c r="E54" s="7"/>
      <c r="F54" s="7"/>
      <c r="G54" s="7"/>
      <c r="H54" s="7">
        <f>SUM(H35:H51)</f>
        <v>39984.649999999994</v>
      </c>
      <c r="I54" s="7">
        <f>SUM(I35:I51)</f>
        <v>1268.7869999999998</v>
      </c>
      <c r="J54" s="7">
        <f>SUM(J35:J51)</f>
        <v>41253.436999999998</v>
      </c>
      <c r="K54" s="7">
        <f>SUM(K35:K51)</f>
        <v>29571.343000000001</v>
      </c>
      <c r="L54" s="7">
        <f>SUM(L35:L51)</f>
        <v>27000.992991071518</v>
      </c>
      <c r="M54" s="133"/>
    </row>
    <row r="55" spans="1:13" ht="10.9" customHeight="1" x14ac:dyDescent="0.25">
      <c r="A55" s="17"/>
      <c r="B55" s="16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33"/>
    </row>
    <row r="56" spans="1:13" ht="10.9" customHeight="1" x14ac:dyDescent="0.25">
      <c r="A56" s="17"/>
      <c r="B56" s="16"/>
      <c r="C56" s="15"/>
      <c r="D56" s="15"/>
      <c r="E56" s="15"/>
      <c r="F56" s="15"/>
      <c r="G56" s="15"/>
      <c r="H56" s="15"/>
      <c r="I56" s="15"/>
      <c r="J56" s="15"/>
      <c r="K56" s="15"/>
      <c r="L56" s="15"/>
    </row>
    <row r="57" spans="1:13" s="92" customFormat="1" ht="10.9" customHeight="1" x14ac:dyDescent="0.25">
      <c r="A57" s="22" t="s">
        <v>4</v>
      </c>
      <c r="B57" s="29" t="s">
        <v>3</v>
      </c>
      <c r="C57" s="9">
        <v>62583</v>
      </c>
      <c r="D57" s="10">
        <v>1627.34</v>
      </c>
      <c r="E57" s="10">
        <v>30.91</v>
      </c>
      <c r="F57" s="10">
        <v>659.38</v>
      </c>
      <c r="G57" s="10">
        <v>34.28</v>
      </c>
      <c r="H57" s="9">
        <f>D57+F57+'05-13-21'!H57</f>
        <v>25924.61</v>
      </c>
      <c r="I57" s="9">
        <f>E57+G57+'05-13-21'!I57</f>
        <v>601.8420000000001</v>
      </c>
      <c r="J57" s="9">
        <f t="shared" ref="J57:J58" si="18">H57+I57</f>
        <v>26526.452000000001</v>
      </c>
      <c r="K57" s="9">
        <f>C57-J57</f>
        <v>36056.547999999995</v>
      </c>
      <c r="L57" s="9">
        <f t="shared" ref="L57:L58" si="19">C57-((J57/24)*26.0714285714285)</f>
        <v>33767.062559523896</v>
      </c>
      <c r="M57" s="115"/>
    </row>
    <row r="58" spans="1:13" s="92" customFormat="1" ht="10.9" customHeight="1" x14ac:dyDescent="0.25">
      <c r="A58" s="22" t="s">
        <v>112</v>
      </c>
      <c r="B58" s="29" t="s">
        <v>111</v>
      </c>
      <c r="C58" s="9">
        <v>11243</v>
      </c>
      <c r="D58" s="9">
        <v>0</v>
      </c>
      <c r="E58" s="9">
        <v>0</v>
      </c>
      <c r="F58" s="9">
        <v>0</v>
      </c>
      <c r="G58" s="9">
        <v>0</v>
      </c>
      <c r="H58" s="9">
        <f>D58+F58+'05-13-21'!H58</f>
        <v>-1642.36</v>
      </c>
      <c r="I58" s="9">
        <f>E58+G58+'05-13-21'!I58</f>
        <v>-31.2</v>
      </c>
      <c r="J58" s="9">
        <f t="shared" si="18"/>
        <v>-1673.56</v>
      </c>
      <c r="K58" s="9">
        <f>C58-J58</f>
        <v>12916.56</v>
      </c>
      <c r="L58" s="9">
        <f t="shared" si="19"/>
        <v>13061.004166666662</v>
      </c>
      <c r="M58" s="115"/>
    </row>
    <row r="59" spans="1:13" ht="21.6" customHeight="1" x14ac:dyDescent="0.25">
      <c r="A59" s="20" t="s">
        <v>2</v>
      </c>
      <c r="B59" s="19"/>
      <c r="C59" s="18">
        <f>C57+C58</f>
        <v>73826</v>
      </c>
      <c r="D59" s="18">
        <f t="shared" ref="D59:L59" si="20">D57+D58</f>
        <v>1627.34</v>
      </c>
      <c r="E59" s="18">
        <f t="shared" si="20"/>
        <v>30.91</v>
      </c>
      <c r="F59" s="18">
        <f t="shared" si="20"/>
        <v>659.38</v>
      </c>
      <c r="G59" s="18">
        <f t="shared" si="20"/>
        <v>34.28</v>
      </c>
      <c r="H59" s="18">
        <f t="shared" si="20"/>
        <v>24282.25</v>
      </c>
      <c r="I59" s="18">
        <f t="shared" si="20"/>
        <v>570.64200000000005</v>
      </c>
      <c r="J59" s="18">
        <f t="shared" si="20"/>
        <v>24852.892</v>
      </c>
      <c r="K59" s="18">
        <f t="shared" si="20"/>
        <v>48973.107999999993</v>
      </c>
      <c r="L59" s="18">
        <f t="shared" si="20"/>
        <v>46828.066726190562</v>
      </c>
    </row>
    <row r="60" spans="1:13" ht="10.9" customHeight="1" x14ac:dyDescent="0.25">
      <c r="A60" s="17"/>
      <c r="B60" s="16"/>
      <c r="C60" s="15"/>
      <c r="D60" s="15"/>
      <c r="E60" s="15"/>
      <c r="F60" s="15"/>
      <c r="G60" s="15"/>
      <c r="H60" s="15"/>
      <c r="I60" s="15"/>
      <c r="J60" s="15"/>
      <c r="K60" s="15"/>
      <c r="L60" s="15"/>
    </row>
    <row r="61" spans="1:13" ht="10.9" customHeight="1" x14ac:dyDescent="0.25">
      <c r="A61" s="17"/>
      <c r="B61" s="16"/>
      <c r="C61" s="15"/>
      <c r="D61" s="15"/>
      <c r="E61" s="15"/>
      <c r="F61" s="15"/>
      <c r="G61" s="15"/>
      <c r="H61" s="15"/>
      <c r="I61" s="15"/>
      <c r="J61" s="15"/>
      <c r="K61" s="15"/>
      <c r="L61" s="15"/>
    </row>
    <row r="62" spans="1:13" s="92" customFormat="1" ht="10.9" customHeight="1" x14ac:dyDescent="0.25">
      <c r="A62" s="13" t="s">
        <v>1</v>
      </c>
      <c r="B62" s="33">
        <v>55180000</v>
      </c>
      <c r="C62" s="9">
        <f>37736-15000</f>
        <v>22736</v>
      </c>
      <c r="D62" s="10">
        <v>0</v>
      </c>
      <c r="E62" s="10">
        <v>0</v>
      </c>
      <c r="F62" s="10">
        <v>438.6</v>
      </c>
      <c r="G62" s="10">
        <v>22.8</v>
      </c>
      <c r="H62" s="9">
        <f>D62+F62+'05-13-21'!H62</f>
        <v>9931.6600000000035</v>
      </c>
      <c r="I62" s="9">
        <f>E62+G62+'05-13-21'!I62</f>
        <v>526.68000000000006</v>
      </c>
      <c r="J62" s="9">
        <f t="shared" ref="J62" si="21">H62+I62</f>
        <v>10458.340000000004</v>
      </c>
      <c r="K62" s="9">
        <f>C62-J62</f>
        <v>12277.659999999996</v>
      </c>
      <c r="L62" s="9">
        <f>C62-((J62/24)*26.0714285714285)</f>
        <v>11375.005654761933</v>
      </c>
      <c r="M62" s="115"/>
    </row>
    <row r="63" spans="1:13" s="3" customFormat="1" ht="21.6" customHeight="1" x14ac:dyDescent="0.25">
      <c r="A63" s="153" t="s">
        <v>0</v>
      </c>
      <c r="B63" s="154"/>
      <c r="C63" s="7">
        <f t="shared" ref="C63:L63" si="22">SUM(C62)</f>
        <v>22736</v>
      </c>
      <c r="D63" s="7">
        <f t="shared" si="22"/>
        <v>0</v>
      </c>
      <c r="E63" s="7">
        <f t="shared" si="22"/>
        <v>0</v>
      </c>
      <c r="F63" s="7">
        <f t="shared" si="22"/>
        <v>438.6</v>
      </c>
      <c r="G63" s="7">
        <f t="shared" si="22"/>
        <v>22.8</v>
      </c>
      <c r="H63" s="7">
        <f t="shared" si="22"/>
        <v>9931.6600000000035</v>
      </c>
      <c r="I63" s="7">
        <f t="shared" si="22"/>
        <v>526.68000000000006</v>
      </c>
      <c r="J63" s="7">
        <f t="shared" si="22"/>
        <v>10458.340000000004</v>
      </c>
      <c r="K63" s="7">
        <f t="shared" si="22"/>
        <v>12277.659999999996</v>
      </c>
      <c r="L63" s="7">
        <f t="shared" si="22"/>
        <v>11375.005654761933</v>
      </c>
      <c r="M63" s="122"/>
    </row>
    <row r="64" spans="1:13" s="3" customFormat="1" ht="11.25" customHeight="1" x14ac:dyDescent="0.25">
      <c r="A64" s="6"/>
      <c r="B64" s="5"/>
      <c r="C64" s="4"/>
      <c r="D64" s="4"/>
      <c r="E64" s="4"/>
      <c r="F64" s="4"/>
      <c r="G64" s="4"/>
      <c r="H64" s="4"/>
      <c r="I64" s="4"/>
      <c r="J64" s="4"/>
      <c r="K64" s="4"/>
      <c r="L64" s="4"/>
      <c r="M64" s="122"/>
    </row>
    <row r="65" spans="1:13" s="2" customFormat="1" ht="10.5" customHeight="1" x14ac:dyDescent="0.25">
      <c r="A65" s="160" t="s">
        <v>72</v>
      </c>
      <c r="B65" s="160"/>
      <c r="C65" s="160"/>
      <c r="D65" s="160"/>
      <c r="E65" s="160"/>
      <c r="F65" s="160"/>
      <c r="G65" s="82">
        <v>12000</v>
      </c>
      <c r="M65" s="111"/>
    </row>
    <row r="66" spans="1:13" s="2" customFormat="1" ht="10.5" customHeight="1" x14ac:dyDescent="0.25">
      <c r="A66" s="160" t="s">
        <v>73</v>
      </c>
      <c r="B66" s="160"/>
      <c r="C66" s="160"/>
      <c r="D66" s="160"/>
      <c r="E66" s="160"/>
      <c r="F66" s="160"/>
      <c r="G66" s="82">
        <v>5600</v>
      </c>
      <c r="M66" s="111"/>
    </row>
    <row r="67" spans="1:13" ht="10.5" customHeight="1" x14ac:dyDescent="0.25">
      <c r="A67" s="160" t="s">
        <v>76</v>
      </c>
      <c r="B67" s="160"/>
      <c r="C67" s="160"/>
      <c r="D67" s="160"/>
      <c r="E67" s="160"/>
      <c r="F67" s="160"/>
      <c r="G67" s="82">
        <v>9800</v>
      </c>
    </row>
    <row r="68" spans="1:13" ht="10.5" customHeight="1" x14ac:dyDescent="0.25">
      <c r="A68" s="160" t="s">
        <v>75</v>
      </c>
      <c r="B68" s="160"/>
      <c r="C68" s="160"/>
      <c r="D68" s="160"/>
      <c r="E68" s="160"/>
      <c r="F68" s="160"/>
      <c r="G68" s="82">
        <v>1500</v>
      </c>
    </row>
    <row r="69" spans="1:13" ht="10.5" customHeight="1" x14ac:dyDescent="0.25">
      <c r="A69" s="160" t="s">
        <v>74</v>
      </c>
      <c r="B69" s="160"/>
      <c r="C69" s="160"/>
      <c r="D69" s="160"/>
      <c r="E69" s="160"/>
      <c r="F69" s="160"/>
      <c r="G69" s="82">
        <v>843.44</v>
      </c>
    </row>
    <row r="70" spans="1:13" ht="10.5" customHeight="1" x14ac:dyDescent="0.25">
      <c r="A70" s="160" t="s">
        <v>77</v>
      </c>
      <c r="B70" s="160"/>
      <c r="C70" s="160"/>
      <c r="D70" s="160"/>
      <c r="E70" s="160"/>
      <c r="F70" s="160"/>
      <c r="G70" s="82">
        <v>1784.19</v>
      </c>
    </row>
    <row r="71" spans="1:13" ht="10.5" customHeight="1" x14ac:dyDescent="0.25">
      <c r="A71" s="160" t="s">
        <v>78</v>
      </c>
      <c r="B71" s="160"/>
      <c r="C71" s="160"/>
      <c r="D71" s="160"/>
      <c r="E71" s="160"/>
      <c r="F71" s="160"/>
      <c r="G71" s="82">
        <v>2453.12</v>
      </c>
    </row>
    <row r="72" spans="1:13" s="2" customFormat="1" ht="10.5" customHeight="1" x14ac:dyDescent="0.25">
      <c r="A72" s="160" t="s">
        <v>84</v>
      </c>
      <c r="B72" s="160"/>
      <c r="C72" s="160"/>
      <c r="D72" s="160"/>
      <c r="E72" s="160"/>
      <c r="F72" s="160"/>
      <c r="G72" s="82">
        <v>2598.4499999999998</v>
      </c>
      <c r="M72" s="112"/>
    </row>
    <row r="73" spans="1:13" s="2" customFormat="1" ht="10.5" customHeight="1" x14ac:dyDescent="0.25">
      <c r="A73" s="160" t="s">
        <v>134</v>
      </c>
      <c r="B73" s="160"/>
      <c r="C73" s="160"/>
      <c r="D73" s="160"/>
      <c r="E73" s="160"/>
      <c r="F73" s="160"/>
      <c r="G73" s="82">
        <v>2659</v>
      </c>
      <c r="M73" s="112"/>
    </row>
    <row r="74" spans="1:13" s="2" customFormat="1" ht="10.5" customHeight="1" x14ac:dyDescent="0.25">
      <c r="A74" s="160" t="s">
        <v>90</v>
      </c>
      <c r="B74" s="160"/>
      <c r="C74" s="160"/>
      <c r="D74" s="160"/>
      <c r="E74" s="160"/>
      <c r="F74" s="160"/>
      <c r="G74" s="82">
        <v>1200</v>
      </c>
      <c r="M74" s="112"/>
    </row>
    <row r="75" spans="1:13" s="2" customFormat="1" ht="10.5" customHeight="1" x14ac:dyDescent="0.25">
      <c r="A75" s="160" t="s">
        <v>93</v>
      </c>
      <c r="B75" s="160"/>
      <c r="C75" s="160"/>
      <c r="D75" s="160"/>
      <c r="E75" s="160"/>
      <c r="F75" s="160"/>
      <c r="G75" s="82">
        <v>2109</v>
      </c>
      <c r="M75" s="111"/>
    </row>
    <row r="76" spans="1:13" s="2" customFormat="1" ht="10.5" customHeight="1" x14ac:dyDescent="0.25">
      <c r="A76" s="160" t="s">
        <v>100</v>
      </c>
      <c r="B76" s="160"/>
      <c r="C76" s="160"/>
      <c r="D76" s="160"/>
      <c r="E76" s="160"/>
      <c r="F76" s="160"/>
      <c r="G76" s="82">
        <v>6100</v>
      </c>
      <c r="M76" s="111"/>
    </row>
    <row r="77" spans="1:13" s="2" customFormat="1" ht="10.5" customHeight="1" x14ac:dyDescent="0.25">
      <c r="A77" s="160" t="s">
        <v>102</v>
      </c>
      <c r="B77" s="160"/>
      <c r="C77" s="160"/>
      <c r="D77" s="160"/>
      <c r="E77" s="160"/>
      <c r="F77" s="160"/>
      <c r="G77" s="82">
        <v>5369</v>
      </c>
      <c r="M77" s="112"/>
    </row>
    <row r="78" spans="1:13" ht="10.5" customHeight="1" x14ac:dyDescent="0.25">
      <c r="A78" s="160" t="s">
        <v>106</v>
      </c>
      <c r="B78" s="160"/>
      <c r="C78" s="160"/>
      <c r="D78" s="160"/>
      <c r="E78" s="160"/>
      <c r="F78" s="160"/>
      <c r="G78" s="82">
        <v>16442.41</v>
      </c>
    </row>
    <row r="79" spans="1:13" ht="10.5" customHeight="1" x14ac:dyDescent="0.25">
      <c r="A79" s="160" t="s">
        <v>107</v>
      </c>
      <c r="B79" s="160"/>
      <c r="C79" s="160"/>
      <c r="D79" s="160"/>
      <c r="E79" s="160"/>
      <c r="F79" s="160"/>
      <c r="G79" s="82">
        <v>1609.56</v>
      </c>
    </row>
    <row r="80" spans="1:13" s="2" customFormat="1" ht="10.5" customHeight="1" x14ac:dyDescent="0.25">
      <c r="A80" s="160" t="s">
        <v>140</v>
      </c>
      <c r="B80" s="160"/>
      <c r="C80" s="160"/>
      <c r="D80" s="160"/>
      <c r="E80" s="160"/>
      <c r="F80" s="160"/>
      <c r="G80" s="82">
        <v>1000</v>
      </c>
      <c r="M80" s="112"/>
    </row>
    <row r="81" spans="1:13" ht="10.5" customHeight="1" x14ac:dyDescent="0.25">
      <c r="A81" s="160" t="s">
        <v>113</v>
      </c>
      <c r="B81" s="160"/>
      <c r="C81" s="160"/>
      <c r="D81" s="160"/>
      <c r="E81" s="160"/>
      <c r="F81" s="160"/>
      <c r="G81" s="82">
        <v>75940.289999999994</v>
      </c>
    </row>
    <row r="82" spans="1:13" s="2" customFormat="1" ht="10.5" customHeight="1" x14ac:dyDescent="0.25">
      <c r="A82" s="160" t="s">
        <v>115</v>
      </c>
      <c r="B82" s="160"/>
      <c r="C82" s="160"/>
      <c r="D82" s="160"/>
      <c r="E82" s="160"/>
      <c r="F82" s="160"/>
      <c r="G82" s="82">
        <v>1200</v>
      </c>
      <c r="M82" s="112"/>
    </row>
    <row r="83" spans="1:13" s="2" customFormat="1" ht="10.5" customHeight="1" x14ac:dyDescent="0.25">
      <c r="A83" s="160" t="s">
        <v>117</v>
      </c>
      <c r="B83" s="160"/>
      <c r="C83" s="160"/>
      <c r="D83" s="160"/>
      <c r="E83" s="160"/>
      <c r="F83" s="160"/>
      <c r="G83" s="82">
        <v>4208</v>
      </c>
      <c r="M83" s="112"/>
    </row>
    <row r="84" spans="1:13" ht="10.5" customHeight="1" x14ac:dyDescent="0.25">
      <c r="A84" s="160" t="s">
        <v>118</v>
      </c>
      <c r="B84" s="160"/>
      <c r="C84" s="160"/>
      <c r="D84" s="160"/>
      <c r="E84" s="160"/>
      <c r="F84" s="160"/>
      <c r="G84" s="82">
        <v>500</v>
      </c>
    </row>
    <row r="85" spans="1:13" s="2" customFormat="1" ht="10.5" customHeight="1" x14ac:dyDescent="0.25">
      <c r="A85" s="160" t="s">
        <v>133</v>
      </c>
      <c r="B85" s="160"/>
      <c r="C85" s="160"/>
      <c r="D85" s="160"/>
      <c r="E85" s="160"/>
      <c r="F85" s="160"/>
      <c r="G85" s="134">
        <v>3360</v>
      </c>
      <c r="M85" s="112"/>
    </row>
    <row r="86" spans="1:13" s="2" customFormat="1" ht="10.5" customHeight="1" x14ac:dyDescent="0.25">
      <c r="A86" s="160" t="s">
        <v>124</v>
      </c>
      <c r="B86" s="160"/>
      <c r="C86" s="160"/>
      <c r="D86" s="160"/>
      <c r="E86" s="160"/>
      <c r="F86" s="160"/>
      <c r="G86" s="134">
        <v>-137.84</v>
      </c>
      <c r="M86" s="112"/>
    </row>
    <row r="87" spans="1:13" s="2" customFormat="1" ht="10.5" customHeight="1" x14ac:dyDescent="0.25">
      <c r="A87" s="160" t="s">
        <v>126</v>
      </c>
      <c r="B87" s="160"/>
      <c r="C87" s="160"/>
      <c r="D87" s="160"/>
      <c r="E87" s="160"/>
      <c r="F87" s="160"/>
      <c r="G87" s="134">
        <v>2500</v>
      </c>
      <c r="M87" s="112"/>
    </row>
    <row r="88" spans="1:13" s="2" customFormat="1" ht="10.5" customHeight="1" x14ac:dyDescent="0.25">
      <c r="A88" s="160" t="s">
        <v>127</v>
      </c>
      <c r="B88" s="160"/>
      <c r="C88" s="160"/>
      <c r="D88" s="160"/>
      <c r="E88" s="160"/>
      <c r="F88" s="160"/>
      <c r="G88" s="134">
        <v>61.23</v>
      </c>
      <c r="M88" s="112"/>
    </row>
    <row r="89" spans="1:13" ht="10.5" customHeight="1" x14ac:dyDescent="0.25">
      <c r="A89" s="138" t="s">
        <v>139</v>
      </c>
      <c r="B89" s="139"/>
      <c r="C89" s="140"/>
      <c r="D89" s="140"/>
      <c r="E89" s="140"/>
      <c r="F89" s="140"/>
      <c r="G89" s="135">
        <v>28.53</v>
      </c>
    </row>
    <row r="90" spans="1:13" ht="10.5" customHeight="1" x14ac:dyDescent="0.25">
      <c r="A90" s="138" t="s">
        <v>138</v>
      </c>
      <c r="B90" s="139"/>
      <c r="C90" s="140"/>
      <c r="D90" s="140"/>
      <c r="E90" s="140"/>
      <c r="F90" s="140"/>
      <c r="G90" s="135">
        <v>2000</v>
      </c>
    </row>
    <row r="91" spans="1:13" s="2" customFormat="1" ht="10.5" customHeight="1" x14ac:dyDescent="0.25">
      <c r="A91" s="160" t="s">
        <v>136</v>
      </c>
      <c r="B91" s="160"/>
      <c r="C91" s="160"/>
      <c r="D91" s="160"/>
      <c r="E91" s="160"/>
      <c r="F91" s="160"/>
      <c r="G91" s="82">
        <v>5341</v>
      </c>
      <c r="M91" s="111"/>
    </row>
    <row r="92" spans="1:13" ht="10.5" customHeight="1" x14ac:dyDescent="0.25">
      <c r="A92" s="138" t="s">
        <v>137</v>
      </c>
      <c r="B92" s="139"/>
      <c r="C92" s="140"/>
      <c r="D92" s="140"/>
      <c r="E92" s="140"/>
      <c r="F92" s="140"/>
      <c r="G92" s="135">
        <v>3800</v>
      </c>
    </row>
    <row r="93" spans="1:13" ht="10.5" customHeight="1" x14ac:dyDescent="0.25">
      <c r="A93" s="138" t="s">
        <v>143</v>
      </c>
      <c r="B93" s="139"/>
      <c r="C93" s="140"/>
      <c r="D93" s="140"/>
      <c r="E93" s="140"/>
      <c r="F93" s="140"/>
      <c r="G93" s="135">
        <v>450</v>
      </c>
    </row>
    <row r="94" spans="1:13" ht="9.75" customHeight="1" x14ac:dyDescent="0.25">
      <c r="A94" s="138" t="s">
        <v>145</v>
      </c>
      <c r="B94" s="139"/>
      <c r="C94" s="140"/>
      <c r="D94" s="140"/>
      <c r="E94" s="140"/>
      <c r="F94" s="140"/>
      <c r="G94" s="135">
        <v>22.83</v>
      </c>
    </row>
    <row r="95" spans="1:13" ht="10.5" customHeight="1" x14ac:dyDescent="0.25">
      <c r="A95" s="138" t="s">
        <v>147</v>
      </c>
      <c r="B95" s="139"/>
      <c r="C95" s="140"/>
      <c r="D95" s="140"/>
      <c r="E95" s="140"/>
      <c r="F95" s="140"/>
      <c r="G95" s="135">
        <v>1069.95</v>
      </c>
    </row>
    <row r="96" spans="1:13" s="2" customFormat="1" ht="10.5" customHeight="1" x14ac:dyDescent="0.25">
      <c r="A96" s="160" t="s">
        <v>149</v>
      </c>
      <c r="B96" s="160"/>
      <c r="C96" s="160"/>
      <c r="D96" s="160"/>
      <c r="E96" s="160"/>
      <c r="F96" s="160"/>
      <c r="G96" s="82">
        <v>-15000</v>
      </c>
      <c r="M96" s="111"/>
    </row>
  </sheetData>
  <mergeCells count="32">
    <mergeCell ref="A70:F70"/>
    <mergeCell ref="A16:B16"/>
    <mergeCell ref="A22:B22"/>
    <mergeCell ref="A29:B29"/>
    <mergeCell ref="A32:B32"/>
    <mergeCell ref="A54:B54"/>
    <mergeCell ref="A63:B63"/>
    <mergeCell ref="A65:F65"/>
    <mergeCell ref="A66:F66"/>
    <mergeCell ref="A67:F67"/>
    <mergeCell ref="A68:F68"/>
    <mergeCell ref="A69:F69"/>
    <mergeCell ref="A82:F82"/>
    <mergeCell ref="A71:F71"/>
    <mergeCell ref="A72:F72"/>
    <mergeCell ref="A73:F73"/>
    <mergeCell ref="A74:F74"/>
    <mergeCell ref="A75:F75"/>
    <mergeCell ref="A76:F76"/>
    <mergeCell ref="A77:F77"/>
    <mergeCell ref="A78:F78"/>
    <mergeCell ref="A79:F79"/>
    <mergeCell ref="A80:F80"/>
    <mergeCell ref="A81:F81"/>
    <mergeCell ref="A91:F91"/>
    <mergeCell ref="A96:F96"/>
    <mergeCell ref="A83:F83"/>
    <mergeCell ref="A84:F84"/>
    <mergeCell ref="A85:F85"/>
    <mergeCell ref="A86:F86"/>
    <mergeCell ref="A87:F87"/>
    <mergeCell ref="A88:F88"/>
  </mergeCells>
  <pageMargins left="0.25" right="0" top="0.4" bottom="0" header="0.3" footer="0"/>
  <pageSetup scale="84" fitToWidth="0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908008-B407-4393-B662-7ECA66C650C8}">
  <sheetPr>
    <pageSetUpPr fitToPage="1"/>
  </sheetPr>
  <dimension ref="A1:M97"/>
  <sheetViews>
    <sheetView zoomScale="160" zoomScaleNormal="160" workbookViewId="0">
      <pane ySplit="2" topLeftCell="A31" activePane="bottomLeft" state="frozen"/>
      <selection pane="bottomLeft" activeCell="K36" sqref="K36"/>
    </sheetView>
  </sheetViews>
  <sheetFormatPr defaultColWidth="28" defaultRowHeight="15" x14ac:dyDescent="0.25"/>
  <cols>
    <col min="1" max="1" width="34" style="1" bestFit="1" customWidth="1"/>
    <col min="2" max="2" width="19" style="1" bestFit="1" customWidth="1"/>
    <col min="3" max="3" width="11" style="77" customWidth="1"/>
    <col min="4" max="4" width="9" style="2" bestFit="1" customWidth="1"/>
    <col min="5" max="5" width="6.85546875" style="2" bestFit="1" customWidth="1"/>
    <col min="6" max="6" width="9" style="2" bestFit="1" customWidth="1"/>
    <col min="7" max="8" width="9.28515625" style="2" bestFit="1" customWidth="1"/>
    <col min="9" max="9" width="9.42578125" style="2" bestFit="1" customWidth="1"/>
    <col min="10" max="10" width="9.7109375" style="2" bestFit="1" customWidth="1"/>
    <col min="11" max="11" width="9.28515625" style="2" bestFit="1" customWidth="1"/>
    <col min="12" max="12" width="13.42578125" style="2" bestFit="1" customWidth="1"/>
    <col min="13" max="13" width="17.85546875" style="112" customWidth="1"/>
    <col min="14" max="16384" width="28" style="1"/>
  </cols>
  <sheetData>
    <row r="1" spans="1:13" ht="11.25" customHeight="1" x14ac:dyDescent="0.25">
      <c r="A1" s="68"/>
      <c r="B1" s="67"/>
      <c r="C1" s="76"/>
      <c r="D1" s="66"/>
      <c r="E1" s="66"/>
      <c r="F1" s="66"/>
      <c r="G1" s="66"/>
      <c r="H1" s="66"/>
      <c r="I1" s="66"/>
      <c r="J1" s="66"/>
      <c r="K1" s="66"/>
      <c r="L1" s="65" t="s">
        <v>151</v>
      </c>
    </row>
    <row r="2" spans="1:13" s="61" customFormat="1" ht="23.25" x14ac:dyDescent="0.25">
      <c r="A2" s="64" t="s">
        <v>53</v>
      </c>
      <c r="B2" s="64" t="s">
        <v>52</v>
      </c>
      <c r="C2" s="63" t="s">
        <v>51</v>
      </c>
      <c r="D2" s="63" t="s">
        <v>50</v>
      </c>
      <c r="E2" s="63" t="s">
        <v>48</v>
      </c>
      <c r="F2" s="63" t="s">
        <v>49</v>
      </c>
      <c r="G2" s="63" t="s">
        <v>48</v>
      </c>
      <c r="H2" s="62" t="s">
        <v>47</v>
      </c>
      <c r="I2" s="62" t="s">
        <v>46</v>
      </c>
      <c r="J2" s="62" t="s">
        <v>45</v>
      </c>
      <c r="K2" s="62" t="s">
        <v>44</v>
      </c>
      <c r="L2" s="62" t="s">
        <v>43</v>
      </c>
      <c r="M2" s="113"/>
    </row>
    <row r="3" spans="1:13" s="101" customFormat="1" ht="11.25" customHeight="1" x14ac:dyDescent="0.25">
      <c r="A3" s="22" t="s">
        <v>42</v>
      </c>
      <c r="B3" s="29">
        <v>55010300</v>
      </c>
      <c r="C3" s="10">
        <v>4208</v>
      </c>
      <c r="D3" s="45">
        <v>0</v>
      </c>
      <c r="E3" s="45">
        <v>0</v>
      </c>
      <c r="F3" s="45">
        <v>0</v>
      </c>
      <c r="G3" s="45">
        <v>0</v>
      </c>
      <c r="H3" s="9">
        <f>D3+F3+'05-27-21'!H3</f>
        <v>0</v>
      </c>
      <c r="I3" s="9">
        <f>E3+G3+'05-27-21'!I3</f>
        <v>0</v>
      </c>
      <c r="J3" s="9">
        <f>H3+I3</f>
        <v>0</v>
      </c>
      <c r="K3" s="9">
        <f>C3-J3</f>
        <v>4208</v>
      </c>
      <c r="L3" s="9">
        <f>C3-((J3/25)*26.0714285714285)</f>
        <v>4208</v>
      </c>
      <c r="M3" s="114"/>
    </row>
    <row r="4" spans="1:13" s="101" customFormat="1" ht="11.25" customHeight="1" x14ac:dyDescent="0.25">
      <c r="A4" s="22" t="s">
        <v>41</v>
      </c>
      <c r="B4" s="29">
        <v>55010500</v>
      </c>
      <c r="C4" s="9">
        <f>3229-1000</f>
        <v>2229</v>
      </c>
      <c r="D4" s="45">
        <v>0</v>
      </c>
      <c r="E4" s="45">
        <v>0</v>
      </c>
      <c r="F4" s="45">
        <v>0</v>
      </c>
      <c r="G4" s="45">
        <v>0</v>
      </c>
      <c r="H4" s="9">
        <f>D4+F4+'05-27-21'!H4</f>
        <v>0</v>
      </c>
      <c r="I4" s="9">
        <f>E4+G4+'05-27-21'!I4</f>
        <v>0</v>
      </c>
      <c r="J4" s="9">
        <f t="shared" ref="J4:J15" si="0">H4+I4</f>
        <v>0</v>
      </c>
      <c r="K4" s="9">
        <f t="shared" ref="K4:K15" si="1">C4-J4</f>
        <v>2229</v>
      </c>
      <c r="L4" s="9">
        <f t="shared" ref="L4:L15" si="2">C4-((J4/25)*26.0714285714285)</f>
        <v>2229</v>
      </c>
      <c r="M4" s="114"/>
    </row>
    <row r="5" spans="1:13" s="101" customFormat="1" ht="11.25" customHeight="1" x14ac:dyDescent="0.25">
      <c r="A5" s="58" t="s">
        <v>146</v>
      </c>
      <c r="B5" s="102">
        <v>55010601</v>
      </c>
      <c r="C5" s="103">
        <v>1069.95</v>
      </c>
      <c r="D5" s="9">
        <v>300</v>
      </c>
      <c r="E5" s="9">
        <v>5.69</v>
      </c>
      <c r="F5" s="9">
        <v>0</v>
      </c>
      <c r="G5" s="9">
        <v>0</v>
      </c>
      <c r="H5" s="9">
        <f>D5+F5+'05-27-21'!H5</f>
        <v>555</v>
      </c>
      <c r="I5" s="9">
        <f>E5+G5+'05-27-21'!I5</f>
        <v>10.530000000000001</v>
      </c>
      <c r="J5" s="9">
        <f t="shared" si="0"/>
        <v>565.53</v>
      </c>
      <c r="K5" s="9">
        <f t="shared" si="1"/>
        <v>504.42000000000007</v>
      </c>
      <c r="L5" s="9">
        <f t="shared" si="2"/>
        <v>480.1830000000017</v>
      </c>
      <c r="M5" s="114"/>
    </row>
    <row r="6" spans="1:13" s="92" customFormat="1" ht="11.25" customHeight="1" x14ac:dyDescent="0.25">
      <c r="A6" s="58" t="s">
        <v>40</v>
      </c>
      <c r="B6" s="102">
        <v>55020200</v>
      </c>
      <c r="C6" s="103">
        <f>24649+14202</f>
        <v>38851</v>
      </c>
      <c r="D6" s="55">
        <v>814.8</v>
      </c>
      <c r="E6" s="55">
        <v>15.47</v>
      </c>
      <c r="F6" s="55">
        <v>931.26</v>
      </c>
      <c r="G6" s="55">
        <v>48.42</v>
      </c>
      <c r="H6" s="9">
        <f>D6+F6+'05-27-21'!H6</f>
        <v>32673.300000000003</v>
      </c>
      <c r="I6" s="9">
        <f>E6+G6+'05-27-21'!I6</f>
        <v>1162.4800000000002</v>
      </c>
      <c r="J6" s="9">
        <f t="shared" si="0"/>
        <v>33835.780000000006</v>
      </c>
      <c r="K6" s="9">
        <f t="shared" si="1"/>
        <v>5015.2199999999939</v>
      </c>
      <c r="L6" s="9">
        <f t="shared" si="2"/>
        <v>3565.1151428572339</v>
      </c>
      <c r="M6" s="115"/>
    </row>
    <row r="7" spans="1:13" s="92" customFormat="1" ht="11.25" customHeight="1" x14ac:dyDescent="0.25">
      <c r="A7" s="22" t="s">
        <v>39</v>
      </c>
      <c r="B7" s="29">
        <v>55020300</v>
      </c>
      <c r="C7" s="9">
        <f>17974+9665</f>
        <v>27639</v>
      </c>
      <c r="D7" s="10">
        <f>-2.83+828.36</f>
        <v>825.53</v>
      </c>
      <c r="E7" s="10">
        <f>-0.05+15.7</f>
        <v>15.649999999999999</v>
      </c>
      <c r="F7" s="10">
        <v>240.63</v>
      </c>
      <c r="G7" s="10">
        <v>12.5</v>
      </c>
      <c r="H7" s="9">
        <f>D7+F7+'05-27-21'!H7</f>
        <v>20421.920000000002</v>
      </c>
      <c r="I7" s="9">
        <f>E7+G7+'05-27-21'!I7</f>
        <v>690.17</v>
      </c>
      <c r="J7" s="9">
        <f t="shared" si="0"/>
        <v>21112.09</v>
      </c>
      <c r="K7" s="9">
        <f t="shared" si="1"/>
        <v>6526.91</v>
      </c>
      <c r="L7" s="9">
        <f t="shared" si="2"/>
        <v>5622.1061428572029</v>
      </c>
      <c r="M7" s="115"/>
    </row>
    <row r="8" spans="1:13" s="92" customFormat="1" ht="11.25" customHeight="1" x14ac:dyDescent="0.25">
      <c r="A8" s="22" t="s">
        <v>38</v>
      </c>
      <c r="B8" s="29">
        <v>55020400</v>
      </c>
      <c r="C8" s="9">
        <f>17974+9665</f>
        <v>27639</v>
      </c>
      <c r="D8" s="10">
        <v>557.58000000000004</v>
      </c>
      <c r="E8" s="10">
        <v>10.59</v>
      </c>
      <c r="F8" s="10">
        <v>1347.5</v>
      </c>
      <c r="G8" s="10">
        <v>70.06</v>
      </c>
      <c r="H8" s="9">
        <f>D8+F8+'05-27-21'!H8</f>
        <v>16708.979999999996</v>
      </c>
      <c r="I8" s="9">
        <f>E8+G8+'05-27-21'!I8</f>
        <v>662.9</v>
      </c>
      <c r="J8" s="9">
        <f t="shared" si="0"/>
        <v>17371.879999999997</v>
      </c>
      <c r="K8" s="9">
        <f t="shared" si="1"/>
        <v>10267.120000000003</v>
      </c>
      <c r="L8" s="9">
        <f t="shared" si="2"/>
        <v>9522.6108571429104</v>
      </c>
      <c r="M8" s="115"/>
    </row>
    <row r="9" spans="1:13" s="92" customFormat="1" ht="11.25" customHeight="1" x14ac:dyDescent="0.25">
      <c r="A9" s="22" t="s">
        <v>92</v>
      </c>
      <c r="B9" s="29">
        <v>55030100</v>
      </c>
      <c r="C9" s="9">
        <v>2109</v>
      </c>
      <c r="D9" s="45">
        <v>0</v>
      </c>
      <c r="E9" s="45">
        <v>0</v>
      </c>
      <c r="F9" s="45">
        <v>0</v>
      </c>
      <c r="G9" s="45">
        <v>0</v>
      </c>
      <c r="H9" s="9">
        <f>D9+F9+'05-27-21'!H9</f>
        <v>841.91000000000008</v>
      </c>
      <c r="I9" s="9">
        <f>E9+G9+'05-27-21'!I9</f>
        <v>15.939999999999998</v>
      </c>
      <c r="J9" s="9">
        <f t="shared" si="0"/>
        <v>857.85000000000014</v>
      </c>
      <c r="K9" s="9">
        <f t="shared" si="1"/>
        <v>1251.1499999999999</v>
      </c>
      <c r="L9" s="9">
        <f t="shared" si="2"/>
        <v>1214.3850000000023</v>
      </c>
      <c r="M9" s="115"/>
    </row>
    <row r="10" spans="1:13" s="92" customFormat="1" ht="11.25" customHeight="1" x14ac:dyDescent="0.25">
      <c r="A10" s="54" t="s">
        <v>37</v>
      </c>
      <c r="B10" s="29">
        <v>55030200</v>
      </c>
      <c r="C10" s="9">
        <v>24330</v>
      </c>
      <c r="D10" s="10">
        <v>818.5</v>
      </c>
      <c r="E10" s="10">
        <v>15.54</v>
      </c>
      <c r="F10" s="10">
        <v>787.86</v>
      </c>
      <c r="G10" s="10">
        <v>40.96</v>
      </c>
      <c r="H10" s="9">
        <f>D10+F10+'05-27-21'!H10</f>
        <v>11573.810000000001</v>
      </c>
      <c r="I10" s="9">
        <f>E10+G10+'05-27-21'!I10</f>
        <v>283.17</v>
      </c>
      <c r="J10" s="9">
        <f t="shared" si="0"/>
        <v>11856.980000000001</v>
      </c>
      <c r="K10" s="9">
        <f t="shared" si="1"/>
        <v>12473.019999999999</v>
      </c>
      <c r="L10" s="9">
        <f t="shared" si="2"/>
        <v>11964.863714285748</v>
      </c>
      <c r="M10" s="123"/>
    </row>
    <row r="11" spans="1:13" s="92" customFormat="1" ht="11.25" customHeight="1" x14ac:dyDescent="0.25">
      <c r="A11" s="22" t="s">
        <v>36</v>
      </c>
      <c r="B11" s="29">
        <v>55050200</v>
      </c>
      <c r="C11" s="9">
        <f>34000+21500.29+3360</f>
        <v>58860.29</v>
      </c>
      <c r="D11" s="10">
        <f>202.85+2051.92</f>
        <v>2254.77</v>
      </c>
      <c r="E11" s="10">
        <f>3.85+38.97</f>
        <v>42.82</v>
      </c>
      <c r="F11" s="10">
        <v>2636.18</v>
      </c>
      <c r="G11" s="10">
        <v>137.08000000000001</v>
      </c>
      <c r="H11" s="9">
        <f>D11+F11+'05-27-21'!H11</f>
        <v>48395.189999999995</v>
      </c>
      <c r="I11" s="9">
        <f>E11+G11+'05-27-21'!I11</f>
        <v>1681.6299999999999</v>
      </c>
      <c r="J11" s="9">
        <f t="shared" si="0"/>
        <v>50076.819999999992</v>
      </c>
      <c r="K11" s="9">
        <f t="shared" si="1"/>
        <v>8783.4700000000084</v>
      </c>
      <c r="L11" s="9">
        <f t="shared" si="2"/>
        <v>6637.3205714287251</v>
      </c>
      <c r="M11" s="124"/>
    </row>
    <row r="12" spans="1:13" s="92" customFormat="1" ht="11.25" hidden="1" customHeight="1" x14ac:dyDescent="0.25">
      <c r="A12" s="22" t="s">
        <v>80</v>
      </c>
      <c r="B12" s="29">
        <v>55050300</v>
      </c>
      <c r="C12" s="97"/>
      <c r="D12" s="9"/>
      <c r="E12" s="9"/>
      <c r="F12" s="9"/>
      <c r="G12" s="9"/>
      <c r="H12" s="9">
        <f>D12+F12+'05-27-21'!H12</f>
        <v>-310</v>
      </c>
      <c r="I12" s="9">
        <f>E12+G12+'05-27-21'!I12</f>
        <v>-5.8900000000000006</v>
      </c>
      <c r="J12" s="9">
        <f t="shared" si="0"/>
        <v>-315.89</v>
      </c>
      <c r="K12" s="9">
        <f t="shared" si="1"/>
        <v>315.89</v>
      </c>
      <c r="L12" s="9">
        <f t="shared" si="2"/>
        <v>329.42814285714195</v>
      </c>
      <c r="M12" s="116"/>
    </row>
    <row r="13" spans="1:13" s="98" customFormat="1" ht="11.25" customHeight="1" x14ac:dyDescent="0.25">
      <c r="A13" s="22" t="s">
        <v>35</v>
      </c>
      <c r="B13" s="29">
        <v>55070100</v>
      </c>
      <c r="C13" s="9">
        <f>42741+9665</f>
        <v>52406</v>
      </c>
      <c r="D13" s="10">
        <f>127.04+1804.63</f>
        <v>1931.67</v>
      </c>
      <c r="E13" s="10">
        <f>2.41+34.28</f>
        <v>36.69</v>
      </c>
      <c r="F13" s="10">
        <v>1126.3510000000001</v>
      </c>
      <c r="G13" s="10">
        <v>58.56</v>
      </c>
      <c r="H13" s="9">
        <f>D13+F13+'05-27-21'!H13</f>
        <v>46073.520999999993</v>
      </c>
      <c r="I13" s="9">
        <f>E13+G13+'05-27-21'!I13</f>
        <v>1444.2099999999998</v>
      </c>
      <c r="J13" s="9">
        <f t="shared" si="0"/>
        <v>47517.730999999992</v>
      </c>
      <c r="K13" s="9">
        <f t="shared" si="1"/>
        <v>4888.2690000000075</v>
      </c>
      <c r="L13" s="9">
        <f t="shared" si="2"/>
        <v>2851.7948142858586</v>
      </c>
      <c r="M13" s="124"/>
    </row>
    <row r="14" spans="1:13" s="92" customFormat="1" ht="11.25" customHeight="1" x14ac:dyDescent="0.25">
      <c r="A14" s="22" t="s">
        <v>34</v>
      </c>
      <c r="B14" s="29">
        <v>55080100</v>
      </c>
      <c r="C14" s="9">
        <f>23173+1000</f>
        <v>24173</v>
      </c>
      <c r="D14" s="10">
        <v>518.91</v>
      </c>
      <c r="E14" s="10">
        <v>9.85</v>
      </c>
      <c r="F14" s="10">
        <v>0</v>
      </c>
      <c r="G14" s="10">
        <v>0</v>
      </c>
      <c r="H14" s="9">
        <f>D14+F14+'05-27-21'!H14</f>
        <v>22916.54</v>
      </c>
      <c r="I14" s="9">
        <f>E14+G14+'05-27-21'!I14</f>
        <v>435.28000000000003</v>
      </c>
      <c r="J14" s="9">
        <f t="shared" si="0"/>
        <v>23351.82</v>
      </c>
      <c r="K14" s="9">
        <f t="shared" si="1"/>
        <v>821.18000000000029</v>
      </c>
      <c r="L14" s="9">
        <f t="shared" si="2"/>
        <v>-179.61228571421816</v>
      </c>
      <c r="M14" s="123"/>
    </row>
    <row r="15" spans="1:13" s="99" customFormat="1" ht="11.25" customHeight="1" x14ac:dyDescent="0.25">
      <c r="A15" s="53" t="s">
        <v>33</v>
      </c>
      <c r="B15" s="33">
        <v>55190000</v>
      </c>
      <c r="C15" s="9">
        <v>6000</v>
      </c>
      <c r="D15" s="10">
        <v>41.6</v>
      </c>
      <c r="E15" s="10">
        <v>0.78</v>
      </c>
      <c r="F15" s="10">
        <v>450</v>
      </c>
      <c r="G15" s="10">
        <v>23.4</v>
      </c>
      <c r="H15" s="9">
        <f>D15+F15+'05-27-21'!H15</f>
        <v>2511.83</v>
      </c>
      <c r="I15" s="9">
        <f>E15+G15+'05-27-21'!I15</f>
        <v>69.41</v>
      </c>
      <c r="J15" s="9">
        <f t="shared" si="0"/>
        <v>2581.2399999999998</v>
      </c>
      <c r="K15" s="9">
        <f t="shared" si="1"/>
        <v>3418.76</v>
      </c>
      <c r="L15" s="9">
        <f t="shared" si="2"/>
        <v>3308.1354285714365</v>
      </c>
      <c r="M15" s="117"/>
    </row>
    <row r="16" spans="1:13" ht="21.6" customHeight="1" thickBot="1" x14ac:dyDescent="0.3">
      <c r="A16" s="155" t="s">
        <v>32</v>
      </c>
      <c r="B16" s="156"/>
      <c r="C16" s="49">
        <f t="shared" ref="C16:L16" si="3">SUM(C3:C15)</f>
        <v>269514.23999999999</v>
      </c>
      <c r="D16" s="7">
        <f t="shared" si="3"/>
        <v>8063.3600000000006</v>
      </c>
      <c r="E16" s="7">
        <f t="shared" si="3"/>
        <v>153.07999999999998</v>
      </c>
      <c r="F16" s="7">
        <f t="shared" si="3"/>
        <v>7519.7810000000009</v>
      </c>
      <c r="G16" s="7">
        <f t="shared" si="3"/>
        <v>390.98</v>
      </c>
      <c r="H16" s="9">
        <f>D16+F16+'05-27-21'!H16</f>
        <v>202362.00100000002</v>
      </c>
      <c r="I16" s="7">
        <f t="shared" si="3"/>
        <v>6449.83</v>
      </c>
      <c r="J16" s="49">
        <f t="shared" si="3"/>
        <v>208811.83099999998</v>
      </c>
      <c r="K16" s="49">
        <f t="shared" si="3"/>
        <v>60702.409000000014</v>
      </c>
      <c r="L16" s="7">
        <f t="shared" si="3"/>
        <v>51753.330528572042</v>
      </c>
    </row>
    <row r="17" spans="1:13" ht="11.25" customHeight="1" x14ac:dyDescent="0.25">
      <c r="A17" s="52"/>
      <c r="B17" s="41"/>
      <c r="C17" s="39"/>
      <c r="D17" s="39"/>
      <c r="E17" s="39"/>
      <c r="F17" s="39"/>
      <c r="G17" s="39"/>
      <c r="H17" s="39"/>
      <c r="I17" s="39"/>
      <c r="J17" s="39"/>
      <c r="K17" s="39"/>
      <c r="L17" s="51"/>
    </row>
    <row r="18" spans="1:13" ht="11.25" customHeight="1" thickBot="1" x14ac:dyDescent="0.3">
      <c r="A18" s="38"/>
      <c r="B18" s="37"/>
      <c r="C18" s="35"/>
      <c r="D18" s="35"/>
      <c r="E18" s="35"/>
      <c r="F18" s="35"/>
      <c r="G18" s="35"/>
      <c r="H18" s="35"/>
      <c r="I18" s="35"/>
      <c r="J18" s="35"/>
      <c r="K18" s="35"/>
      <c r="L18" s="50"/>
    </row>
    <row r="19" spans="1:13" s="92" customFormat="1" ht="11.45" customHeight="1" x14ac:dyDescent="0.25">
      <c r="A19" s="13" t="s">
        <v>31</v>
      </c>
      <c r="B19" s="33">
        <v>55090100</v>
      </c>
      <c r="C19" s="9">
        <v>26923</v>
      </c>
      <c r="D19" s="45">
        <v>0</v>
      </c>
      <c r="E19" s="45">
        <v>0</v>
      </c>
      <c r="F19" s="45">
        <f>18.15</f>
        <v>18.149999999999999</v>
      </c>
      <c r="G19" s="45">
        <f>0.94</f>
        <v>0.94</v>
      </c>
      <c r="H19" s="9">
        <f>D19+F19+'05-27-21'!H19</f>
        <v>13521.15</v>
      </c>
      <c r="I19" s="9">
        <f>E19+G19+'05-27-21'!I19</f>
        <v>703.07999999999993</v>
      </c>
      <c r="J19" s="9">
        <f t="shared" ref="J19:J21" si="4">H19+I19</f>
        <v>14224.23</v>
      </c>
      <c r="K19" s="9">
        <f>C19-J19</f>
        <v>12698.77</v>
      </c>
      <c r="L19" s="9">
        <f t="shared" ref="L19:L21" si="5">C19-((J19/25)*26.0714285714285)</f>
        <v>12089.160142857185</v>
      </c>
      <c r="M19" s="115"/>
    </row>
    <row r="20" spans="1:13" s="92" customFormat="1" ht="11.45" customHeight="1" x14ac:dyDescent="0.25">
      <c r="A20" s="22" t="s">
        <v>30</v>
      </c>
      <c r="B20" s="29">
        <v>55160100</v>
      </c>
      <c r="C20" s="9">
        <f>16062-2109</f>
        <v>13953</v>
      </c>
      <c r="D20" s="45">
        <v>0</v>
      </c>
      <c r="E20" s="45">
        <v>0</v>
      </c>
      <c r="F20" s="45">
        <v>0</v>
      </c>
      <c r="G20" s="45">
        <v>0</v>
      </c>
      <c r="H20" s="9">
        <f>D20+F20+'05-27-21'!H20</f>
        <v>0</v>
      </c>
      <c r="I20" s="9">
        <f>E20+G20+'05-27-21'!I20</f>
        <v>0</v>
      </c>
      <c r="J20" s="9">
        <f t="shared" si="4"/>
        <v>0</v>
      </c>
      <c r="K20" s="9">
        <f t="shared" ref="K20:K21" si="6">C20-J20</f>
        <v>13953</v>
      </c>
      <c r="L20" s="9">
        <f t="shared" si="5"/>
        <v>13953</v>
      </c>
      <c r="M20" s="115"/>
    </row>
    <row r="21" spans="1:13" s="92" customFormat="1" ht="11.45" customHeight="1" x14ac:dyDescent="0.25">
      <c r="A21" s="13" t="s">
        <v>29</v>
      </c>
      <c r="B21" s="33">
        <v>55100100</v>
      </c>
      <c r="C21" s="9">
        <v>2026</v>
      </c>
      <c r="D21" s="45">
        <v>0</v>
      </c>
      <c r="E21" s="45">
        <v>0</v>
      </c>
      <c r="F21" s="45">
        <v>0</v>
      </c>
      <c r="G21" s="45">
        <v>0</v>
      </c>
      <c r="H21" s="9">
        <f>D21+F21+'05-27-21'!H21</f>
        <v>936.46</v>
      </c>
      <c r="I21" s="9">
        <f>E21+G21+'05-27-21'!I21</f>
        <v>16.864999999999998</v>
      </c>
      <c r="J21" s="9">
        <f t="shared" si="4"/>
        <v>953.32500000000005</v>
      </c>
      <c r="K21" s="9">
        <f t="shared" si="6"/>
        <v>1072.675</v>
      </c>
      <c r="L21" s="9">
        <f t="shared" si="5"/>
        <v>1031.818214285717</v>
      </c>
      <c r="M21" s="115"/>
    </row>
    <row r="22" spans="1:13" ht="21.6" customHeight="1" thickBot="1" x14ac:dyDescent="0.3">
      <c r="A22" s="155" t="s">
        <v>28</v>
      </c>
      <c r="B22" s="156"/>
      <c r="C22" s="7">
        <f t="shared" ref="C22:L22" si="7">SUM(C19:C21)</f>
        <v>42902</v>
      </c>
      <c r="D22" s="7">
        <f t="shared" si="7"/>
        <v>0</v>
      </c>
      <c r="E22" s="7">
        <f t="shared" si="7"/>
        <v>0</v>
      </c>
      <c r="F22" s="7">
        <f t="shared" si="7"/>
        <v>18.149999999999999</v>
      </c>
      <c r="G22" s="7">
        <f t="shared" si="7"/>
        <v>0.94</v>
      </c>
      <c r="H22" s="7">
        <f t="shared" si="7"/>
        <v>14457.61</v>
      </c>
      <c r="I22" s="7">
        <f t="shared" si="7"/>
        <v>719.94499999999994</v>
      </c>
      <c r="J22" s="49">
        <f t="shared" si="7"/>
        <v>15177.555</v>
      </c>
      <c r="K22" s="7">
        <f t="shared" si="7"/>
        <v>27724.445</v>
      </c>
      <c r="L22" s="7">
        <f t="shared" si="7"/>
        <v>27073.978357142903</v>
      </c>
    </row>
    <row r="23" spans="1:13" ht="11.25" customHeight="1" x14ac:dyDescent="0.25">
      <c r="A23" s="42"/>
      <c r="B23" s="41"/>
      <c r="C23" s="39"/>
      <c r="D23" s="39"/>
      <c r="E23" s="39"/>
      <c r="F23" s="39"/>
      <c r="G23" s="39"/>
      <c r="H23" s="39"/>
      <c r="I23" s="39"/>
      <c r="J23" s="39"/>
      <c r="K23" s="39"/>
      <c r="L23" s="51"/>
    </row>
    <row r="24" spans="1:13" ht="11.25" customHeight="1" thickBot="1" x14ac:dyDescent="0.3">
      <c r="A24" s="38"/>
      <c r="B24" s="37"/>
      <c r="C24" s="35"/>
      <c r="D24" s="35"/>
      <c r="E24" s="35"/>
      <c r="F24" s="35"/>
      <c r="G24" s="35"/>
      <c r="H24" s="35"/>
      <c r="I24" s="35"/>
      <c r="J24" s="35"/>
      <c r="K24" s="35"/>
      <c r="L24" s="50"/>
    </row>
    <row r="25" spans="1:13" s="99" customFormat="1" ht="11.45" customHeight="1" x14ac:dyDescent="0.25">
      <c r="A25" s="13" t="s">
        <v>27</v>
      </c>
      <c r="B25" s="33">
        <v>55200000</v>
      </c>
      <c r="C25" s="9">
        <v>25000</v>
      </c>
      <c r="D25" s="10">
        <v>251.25</v>
      </c>
      <c r="E25" s="10">
        <v>4.7699999999999996</v>
      </c>
      <c r="F25" s="10">
        <v>0</v>
      </c>
      <c r="G25" s="10">
        <v>0</v>
      </c>
      <c r="H25" s="9">
        <f>D25+F25+'05-27-21'!H25</f>
        <v>11557.5</v>
      </c>
      <c r="I25" s="9">
        <f>E25+G25+'05-27-21'!I25</f>
        <v>219.47000000000003</v>
      </c>
      <c r="J25" s="9">
        <f t="shared" ref="J25:J27" si="8">H25+I25</f>
        <v>11776.97</v>
      </c>
      <c r="K25" s="9">
        <f>C25-J25</f>
        <v>13223.03</v>
      </c>
      <c r="L25" s="9">
        <f t="shared" ref="L25:L28" si="9">C25-((J25/25)*26.0714285714285)</f>
        <v>12718.302714285748</v>
      </c>
      <c r="M25" s="118"/>
    </row>
    <row r="26" spans="1:13" s="99" customFormat="1" ht="11.45" hidden="1" customHeight="1" x14ac:dyDescent="0.25">
      <c r="A26" s="13" t="s">
        <v>26</v>
      </c>
      <c r="B26" s="100" t="s">
        <v>25</v>
      </c>
      <c r="C26" s="46">
        <v>0</v>
      </c>
      <c r="D26" s="45"/>
      <c r="E26" s="45"/>
      <c r="F26" s="45"/>
      <c r="G26" s="45"/>
      <c r="H26" s="9">
        <f>D26+F26+'05-27-21'!H26</f>
        <v>0</v>
      </c>
      <c r="I26" s="9">
        <f>E26+G26+'05-27-21'!I26</f>
        <v>-9.9999999999997868E-3</v>
      </c>
      <c r="J26" s="9">
        <f t="shared" si="8"/>
        <v>-9.9999999999997868E-3</v>
      </c>
      <c r="K26" s="75">
        <f t="shared" ref="K26:K27" si="10">C26-J26</f>
        <v>9.9999999999997868E-3</v>
      </c>
      <c r="L26" s="9">
        <f t="shared" si="9"/>
        <v>1.0428571428571176E-2</v>
      </c>
      <c r="M26" s="118"/>
    </row>
    <row r="27" spans="1:13" s="99" customFormat="1" ht="10.9" customHeight="1" x14ac:dyDescent="0.25">
      <c r="A27" s="28" t="s">
        <v>24</v>
      </c>
      <c r="B27" s="47" t="s">
        <v>23</v>
      </c>
      <c r="C27" s="46">
        <v>0</v>
      </c>
      <c r="D27" s="45">
        <v>0</v>
      </c>
      <c r="E27" s="45">
        <v>0</v>
      </c>
      <c r="F27" s="45">
        <v>0</v>
      </c>
      <c r="G27" s="45">
        <v>0</v>
      </c>
      <c r="H27" s="9">
        <f>D27+F27+'05-27-21'!H27</f>
        <v>0</v>
      </c>
      <c r="I27" s="9">
        <f>E27+G27+'05-27-21'!I27</f>
        <v>0</v>
      </c>
      <c r="J27" s="9">
        <f t="shared" si="8"/>
        <v>0</v>
      </c>
      <c r="K27" s="9">
        <f t="shared" si="10"/>
        <v>0</v>
      </c>
      <c r="L27" s="9">
        <f t="shared" si="9"/>
        <v>0</v>
      </c>
      <c r="M27" s="117"/>
    </row>
    <row r="28" spans="1:13" s="99" customFormat="1" ht="10.9" customHeight="1" x14ac:dyDescent="0.25">
      <c r="A28" s="136" t="s">
        <v>12</v>
      </c>
      <c r="B28" s="137">
        <v>55110100</v>
      </c>
      <c r="C28" s="46">
        <f>2659+6100+5341</f>
        <v>14100</v>
      </c>
      <c r="D28" s="45">
        <v>0</v>
      </c>
      <c r="E28" s="45">
        <v>0</v>
      </c>
      <c r="F28" s="45">
        <v>0</v>
      </c>
      <c r="G28" s="45">
        <v>0</v>
      </c>
      <c r="H28" s="9">
        <f>D28+F28+'05-27-21'!H28</f>
        <v>11782.5</v>
      </c>
      <c r="I28" s="9">
        <f>E28+G28+'05-27-21'!I28</f>
        <v>511.7</v>
      </c>
      <c r="J28" s="9">
        <f>H28+I28</f>
        <v>12294.2</v>
      </c>
      <c r="K28" s="9">
        <f>C28-J28</f>
        <v>1805.7999999999993</v>
      </c>
      <c r="L28" s="9">
        <f t="shared" si="9"/>
        <v>1278.9057142857491</v>
      </c>
      <c r="M28" s="117"/>
    </row>
    <row r="29" spans="1:13" ht="24.75" customHeight="1" thickBot="1" x14ac:dyDescent="0.3">
      <c r="A29" s="157" t="s">
        <v>22</v>
      </c>
      <c r="B29" s="158"/>
      <c r="C29" s="43">
        <f>SUM(C25:C26)</f>
        <v>25000</v>
      </c>
      <c r="D29" s="43">
        <f t="shared" ref="D29:L29" si="11">SUM(D25:D27)</f>
        <v>251.25</v>
      </c>
      <c r="E29" s="43">
        <f t="shared" si="11"/>
        <v>4.7699999999999996</v>
      </c>
      <c r="F29" s="43">
        <f t="shared" si="11"/>
        <v>0</v>
      </c>
      <c r="G29" s="43">
        <f t="shared" si="11"/>
        <v>0</v>
      </c>
      <c r="H29" s="43">
        <f t="shared" si="11"/>
        <v>11557.5</v>
      </c>
      <c r="I29" s="43">
        <f t="shared" si="11"/>
        <v>219.46000000000004</v>
      </c>
      <c r="J29" s="43">
        <f t="shared" si="11"/>
        <v>11776.96</v>
      </c>
      <c r="K29" s="43">
        <f t="shared" si="11"/>
        <v>13223.04</v>
      </c>
      <c r="L29" s="34">
        <f t="shared" si="11"/>
        <v>12718.313142857176</v>
      </c>
    </row>
    <row r="30" spans="1:13" ht="11.25" customHeight="1" x14ac:dyDescent="0.25">
      <c r="A30" s="42"/>
      <c r="B30" s="41"/>
      <c r="C30" s="39"/>
      <c r="D30" s="39"/>
      <c r="E30" s="39"/>
      <c r="F30" s="39"/>
      <c r="G30" s="39"/>
      <c r="H30" s="39"/>
      <c r="I30" s="39"/>
      <c r="J30" s="39"/>
      <c r="K30" s="39"/>
      <c r="L30" s="39"/>
    </row>
    <row r="31" spans="1:13" ht="11.25" customHeight="1" thickBot="1" x14ac:dyDescent="0.3">
      <c r="A31" s="38"/>
      <c r="B31" s="37"/>
      <c r="C31" s="35"/>
      <c r="D31" s="35"/>
      <c r="E31" s="35"/>
      <c r="F31" s="35"/>
      <c r="G31" s="35"/>
      <c r="H31" s="35"/>
      <c r="I31" s="35"/>
      <c r="J31" s="35"/>
      <c r="K31" s="35"/>
      <c r="L31" s="35"/>
    </row>
    <row r="32" spans="1:13" ht="21.6" customHeight="1" x14ac:dyDescent="0.25">
      <c r="A32" s="159" t="s">
        <v>21</v>
      </c>
      <c r="B32" s="159"/>
      <c r="C32" s="34">
        <f>C16+C22+C29</f>
        <v>337416.24</v>
      </c>
      <c r="D32" s="34">
        <f t="shared" ref="D32:L32" si="12">D16+D22+D29</f>
        <v>8314.61</v>
      </c>
      <c r="E32" s="34">
        <f t="shared" si="12"/>
        <v>157.85</v>
      </c>
      <c r="F32" s="34">
        <f t="shared" si="12"/>
        <v>7537.9310000000005</v>
      </c>
      <c r="G32" s="34">
        <f t="shared" si="12"/>
        <v>391.92</v>
      </c>
      <c r="H32" s="34">
        <f t="shared" si="12"/>
        <v>228377.11100000003</v>
      </c>
      <c r="I32" s="34">
        <f t="shared" si="12"/>
        <v>7389.2349999999997</v>
      </c>
      <c r="J32" s="34">
        <f t="shared" si="12"/>
        <v>235766.34599999996</v>
      </c>
      <c r="K32" s="34">
        <f t="shared" si="12"/>
        <v>101649.89400000003</v>
      </c>
      <c r="L32" s="34">
        <f t="shared" si="12"/>
        <v>91545.622028572121</v>
      </c>
    </row>
    <row r="33" spans="1:13" ht="10.9" customHeight="1" x14ac:dyDescent="0.25">
      <c r="A33" s="17"/>
      <c r="B33" s="16"/>
      <c r="C33" s="15"/>
      <c r="D33" s="15"/>
      <c r="E33" s="15"/>
      <c r="F33" s="15"/>
      <c r="G33" s="15"/>
      <c r="H33" s="15"/>
      <c r="I33" s="15"/>
      <c r="J33" s="15"/>
      <c r="K33" s="15"/>
      <c r="L33" s="15"/>
    </row>
    <row r="34" spans="1:13" ht="11.25" customHeight="1" x14ac:dyDescent="0.25">
      <c r="A34" s="17"/>
      <c r="B34" s="16"/>
      <c r="C34" s="15"/>
      <c r="D34" s="15"/>
      <c r="E34" s="15"/>
      <c r="F34" s="15"/>
      <c r="G34" s="15"/>
      <c r="H34" s="15"/>
      <c r="I34" s="15"/>
      <c r="J34" s="15"/>
      <c r="K34" s="15"/>
      <c r="L34" s="15"/>
    </row>
    <row r="35" spans="1:13" s="104" customFormat="1" ht="11.25" customHeight="1" x14ac:dyDescent="0.25">
      <c r="A35" s="28" t="s">
        <v>20</v>
      </c>
      <c r="B35" s="27" t="s">
        <v>19</v>
      </c>
      <c r="C35" s="9">
        <v>0</v>
      </c>
      <c r="D35" s="45">
        <v>0</v>
      </c>
      <c r="E35" s="45">
        <v>0</v>
      </c>
      <c r="F35" s="45">
        <v>0</v>
      </c>
      <c r="G35" s="45">
        <v>0</v>
      </c>
      <c r="H35" s="9">
        <f>D35+F35+'05-27-21'!H35</f>
        <v>0</v>
      </c>
      <c r="I35" s="9">
        <f>E35+G35+'05-27-21'!I35</f>
        <v>0</v>
      </c>
      <c r="J35" s="9">
        <f t="shared" ref="J35:J53" si="13">H35+I35</f>
        <v>0</v>
      </c>
      <c r="K35" s="9">
        <f>C35-J35</f>
        <v>0</v>
      </c>
      <c r="L35" s="9">
        <f t="shared" ref="L35:L42" si="14">C35-((J35/25)*26.0714285714285)</f>
        <v>0</v>
      </c>
      <c r="M35" s="119"/>
    </row>
    <row r="36" spans="1:13" s="104" customFormat="1" ht="11.25" customHeight="1" x14ac:dyDescent="0.25">
      <c r="A36" s="32" t="s">
        <v>123</v>
      </c>
      <c r="B36" s="132" t="s">
        <v>55</v>
      </c>
      <c r="C36" s="9">
        <f>2795.22+12000</f>
        <v>14795.22</v>
      </c>
      <c r="D36" s="10">
        <v>20</v>
      </c>
      <c r="E36" s="10">
        <v>0.38</v>
      </c>
      <c r="F36" s="10">
        <v>690.5</v>
      </c>
      <c r="G36" s="10">
        <v>35.9</v>
      </c>
      <c r="H36" s="9">
        <f>D36+F36+'05-27-21'!H36</f>
        <v>8980.5</v>
      </c>
      <c r="I36" s="9">
        <f>E36+G36+'05-27-21'!I36</f>
        <v>414.5</v>
      </c>
      <c r="J36" s="9">
        <f>H36+I36</f>
        <v>9395</v>
      </c>
      <c r="K36" s="9">
        <f>C36-J36</f>
        <v>5400.2199999999993</v>
      </c>
      <c r="L36" s="9">
        <f t="shared" si="14"/>
        <v>4997.5771428571697</v>
      </c>
      <c r="M36" s="129"/>
    </row>
    <row r="37" spans="1:13" s="104" customFormat="1" ht="11.25" hidden="1" customHeight="1" x14ac:dyDescent="0.25">
      <c r="A37" s="32" t="s">
        <v>18</v>
      </c>
      <c r="B37" s="27" t="s">
        <v>17</v>
      </c>
      <c r="C37" s="105">
        <v>0</v>
      </c>
      <c r="D37" s="10"/>
      <c r="E37" s="10"/>
      <c r="F37" s="10"/>
      <c r="G37" s="10"/>
      <c r="H37" s="9">
        <f>D37+F37+'05-27-21'!H37</f>
        <v>0</v>
      </c>
      <c r="I37" s="9">
        <f>E37+G37+'05-27-21'!I37</f>
        <v>-1.0000000000005116E-2</v>
      </c>
      <c r="J37" s="9">
        <f t="shared" si="13"/>
        <v>-1.0000000000005116E-2</v>
      </c>
      <c r="K37" s="9">
        <f t="shared" ref="K37:K49" si="15">C37-J37</f>
        <v>1.0000000000005116E-2</v>
      </c>
      <c r="L37" s="9">
        <f t="shared" si="14"/>
        <v>1.0428571428576736E-2</v>
      </c>
      <c r="M37" s="119"/>
    </row>
    <row r="38" spans="1:13" s="106" customFormat="1" ht="11.25" customHeight="1" x14ac:dyDescent="0.25">
      <c r="A38" s="28" t="s">
        <v>16</v>
      </c>
      <c r="B38" s="29" t="s">
        <v>15</v>
      </c>
      <c r="C38" s="9">
        <v>0</v>
      </c>
      <c r="D38" s="45">
        <v>0</v>
      </c>
      <c r="E38" s="45">
        <v>0</v>
      </c>
      <c r="F38" s="45">
        <v>0</v>
      </c>
      <c r="G38" s="45">
        <v>0</v>
      </c>
      <c r="H38" s="9">
        <f>D38+F38+'05-27-21'!H38</f>
        <v>0</v>
      </c>
      <c r="I38" s="9">
        <f>E38+G38+'05-27-21'!I38</f>
        <v>0</v>
      </c>
      <c r="J38" s="9">
        <f t="shared" si="13"/>
        <v>0</v>
      </c>
      <c r="K38" s="9">
        <f t="shared" si="15"/>
        <v>0</v>
      </c>
      <c r="L38" s="9">
        <f t="shared" si="14"/>
        <v>0</v>
      </c>
      <c r="M38" s="120"/>
    </row>
    <row r="39" spans="1:13" s="106" customFormat="1" ht="11.25" customHeight="1" x14ac:dyDescent="0.25">
      <c r="A39" s="28" t="s">
        <v>150</v>
      </c>
      <c r="B39" s="132" t="s">
        <v>13</v>
      </c>
      <c r="C39" s="9">
        <f>2500</f>
        <v>2500</v>
      </c>
      <c r="D39" s="9">
        <v>31.36</v>
      </c>
      <c r="E39" s="9">
        <v>0.59</v>
      </c>
      <c r="F39" s="9">
        <v>0</v>
      </c>
      <c r="G39" s="9">
        <v>0</v>
      </c>
      <c r="H39" s="9">
        <f>D39+F39+'05-27-21'!H39</f>
        <v>1854.2399999999996</v>
      </c>
      <c r="I39" s="9">
        <f>E39+G39+'05-27-21'!I39</f>
        <v>35.089999999999996</v>
      </c>
      <c r="J39" s="10">
        <f t="shared" si="13"/>
        <v>1889.3299999999995</v>
      </c>
      <c r="K39" s="9">
        <f t="shared" si="15"/>
        <v>610.67000000000053</v>
      </c>
      <c r="L39" s="9">
        <f t="shared" si="14"/>
        <v>529.69871428572014</v>
      </c>
      <c r="M39" s="116"/>
    </row>
    <row r="40" spans="1:13" s="106" customFormat="1" ht="11.25" customHeight="1" x14ac:dyDescent="0.25">
      <c r="A40" s="28" t="s">
        <v>11</v>
      </c>
      <c r="B40" s="27" t="s">
        <v>10</v>
      </c>
      <c r="C40" s="9">
        <v>0</v>
      </c>
      <c r="D40" s="45">
        <v>0</v>
      </c>
      <c r="E40" s="45">
        <v>0</v>
      </c>
      <c r="F40" s="45">
        <v>0</v>
      </c>
      <c r="G40" s="45">
        <v>0</v>
      </c>
      <c r="H40" s="9">
        <f>D40+F40+'05-27-21'!H40</f>
        <v>0</v>
      </c>
      <c r="I40" s="9">
        <f>E40+G40+'05-27-21'!I40</f>
        <v>0</v>
      </c>
      <c r="J40" s="9">
        <f t="shared" si="13"/>
        <v>0</v>
      </c>
      <c r="K40" s="9">
        <f t="shared" si="15"/>
        <v>0</v>
      </c>
      <c r="L40" s="9">
        <f t="shared" si="14"/>
        <v>0</v>
      </c>
      <c r="M40" s="126"/>
    </row>
    <row r="41" spans="1:13" s="106" customFormat="1" ht="11.25" customHeight="1" x14ac:dyDescent="0.25">
      <c r="A41" s="25" t="s">
        <v>105</v>
      </c>
      <c r="B41" s="108" t="s">
        <v>69</v>
      </c>
      <c r="C41" s="9">
        <v>1500</v>
      </c>
      <c r="D41" s="45">
        <v>0</v>
      </c>
      <c r="E41" s="45">
        <v>0</v>
      </c>
      <c r="F41" s="45">
        <v>0</v>
      </c>
      <c r="G41" s="45">
        <v>0</v>
      </c>
      <c r="H41" s="9">
        <f>D41+F41+'05-27-21'!H41</f>
        <v>1122.3499999999997</v>
      </c>
      <c r="I41" s="9">
        <f>E41+G41+'05-27-21'!I41</f>
        <v>21.117000000000004</v>
      </c>
      <c r="J41" s="9">
        <f t="shared" si="13"/>
        <v>1143.4669999999996</v>
      </c>
      <c r="K41" s="9">
        <f t="shared" si="15"/>
        <v>356.53300000000036</v>
      </c>
      <c r="L41" s="9">
        <f t="shared" si="14"/>
        <v>307.52727142857498</v>
      </c>
      <c r="M41" s="126"/>
    </row>
    <row r="42" spans="1:13" s="106" customFormat="1" ht="11.45" customHeight="1" x14ac:dyDescent="0.25">
      <c r="A42" s="25" t="s">
        <v>89</v>
      </c>
      <c r="B42" s="108" t="s">
        <v>88</v>
      </c>
      <c r="C42" s="9">
        <v>1200</v>
      </c>
      <c r="D42" s="45">
        <v>0</v>
      </c>
      <c r="E42" s="45">
        <v>0</v>
      </c>
      <c r="F42" s="45">
        <v>0</v>
      </c>
      <c r="G42" s="45">
        <v>0</v>
      </c>
      <c r="H42" s="9">
        <f>D42+F42+'05-27-21'!H42</f>
        <v>633.79999999999995</v>
      </c>
      <c r="I42" s="9">
        <f>E42+G42+'05-27-21'!I42</f>
        <v>11.979999999999999</v>
      </c>
      <c r="J42" s="9">
        <f t="shared" si="13"/>
        <v>645.78</v>
      </c>
      <c r="K42" s="9">
        <f>C42-J42</f>
        <v>554.22</v>
      </c>
      <c r="L42" s="9">
        <f t="shared" si="14"/>
        <v>526.54371428571619</v>
      </c>
      <c r="M42" s="120"/>
    </row>
    <row r="43" spans="1:13" s="98" customFormat="1" ht="11.45" customHeight="1" x14ac:dyDescent="0.25">
      <c r="A43" s="25" t="s">
        <v>61</v>
      </c>
      <c r="B43" s="108" t="s">
        <v>62</v>
      </c>
      <c r="C43" s="9">
        <f>9800+1200+450+22.83</f>
        <v>11472.83</v>
      </c>
      <c r="D43" s="45">
        <v>0</v>
      </c>
      <c r="E43" s="45">
        <v>0</v>
      </c>
      <c r="F43" s="45">
        <v>0</v>
      </c>
      <c r="G43" s="45">
        <v>0</v>
      </c>
      <c r="H43" s="9">
        <f>D43+F43+'05-27-21'!H43</f>
        <v>11025</v>
      </c>
      <c r="I43" s="9">
        <f>E43+G43+'05-27-21'!I43</f>
        <v>447.83</v>
      </c>
      <c r="J43" s="9">
        <f t="shared" si="13"/>
        <v>11472.83</v>
      </c>
      <c r="K43" s="9">
        <f>C43-J43</f>
        <v>0</v>
      </c>
      <c r="L43" s="9">
        <f>C43-((J43/26.0714285714285)*26.0714285714285)</f>
        <v>0</v>
      </c>
      <c r="M43" s="116"/>
    </row>
    <row r="44" spans="1:13" s="98" customFormat="1" ht="11.45" customHeight="1" x14ac:dyDescent="0.25">
      <c r="A44" s="25" t="s">
        <v>59</v>
      </c>
      <c r="B44" s="108" t="s">
        <v>60</v>
      </c>
      <c r="C44" s="9">
        <f>2453.12+2598.45+16442.41</f>
        <v>21493.98</v>
      </c>
      <c r="D44" s="109">
        <v>30</v>
      </c>
      <c r="E44" s="109">
        <v>0.56999999999999995</v>
      </c>
      <c r="F44" s="109">
        <v>0</v>
      </c>
      <c r="G44" s="109">
        <v>0</v>
      </c>
      <c r="H44" s="9">
        <f>D44+F44+'05-27-21'!H44</f>
        <v>5573.83</v>
      </c>
      <c r="I44" s="9">
        <f>E44+G44+'05-27-21'!I44</f>
        <v>105.78999999999998</v>
      </c>
      <c r="J44" s="9">
        <f t="shared" si="13"/>
        <v>5679.62</v>
      </c>
      <c r="K44" s="9">
        <f>C44-J44</f>
        <v>15814.36</v>
      </c>
      <c r="L44" s="9">
        <f t="shared" ref="L44:L53" si="16">C44-((J44/25)*26.0714285714285)</f>
        <v>15570.94771428573</v>
      </c>
      <c r="M44" s="116"/>
    </row>
    <row r="45" spans="1:13" s="98" customFormat="1" ht="11.45" customHeight="1" x14ac:dyDescent="0.25">
      <c r="A45" s="25" t="s">
        <v>70</v>
      </c>
      <c r="B45" s="108" t="s">
        <v>71</v>
      </c>
      <c r="C45" s="9">
        <v>5600</v>
      </c>
      <c r="D45" s="45">
        <v>0</v>
      </c>
      <c r="E45" s="45">
        <v>0</v>
      </c>
      <c r="F45" s="45">
        <v>0</v>
      </c>
      <c r="G45" s="45">
        <v>0</v>
      </c>
      <c r="H45" s="9">
        <f>D45+F45+'05-27-21'!H45</f>
        <v>4041.7000000000003</v>
      </c>
      <c r="I45" s="9">
        <f>E45+G45+'05-27-21'!I45</f>
        <v>76.720000000000013</v>
      </c>
      <c r="J45" s="9">
        <f t="shared" si="13"/>
        <v>4118.42</v>
      </c>
      <c r="K45" s="9">
        <f t="shared" ref="K45" si="17">C45-J45</f>
        <v>1481.58</v>
      </c>
      <c r="L45" s="9">
        <f t="shared" si="16"/>
        <v>1305.0762857142972</v>
      </c>
      <c r="M45" s="116"/>
    </row>
    <row r="46" spans="1:13" s="98" customFormat="1" ht="11.45" customHeight="1" x14ac:dyDescent="0.25">
      <c r="A46" s="25" t="s">
        <v>7</v>
      </c>
      <c r="B46" s="108" t="s">
        <v>6</v>
      </c>
      <c r="C46" s="9">
        <v>1609.56</v>
      </c>
      <c r="D46" s="45">
        <v>0</v>
      </c>
      <c r="E46" s="45">
        <v>0</v>
      </c>
      <c r="F46" s="45">
        <v>0</v>
      </c>
      <c r="G46" s="45">
        <v>0</v>
      </c>
      <c r="H46" s="9">
        <f>D46+F46+'05-27-21'!H46</f>
        <v>1267.5</v>
      </c>
      <c r="I46" s="9">
        <f>E46+G46+'05-27-21'!I46</f>
        <v>24.05</v>
      </c>
      <c r="J46" s="9">
        <f t="shared" si="13"/>
        <v>1291.55</v>
      </c>
      <c r="K46" s="9">
        <f>C46-J46</f>
        <v>318.01</v>
      </c>
      <c r="L46" s="9">
        <f t="shared" si="16"/>
        <v>262.65785714286085</v>
      </c>
      <c r="M46" s="116"/>
    </row>
    <row r="47" spans="1:13" s="98" customFormat="1" ht="11.45" customHeight="1" x14ac:dyDescent="0.25">
      <c r="A47" s="25" t="s">
        <v>9</v>
      </c>
      <c r="B47" s="108" t="s">
        <v>8</v>
      </c>
      <c r="C47" s="9">
        <v>0</v>
      </c>
      <c r="D47" s="45">
        <v>0</v>
      </c>
      <c r="E47" s="45">
        <v>0</v>
      </c>
      <c r="F47" s="45">
        <v>0</v>
      </c>
      <c r="G47" s="45">
        <v>0</v>
      </c>
      <c r="H47" s="9">
        <f>D47+F47+'05-27-21'!H47</f>
        <v>0</v>
      </c>
      <c r="I47" s="9">
        <f>E47+G47+'05-27-21'!I47</f>
        <v>0</v>
      </c>
      <c r="J47" s="9">
        <f t="shared" si="13"/>
        <v>0</v>
      </c>
      <c r="K47" s="9">
        <f t="shared" si="15"/>
        <v>0</v>
      </c>
      <c r="L47" s="9">
        <f t="shared" si="16"/>
        <v>0</v>
      </c>
      <c r="M47" s="116"/>
    </row>
    <row r="48" spans="1:13" s="98" customFormat="1" ht="11.45" customHeight="1" x14ac:dyDescent="0.25">
      <c r="A48" s="25" t="s">
        <v>63</v>
      </c>
      <c r="B48" s="108" t="s">
        <v>66</v>
      </c>
      <c r="C48" s="9">
        <v>1784.19</v>
      </c>
      <c r="D48" s="45">
        <v>0</v>
      </c>
      <c r="E48" s="45">
        <v>0</v>
      </c>
      <c r="F48" s="45">
        <v>0</v>
      </c>
      <c r="G48" s="45">
        <v>0</v>
      </c>
      <c r="H48" s="9">
        <f>D48+F48+'05-27-21'!H48</f>
        <v>1504</v>
      </c>
      <c r="I48" s="9">
        <f>E48+G48+'05-27-21'!I48</f>
        <v>78.179999999999993</v>
      </c>
      <c r="J48" s="9">
        <f t="shared" si="13"/>
        <v>1582.18</v>
      </c>
      <c r="K48" s="9">
        <f t="shared" si="15"/>
        <v>202.01</v>
      </c>
      <c r="L48" s="9">
        <f t="shared" si="16"/>
        <v>134.20228571429016</v>
      </c>
      <c r="M48" s="116"/>
    </row>
    <row r="49" spans="1:13" s="98" customFormat="1" ht="11.45" hidden="1" customHeight="1" x14ac:dyDescent="0.25">
      <c r="A49" s="25" t="s">
        <v>64</v>
      </c>
      <c r="B49" s="108" t="s">
        <v>65</v>
      </c>
      <c r="C49" s="97"/>
      <c r="D49" s="45">
        <v>0</v>
      </c>
      <c r="E49" s="45">
        <v>0</v>
      </c>
      <c r="F49" s="45">
        <v>0</v>
      </c>
      <c r="G49" s="45">
        <v>0</v>
      </c>
      <c r="H49" s="9">
        <f>D49+F49+'05-27-21'!H49</f>
        <v>0</v>
      </c>
      <c r="I49" s="9">
        <f>E49+G49+'05-27-21'!I49</f>
        <v>0</v>
      </c>
      <c r="J49" s="9">
        <f t="shared" si="13"/>
        <v>0</v>
      </c>
      <c r="K49" s="9">
        <f t="shared" si="15"/>
        <v>0</v>
      </c>
      <c r="L49" s="9">
        <f t="shared" si="16"/>
        <v>0</v>
      </c>
      <c r="M49" s="116"/>
    </row>
    <row r="50" spans="1:13" s="110" customFormat="1" ht="11.25" customHeight="1" x14ac:dyDescent="0.25">
      <c r="A50" s="25" t="s">
        <v>57</v>
      </c>
      <c r="B50" s="108" t="s">
        <v>58</v>
      </c>
      <c r="C50" s="109">
        <v>5369</v>
      </c>
      <c r="D50" s="45">
        <v>0</v>
      </c>
      <c r="E50" s="45">
        <v>0</v>
      </c>
      <c r="F50" s="45">
        <v>0</v>
      </c>
      <c r="G50" s="45">
        <v>0</v>
      </c>
      <c r="H50" s="9">
        <f>D50+F50+'05-27-21'!H50</f>
        <v>1682.0900000000001</v>
      </c>
      <c r="I50" s="9">
        <f>E50+G50+'05-27-21'!I50</f>
        <v>31.85</v>
      </c>
      <c r="J50" s="9">
        <f t="shared" si="13"/>
        <v>1713.94</v>
      </c>
      <c r="K50" s="9">
        <f>C50-J50</f>
        <v>3655.06</v>
      </c>
      <c r="L50" s="9">
        <f t="shared" si="16"/>
        <v>3581.6054285714335</v>
      </c>
      <c r="M50" s="115"/>
    </row>
    <row r="51" spans="1:13" s="110" customFormat="1" ht="11.25" customHeight="1" x14ac:dyDescent="0.25">
      <c r="A51" s="25" t="s">
        <v>95</v>
      </c>
      <c r="B51" s="108" t="s">
        <v>94</v>
      </c>
      <c r="C51" s="109">
        <f>2000+1000+500</f>
        <v>3500</v>
      </c>
      <c r="D51" s="45">
        <v>0</v>
      </c>
      <c r="E51" s="45">
        <v>0</v>
      </c>
      <c r="F51" s="45">
        <v>0</v>
      </c>
      <c r="G51" s="45">
        <v>0</v>
      </c>
      <c r="H51" s="9">
        <f>D51+F51+'05-27-21'!H51</f>
        <v>3071.5</v>
      </c>
      <c r="I51" s="9">
        <f>E51+G51+'05-27-21'!I51</f>
        <v>59.129999999999995</v>
      </c>
      <c r="J51" s="9">
        <f t="shared" si="13"/>
        <v>3130.63</v>
      </c>
      <c r="K51" s="9">
        <f>C51-J51</f>
        <v>369.36999999999989</v>
      </c>
      <c r="L51" s="9">
        <f t="shared" si="16"/>
        <v>235.20014285715206</v>
      </c>
      <c r="M51" s="116"/>
    </row>
    <row r="52" spans="1:13" s="110" customFormat="1" ht="11.25" customHeight="1" x14ac:dyDescent="0.25">
      <c r="A52" s="25" t="s">
        <v>131</v>
      </c>
      <c r="B52" s="108" t="s">
        <v>130</v>
      </c>
      <c r="C52" s="109">
        <f>28.53+2000</f>
        <v>2028.53</v>
      </c>
      <c r="D52" s="109">
        <v>600</v>
      </c>
      <c r="E52" s="109">
        <v>11.4</v>
      </c>
      <c r="F52" s="109">
        <v>0</v>
      </c>
      <c r="G52" s="109">
        <v>0</v>
      </c>
      <c r="H52" s="9">
        <f>D52+F52+'05-27-21'!H52</f>
        <v>1678</v>
      </c>
      <c r="I52" s="9">
        <f>E52+G52+'05-27-21'!I52</f>
        <v>31.880000000000003</v>
      </c>
      <c r="J52" s="9">
        <f t="shared" si="13"/>
        <v>1709.88</v>
      </c>
      <c r="K52" s="9">
        <f>C52-J52</f>
        <v>318.64999999999986</v>
      </c>
      <c r="L52" s="9">
        <f t="shared" si="16"/>
        <v>245.36942857143345</v>
      </c>
      <c r="M52" s="116"/>
    </row>
    <row r="53" spans="1:13" s="110" customFormat="1" ht="11.25" customHeight="1" x14ac:dyDescent="0.25">
      <c r="A53" s="25" t="s">
        <v>141</v>
      </c>
      <c r="B53" s="108" t="s">
        <v>142</v>
      </c>
      <c r="C53" s="109">
        <v>3800</v>
      </c>
      <c r="D53" s="109">
        <v>115.5</v>
      </c>
      <c r="E53" s="109">
        <v>2.1800000000000002</v>
      </c>
      <c r="F53" s="109">
        <v>0</v>
      </c>
      <c r="G53" s="109">
        <v>0</v>
      </c>
      <c r="H53" s="9">
        <f>D53+F53+'05-27-21'!H53</f>
        <v>340.5</v>
      </c>
      <c r="I53" s="9">
        <f>E53+G53+'05-27-21'!I53</f>
        <v>6.4399999999999995</v>
      </c>
      <c r="J53" s="9">
        <f t="shared" si="13"/>
        <v>346.94</v>
      </c>
      <c r="K53" s="9">
        <f>C53-J53</f>
        <v>3453.06</v>
      </c>
      <c r="L53" s="9">
        <f t="shared" si="16"/>
        <v>3438.1911428571439</v>
      </c>
      <c r="M53" s="116"/>
    </row>
    <row r="54" spans="1:13" ht="21.6" customHeight="1" x14ac:dyDescent="0.25">
      <c r="A54" s="153" t="s">
        <v>5</v>
      </c>
      <c r="B54" s="154"/>
      <c r="C54" s="7">
        <f>SUM(C35:C50)</f>
        <v>67324.78</v>
      </c>
      <c r="D54" s="7"/>
      <c r="E54" s="7"/>
      <c r="F54" s="7"/>
      <c r="G54" s="7"/>
      <c r="H54" s="7">
        <f>SUM(H35:H51)</f>
        <v>40756.509999999995</v>
      </c>
      <c r="I54" s="7">
        <f>SUM(I35:I51)</f>
        <v>1306.2269999999999</v>
      </c>
      <c r="J54" s="7">
        <f>SUM(J35:J51)</f>
        <v>42062.737000000001</v>
      </c>
      <c r="K54" s="7">
        <f>SUM(K35:K51)</f>
        <v>28762.042999999998</v>
      </c>
      <c r="L54" s="7">
        <f>SUM(L35:L51)</f>
        <v>27451.04698571438</v>
      </c>
      <c r="M54" s="133"/>
    </row>
    <row r="55" spans="1:13" ht="10.9" customHeight="1" x14ac:dyDescent="0.25">
      <c r="A55" s="17"/>
      <c r="B55" s="16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33"/>
    </row>
    <row r="56" spans="1:13" ht="10.9" customHeight="1" x14ac:dyDescent="0.25">
      <c r="A56" s="17"/>
      <c r="B56" s="16"/>
      <c r="C56" s="15"/>
      <c r="D56" s="15"/>
      <c r="E56" s="15"/>
      <c r="F56" s="15"/>
      <c r="G56" s="15"/>
      <c r="H56" s="15"/>
      <c r="I56" s="15"/>
      <c r="J56" s="15"/>
      <c r="K56" s="15"/>
      <c r="L56" s="15"/>
    </row>
    <row r="57" spans="1:13" s="92" customFormat="1" ht="10.9" customHeight="1" x14ac:dyDescent="0.25">
      <c r="A57" s="22" t="s">
        <v>4</v>
      </c>
      <c r="B57" s="29" t="s">
        <v>3</v>
      </c>
      <c r="C57" s="9">
        <v>62583</v>
      </c>
      <c r="D57" s="10">
        <f>97.31+1138.55</f>
        <v>1235.8599999999999</v>
      </c>
      <c r="E57" s="10">
        <f>1.84+21.62</f>
        <v>23.46</v>
      </c>
      <c r="F57" s="10">
        <v>621.88</v>
      </c>
      <c r="G57" s="10">
        <v>32.33</v>
      </c>
      <c r="H57" s="9">
        <f>D57+F57+'05-27-21'!H57</f>
        <v>27782.35</v>
      </c>
      <c r="I57" s="9">
        <f>E57+G57+'05-27-21'!I57</f>
        <v>657.63200000000006</v>
      </c>
      <c r="J57" s="9">
        <f t="shared" ref="J57:J58" si="18">H57+I57</f>
        <v>28439.982</v>
      </c>
      <c r="K57" s="9">
        <f>C57-J57</f>
        <v>34143.017999999996</v>
      </c>
      <c r="L57" s="9">
        <f t="shared" ref="L57:L58" si="19">C57-((J57/25)*26.0714285714285)</f>
        <v>32924.161628571514</v>
      </c>
      <c r="M57" s="115"/>
    </row>
    <row r="58" spans="1:13" s="92" customFormat="1" ht="10.9" customHeight="1" x14ac:dyDescent="0.25">
      <c r="A58" s="22" t="s">
        <v>112</v>
      </c>
      <c r="B58" s="29" t="s">
        <v>111</v>
      </c>
      <c r="C58" s="9">
        <v>11243</v>
      </c>
      <c r="D58" s="9">
        <v>0</v>
      </c>
      <c r="E58" s="9">
        <v>0</v>
      </c>
      <c r="F58" s="9">
        <v>0</v>
      </c>
      <c r="G58" s="9">
        <v>0</v>
      </c>
      <c r="H58" s="9">
        <f>D58+F58+'05-27-21'!H58</f>
        <v>-1642.36</v>
      </c>
      <c r="I58" s="9">
        <f>E58+G58+'05-27-21'!I58</f>
        <v>-31.2</v>
      </c>
      <c r="J58" s="9">
        <f t="shared" si="18"/>
        <v>-1673.56</v>
      </c>
      <c r="K58" s="9">
        <f>C58-J58</f>
        <v>12916.56</v>
      </c>
      <c r="L58" s="9">
        <f t="shared" si="19"/>
        <v>12988.283999999994</v>
      </c>
      <c r="M58" s="115"/>
    </row>
    <row r="59" spans="1:13" ht="21.6" customHeight="1" x14ac:dyDescent="0.25">
      <c r="A59" s="20" t="s">
        <v>2</v>
      </c>
      <c r="B59" s="19"/>
      <c r="C59" s="18">
        <f>C57+C58</f>
        <v>73826</v>
      </c>
      <c r="D59" s="18">
        <f t="shared" ref="D59:L59" si="20">D57+D58</f>
        <v>1235.8599999999999</v>
      </c>
      <c r="E59" s="18">
        <f t="shared" si="20"/>
        <v>23.46</v>
      </c>
      <c r="F59" s="18">
        <f t="shared" si="20"/>
        <v>621.88</v>
      </c>
      <c r="G59" s="18">
        <f t="shared" si="20"/>
        <v>32.33</v>
      </c>
      <c r="H59" s="18">
        <f t="shared" si="20"/>
        <v>26139.989999999998</v>
      </c>
      <c r="I59" s="18">
        <f t="shared" si="20"/>
        <v>626.43200000000002</v>
      </c>
      <c r="J59" s="18">
        <f t="shared" si="20"/>
        <v>26766.421999999999</v>
      </c>
      <c r="K59" s="18">
        <f t="shared" si="20"/>
        <v>47059.577999999994</v>
      </c>
      <c r="L59" s="18">
        <f t="shared" si="20"/>
        <v>45912.445628571506</v>
      </c>
    </row>
    <row r="60" spans="1:13" ht="10.9" customHeight="1" x14ac:dyDescent="0.25">
      <c r="A60" s="17"/>
      <c r="B60" s="16"/>
      <c r="C60" s="15"/>
      <c r="D60" s="15"/>
      <c r="E60" s="15"/>
      <c r="F60" s="15"/>
      <c r="G60" s="15"/>
      <c r="H60" s="15"/>
      <c r="I60" s="15"/>
      <c r="J60" s="15"/>
      <c r="K60" s="15"/>
      <c r="L60" s="15"/>
    </row>
    <row r="61" spans="1:13" ht="10.9" customHeight="1" x14ac:dyDescent="0.25">
      <c r="A61" s="17"/>
      <c r="B61" s="16"/>
      <c r="C61" s="15"/>
      <c r="D61" s="15"/>
      <c r="E61" s="15"/>
      <c r="F61" s="15"/>
      <c r="G61" s="15"/>
      <c r="H61" s="15"/>
      <c r="I61" s="15"/>
      <c r="J61" s="15"/>
      <c r="K61" s="15"/>
      <c r="L61" s="15"/>
    </row>
    <row r="62" spans="1:13" s="92" customFormat="1" ht="10.9" customHeight="1" x14ac:dyDescent="0.25">
      <c r="A62" s="13" t="s">
        <v>1</v>
      </c>
      <c r="B62" s="33">
        <v>55180000</v>
      </c>
      <c r="C62" s="9">
        <f>37736-15000</f>
        <v>22736</v>
      </c>
      <c r="D62" s="10">
        <v>438.6</v>
      </c>
      <c r="E62" s="10">
        <v>22.8</v>
      </c>
      <c r="F62" s="10">
        <v>0</v>
      </c>
      <c r="G62" s="10">
        <v>0</v>
      </c>
      <c r="H62" s="9">
        <f>D62+F62+'05-27-21'!H62</f>
        <v>10370.260000000004</v>
      </c>
      <c r="I62" s="9">
        <f>E62+G62+'05-27-21'!I62</f>
        <v>549.48</v>
      </c>
      <c r="J62" s="9">
        <f t="shared" ref="J62" si="21">H62+I62</f>
        <v>10919.740000000003</v>
      </c>
      <c r="K62" s="9">
        <f>C62-J62</f>
        <v>11816.259999999997</v>
      </c>
      <c r="L62" s="9">
        <f>C62-((J62/25)*26.0714285714285)</f>
        <v>11348.271142857171</v>
      </c>
      <c r="M62" s="115"/>
    </row>
    <row r="63" spans="1:13" s="3" customFormat="1" ht="21.6" customHeight="1" x14ac:dyDescent="0.25">
      <c r="A63" s="153" t="s">
        <v>0</v>
      </c>
      <c r="B63" s="154"/>
      <c r="C63" s="7">
        <f t="shared" ref="C63:L63" si="22">SUM(C62)</f>
        <v>22736</v>
      </c>
      <c r="D63" s="7">
        <f t="shared" si="22"/>
        <v>438.6</v>
      </c>
      <c r="E63" s="7">
        <f t="shared" si="22"/>
        <v>22.8</v>
      </c>
      <c r="F63" s="7">
        <f t="shared" si="22"/>
        <v>0</v>
      </c>
      <c r="G63" s="7">
        <f t="shared" si="22"/>
        <v>0</v>
      </c>
      <c r="H63" s="7">
        <f t="shared" si="22"/>
        <v>10370.260000000004</v>
      </c>
      <c r="I63" s="7">
        <f t="shared" si="22"/>
        <v>549.48</v>
      </c>
      <c r="J63" s="7">
        <f t="shared" si="22"/>
        <v>10919.740000000003</v>
      </c>
      <c r="K63" s="7">
        <f t="shared" si="22"/>
        <v>11816.259999999997</v>
      </c>
      <c r="L63" s="7">
        <f t="shared" si="22"/>
        <v>11348.271142857171</v>
      </c>
      <c r="M63" s="122"/>
    </row>
    <row r="64" spans="1:13" s="3" customFormat="1" ht="11.25" customHeight="1" x14ac:dyDescent="0.25">
      <c r="A64" s="6"/>
      <c r="B64" s="5"/>
      <c r="C64" s="4"/>
      <c r="D64" s="4"/>
      <c r="E64" s="4"/>
      <c r="F64" s="4"/>
      <c r="G64" s="4"/>
      <c r="H64" s="4"/>
      <c r="I64" s="4"/>
      <c r="J64" s="4"/>
      <c r="K64" s="4"/>
      <c r="L64" s="4"/>
      <c r="M64" s="122"/>
    </row>
    <row r="65" spans="1:13" s="2" customFormat="1" ht="10.5" customHeight="1" x14ac:dyDescent="0.25">
      <c r="A65" s="160" t="s">
        <v>72</v>
      </c>
      <c r="B65" s="160"/>
      <c r="C65" s="160"/>
      <c r="D65" s="160"/>
      <c r="E65" s="160"/>
      <c r="F65" s="160"/>
      <c r="G65" s="82">
        <v>12000</v>
      </c>
      <c r="M65" s="111"/>
    </row>
    <row r="66" spans="1:13" s="2" customFormat="1" ht="10.5" customHeight="1" x14ac:dyDescent="0.25">
      <c r="A66" s="160" t="s">
        <v>73</v>
      </c>
      <c r="B66" s="160"/>
      <c r="C66" s="160"/>
      <c r="D66" s="160"/>
      <c r="E66" s="160"/>
      <c r="F66" s="160"/>
      <c r="G66" s="82">
        <v>5600</v>
      </c>
      <c r="M66" s="111"/>
    </row>
    <row r="67" spans="1:13" ht="10.5" customHeight="1" x14ac:dyDescent="0.25">
      <c r="A67" s="160" t="s">
        <v>76</v>
      </c>
      <c r="B67" s="160"/>
      <c r="C67" s="160"/>
      <c r="D67" s="160"/>
      <c r="E67" s="160"/>
      <c r="F67" s="160"/>
      <c r="G67" s="82">
        <v>9800</v>
      </c>
    </row>
    <row r="68" spans="1:13" ht="10.5" customHeight="1" x14ac:dyDescent="0.25">
      <c r="A68" s="160" t="s">
        <v>75</v>
      </c>
      <c r="B68" s="160"/>
      <c r="C68" s="160"/>
      <c r="D68" s="160"/>
      <c r="E68" s="160"/>
      <c r="F68" s="160"/>
      <c r="G68" s="82">
        <v>1500</v>
      </c>
    </row>
    <row r="69" spans="1:13" ht="10.5" customHeight="1" x14ac:dyDescent="0.25">
      <c r="A69" s="160" t="s">
        <v>74</v>
      </c>
      <c r="B69" s="160"/>
      <c r="C69" s="160"/>
      <c r="D69" s="160"/>
      <c r="E69" s="160"/>
      <c r="F69" s="160"/>
      <c r="G69" s="82">
        <v>843.44</v>
      </c>
    </row>
    <row r="70" spans="1:13" ht="10.5" customHeight="1" x14ac:dyDescent="0.25">
      <c r="A70" s="160" t="s">
        <v>77</v>
      </c>
      <c r="B70" s="160"/>
      <c r="C70" s="160"/>
      <c r="D70" s="160"/>
      <c r="E70" s="160"/>
      <c r="F70" s="160"/>
      <c r="G70" s="82">
        <v>1784.19</v>
      </c>
    </row>
    <row r="71" spans="1:13" ht="10.5" customHeight="1" x14ac:dyDescent="0.25">
      <c r="A71" s="160" t="s">
        <v>78</v>
      </c>
      <c r="B71" s="160"/>
      <c r="C71" s="160"/>
      <c r="D71" s="160"/>
      <c r="E71" s="160"/>
      <c r="F71" s="160"/>
      <c r="G71" s="82">
        <v>2453.12</v>
      </c>
    </row>
    <row r="72" spans="1:13" s="2" customFormat="1" ht="10.5" customHeight="1" x14ac:dyDescent="0.25">
      <c r="A72" s="160" t="s">
        <v>84</v>
      </c>
      <c r="B72" s="160"/>
      <c r="C72" s="160"/>
      <c r="D72" s="160"/>
      <c r="E72" s="160"/>
      <c r="F72" s="160"/>
      <c r="G72" s="82">
        <v>2598.4499999999998</v>
      </c>
      <c r="M72" s="112"/>
    </row>
    <row r="73" spans="1:13" s="2" customFormat="1" ht="10.5" customHeight="1" x14ac:dyDescent="0.25">
      <c r="A73" s="160" t="s">
        <v>134</v>
      </c>
      <c r="B73" s="160"/>
      <c r="C73" s="160"/>
      <c r="D73" s="160"/>
      <c r="E73" s="160"/>
      <c r="F73" s="160"/>
      <c r="G73" s="82">
        <v>2659</v>
      </c>
      <c r="M73" s="112"/>
    </row>
    <row r="74" spans="1:13" s="2" customFormat="1" ht="10.5" customHeight="1" x14ac:dyDescent="0.25">
      <c r="A74" s="160" t="s">
        <v>90</v>
      </c>
      <c r="B74" s="160"/>
      <c r="C74" s="160"/>
      <c r="D74" s="160"/>
      <c r="E74" s="160"/>
      <c r="F74" s="160"/>
      <c r="G74" s="82">
        <v>1200</v>
      </c>
      <c r="M74" s="112"/>
    </row>
    <row r="75" spans="1:13" s="2" customFormat="1" ht="10.5" customHeight="1" x14ac:dyDescent="0.25">
      <c r="A75" s="160" t="s">
        <v>93</v>
      </c>
      <c r="B75" s="160"/>
      <c r="C75" s="160"/>
      <c r="D75" s="160"/>
      <c r="E75" s="160"/>
      <c r="F75" s="160"/>
      <c r="G75" s="82">
        <v>2109</v>
      </c>
      <c r="M75" s="111"/>
    </row>
    <row r="76" spans="1:13" s="2" customFormat="1" ht="10.5" customHeight="1" x14ac:dyDescent="0.25">
      <c r="A76" s="160" t="s">
        <v>100</v>
      </c>
      <c r="B76" s="160"/>
      <c r="C76" s="160"/>
      <c r="D76" s="160"/>
      <c r="E76" s="160"/>
      <c r="F76" s="160"/>
      <c r="G76" s="82">
        <v>6100</v>
      </c>
      <c r="M76" s="111"/>
    </row>
    <row r="77" spans="1:13" s="2" customFormat="1" ht="10.5" customHeight="1" x14ac:dyDescent="0.25">
      <c r="A77" s="160" t="s">
        <v>102</v>
      </c>
      <c r="B77" s="160"/>
      <c r="C77" s="160"/>
      <c r="D77" s="160"/>
      <c r="E77" s="160"/>
      <c r="F77" s="160"/>
      <c r="G77" s="82">
        <v>5369</v>
      </c>
      <c r="M77" s="112"/>
    </row>
    <row r="78" spans="1:13" ht="10.5" customHeight="1" x14ac:dyDescent="0.25">
      <c r="A78" s="160" t="s">
        <v>106</v>
      </c>
      <c r="B78" s="160"/>
      <c r="C78" s="160"/>
      <c r="D78" s="160"/>
      <c r="E78" s="160"/>
      <c r="F78" s="160"/>
      <c r="G78" s="82">
        <v>16442.41</v>
      </c>
    </row>
    <row r="79" spans="1:13" ht="10.5" customHeight="1" x14ac:dyDescent="0.25">
      <c r="A79" s="160" t="s">
        <v>107</v>
      </c>
      <c r="B79" s="160"/>
      <c r="C79" s="160"/>
      <c r="D79" s="160"/>
      <c r="E79" s="160"/>
      <c r="F79" s="160"/>
      <c r="G79" s="82">
        <v>1609.56</v>
      </c>
    </row>
    <row r="80" spans="1:13" s="2" customFormat="1" ht="10.5" customHeight="1" x14ac:dyDescent="0.25">
      <c r="A80" s="160" t="s">
        <v>140</v>
      </c>
      <c r="B80" s="160"/>
      <c r="C80" s="160"/>
      <c r="D80" s="160"/>
      <c r="E80" s="160"/>
      <c r="F80" s="160"/>
      <c r="G80" s="82">
        <v>1000</v>
      </c>
      <c r="M80" s="112"/>
    </row>
    <row r="81" spans="1:13" ht="10.5" customHeight="1" x14ac:dyDescent="0.25">
      <c r="A81" s="160" t="s">
        <v>113</v>
      </c>
      <c r="B81" s="160"/>
      <c r="C81" s="160"/>
      <c r="D81" s="160"/>
      <c r="E81" s="160"/>
      <c r="F81" s="160"/>
      <c r="G81" s="82">
        <v>75940.289999999994</v>
      </c>
    </row>
    <row r="82" spans="1:13" s="2" customFormat="1" ht="10.5" customHeight="1" x14ac:dyDescent="0.25">
      <c r="A82" s="160" t="s">
        <v>115</v>
      </c>
      <c r="B82" s="160"/>
      <c r="C82" s="160"/>
      <c r="D82" s="160"/>
      <c r="E82" s="160"/>
      <c r="F82" s="160"/>
      <c r="G82" s="82">
        <v>1200</v>
      </c>
      <c r="M82" s="112"/>
    </row>
    <row r="83" spans="1:13" s="2" customFormat="1" ht="10.5" customHeight="1" x14ac:dyDescent="0.25">
      <c r="A83" s="160" t="s">
        <v>117</v>
      </c>
      <c r="B83" s="160"/>
      <c r="C83" s="160"/>
      <c r="D83" s="160"/>
      <c r="E83" s="160"/>
      <c r="F83" s="160"/>
      <c r="G83" s="82">
        <v>4208</v>
      </c>
      <c r="M83" s="112"/>
    </row>
    <row r="84" spans="1:13" ht="10.5" customHeight="1" x14ac:dyDescent="0.25">
      <c r="A84" s="160" t="s">
        <v>118</v>
      </c>
      <c r="B84" s="160"/>
      <c r="C84" s="160"/>
      <c r="D84" s="160"/>
      <c r="E84" s="160"/>
      <c r="F84" s="160"/>
      <c r="G84" s="82">
        <v>500</v>
      </c>
    </row>
    <row r="85" spans="1:13" s="2" customFormat="1" ht="10.5" customHeight="1" x14ac:dyDescent="0.25">
      <c r="A85" s="160" t="s">
        <v>133</v>
      </c>
      <c r="B85" s="160"/>
      <c r="C85" s="160"/>
      <c r="D85" s="160"/>
      <c r="E85" s="160"/>
      <c r="F85" s="160"/>
      <c r="G85" s="134">
        <v>3360</v>
      </c>
      <c r="M85" s="112"/>
    </row>
    <row r="86" spans="1:13" s="2" customFormat="1" ht="10.5" customHeight="1" x14ac:dyDescent="0.25">
      <c r="A86" s="160" t="s">
        <v>124</v>
      </c>
      <c r="B86" s="160"/>
      <c r="C86" s="160"/>
      <c r="D86" s="160"/>
      <c r="E86" s="160"/>
      <c r="F86" s="160"/>
      <c r="G86" s="134">
        <v>-137.84</v>
      </c>
      <c r="M86" s="112"/>
    </row>
    <row r="87" spans="1:13" s="2" customFormat="1" ht="10.5" customHeight="1" x14ac:dyDescent="0.25">
      <c r="A87" s="160" t="s">
        <v>126</v>
      </c>
      <c r="B87" s="160"/>
      <c r="C87" s="160"/>
      <c r="D87" s="160"/>
      <c r="E87" s="160"/>
      <c r="F87" s="160"/>
      <c r="G87" s="134">
        <v>2500</v>
      </c>
      <c r="M87" s="112"/>
    </row>
    <row r="88" spans="1:13" s="2" customFormat="1" ht="10.5" customHeight="1" x14ac:dyDescent="0.25">
      <c r="A88" s="160" t="s">
        <v>127</v>
      </c>
      <c r="B88" s="160"/>
      <c r="C88" s="160"/>
      <c r="D88" s="160"/>
      <c r="E88" s="160"/>
      <c r="F88" s="160"/>
      <c r="G88" s="134">
        <v>61.23</v>
      </c>
      <c r="M88" s="112"/>
    </row>
    <row r="89" spans="1:13" ht="10.5" customHeight="1" x14ac:dyDescent="0.25">
      <c r="A89" s="138" t="s">
        <v>139</v>
      </c>
      <c r="B89" s="139"/>
      <c r="C89" s="140"/>
      <c r="D89" s="140"/>
      <c r="E89" s="140"/>
      <c r="F89" s="140"/>
      <c r="G89" s="135">
        <v>28.53</v>
      </c>
    </row>
    <row r="90" spans="1:13" ht="10.5" customHeight="1" x14ac:dyDescent="0.25">
      <c r="A90" s="138" t="s">
        <v>138</v>
      </c>
      <c r="B90" s="139"/>
      <c r="C90" s="140"/>
      <c r="D90" s="140"/>
      <c r="E90" s="140"/>
      <c r="F90" s="140"/>
      <c r="G90" s="135">
        <v>2000</v>
      </c>
    </row>
    <row r="91" spans="1:13" s="2" customFormat="1" ht="10.5" customHeight="1" x14ac:dyDescent="0.25">
      <c r="A91" s="160" t="s">
        <v>136</v>
      </c>
      <c r="B91" s="160"/>
      <c r="C91" s="160"/>
      <c r="D91" s="160"/>
      <c r="E91" s="160"/>
      <c r="F91" s="160"/>
      <c r="G91" s="82">
        <v>5341</v>
      </c>
      <c r="M91" s="111"/>
    </row>
    <row r="92" spans="1:13" ht="10.5" customHeight="1" x14ac:dyDescent="0.25">
      <c r="A92" s="138" t="s">
        <v>137</v>
      </c>
      <c r="B92" s="139"/>
      <c r="C92" s="140"/>
      <c r="D92" s="140"/>
      <c r="E92" s="140"/>
      <c r="F92" s="140"/>
      <c r="G92" s="135">
        <v>3800</v>
      </c>
    </row>
    <row r="93" spans="1:13" ht="10.5" customHeight="1" x14ac:dyDescent="0.25">
      <c r="A93" s="138" t="s">
        <v>143</v>
      </c>
      <c r="B93" s="139"/>
      <c r="C93" s="140"/>
      <c r="D93" s="140"/>
      <c r="E93" s="140"/>
      <c r="F93" s="140"/>
      <c r="G93" s="135">
        <v>450</v>
      </c>
    </row>
    <row r="94" spans="1:13" ht="9.75" customHeight="1" x14ac:dyDescent="0.25">
      <c r="A94" s="138" t="s">
        <v>145</v>
      </c>
      <c r="B94" s="139"/>
      <c r="C94" s="140"/>
      <c r="D94" s="140"/>
      <c r="E94" s="140"/>
      <c r="F94" s="140"/>
      <c r="G94" s="135">
        <v>22.83</v>
      </c>
    </row>
    <row r="95" spans="1:13" ht="10.5" customHeight="1" x14ac:dyDescent="0.25">
      <c r="A95" s="138" t="s">
        <v>147</v>
      </c>
      <c r="B95" s="139"/>
      <c r="C95" s="140"/>
      <c r="D95" s="140"/>
      <c r="E95" s="140"/>
      <c r="F95" s="140"/>
      <c r="G95" s="135">
        <v>1069.95</v>
      </c>
    </row>
    <row r="96" spans="1:13" s="2" customFormat="1" ht="10.5" customHeight="1" x14ac:dyDescent="0.25">
      <c r="A96" s="160" t="s">
        <v>149</v>
      </c>
      <c r="B96" s="160"/>
      <c r="C96" s="160"/>
      <c r="D96" s="160"/>
      <c r="E96" s="160"/>
      <c r="F96" s="160"/>
      <c r="G96" s="82">
        <v>-15000</v>
      </c>
      <c r="M96" s="111"/>
    </row>
    <row r="97" spans="1:13" s="2" customFormat="1" ht="10.5" customHeight="1" x14ac:dyDescent="0.25">
      <c r="A97" s="160" t="s">
        <v>152</v>
      </c>
      <c r="B97" s="160"/>
      <c r="C97" s="160"/>
      <c r="D97" s="160"/>
      <c r="E97" s="160"/>
      <c r="F97" s="160"/>
      <c r="G97" s="82">
        <v>1000</v>
      </c>
      <c r="M97" s="112"/>
    </row>
  </sheetData>
  <mergeCells count="33">
    <mergeCell ref="A91:F91"/>
    <mergeCell ref="A96:F96"/>
    <mergeCell ref="A97:F97"/>
    <mergeCell ref="A83:F83"/>
    <mergeCell ref="A84:F84"/>
    <mergeCell ref="A85:F85"/>
    <mergeCell ref="A86:F86"/>
    <mergeCell ref="A87:F87"/>
    <mergeCell ref="A88:F88"/>
    <mergeCell ref="A82:F82"/>
    <mergeCell ref="A71:F71"/>
    <mergeCell ref="A72:F72"/>
    <mergeCell ref="A73:F73"/>
    <mergeCell ref="A74:F74"/>
    <mergeCell ref="A75:F75"/>
    <mergeCell ref="A76:F76"/>
    <mergeCell ref="A77:F77"/>
    <mergeCell ref="A78:F78"/>
    <mergeCell ref="A79:F79"/>
    <mergeCell ref="A80:F80"/>
    <mergeCell ref="A81:F81"/>
    <mergeCell ref="A70:F70"/>
    <mergeCell ref="A16:B16"/>
    <mergeCell ref="A22:B22"/>
    <mergeCell ref="A29:B29"/>
    <mergeCell ref="A32:B32"/>
    <mergeCell ref="A54:B54"/>
    <mergeCell ref="A63:B63"/>
    <mergeCell ref="A65:F65"/>
    <mergeCell ref="A66:F66"/>
    <mergeCell ref="A67:F67"/>
    <mergeCell ref="A68:F68"/>
    <mergeCell ref="A69:F69"/>
  </mergeCells>
  <pageMargins left="0.25" right="0" top="0.4" bottom="0" header="0.3" footer="0"/>
  <pageSetup scale="84" fitToWidth="0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95B695-4AA3-4C7C-ABBD-F7F1AF8D3060}">
  <sheetPr>
    <pageSetUpPr fitToPage="1"/>
  </sheetPr>
  <dimension ref="A1:M101"/>
  <sheetViews>
    <sheetView zoomScale="160" zoomScaleNormal="160" workbookViewId="0">
      <pane ySplit="2" topLeftCell="A31" activePane="bottomLeft" state="frozen"/>
      <selection pane="bottomLeft" activeCell="K36" sqref="K36"/>
    </sheetView>
  </sheetViews>
  <sheetFormatPr defaultColWidth="28" defaultRowHeight="15" x14ac:dyDescent="0.25"/>
  <cols>
    <col min="1" max="1" width="34" style="1" bestFit="1" customWidth="1"/>
    <col min="2" max="2" width="19" style="1" bestFit="1" customWidth="1"/>
    <col min="3" max="3" width="11" style="77" customWidth="1"/>
    <col min="4" max="4" width="9" style="2" bestFit="1" customWidth="1"/>
    <col min="5" max="5" width="6.85546875" style="2" bestFit="1" customWidth="1"/>
    <col min="6" max="6" width="9" style="2" bestFit="1" customWidth="1"/>
    <col min="7" max="8" width="9.28515625" style="2" bestFit="1" customWidth="1"/>
    <col min="9" max="9" width="9.42578125" style="2" bestFit="1" customWidth="1"/>
    <col min="10" max="10" width="9.7109375" style="2" bestFit="1" customWidth="1"/>
    <col min="11" max="11" width="9.28515625" style="2" bestFit="1" customWidth="1"/>
    <col min="12" max="12" width="13.42578125" style="2" bestFit="1" customWidth="1"/>
    <col min="13" max="13" width="17.85546875" style="112" customWidth="1"/>
    <col min="14" max="16384" width="28" style="1"/>
  </cols>
  <sheetData>
    <row r="1" spans="1:13" ht="11.25" customHeight="1" x14ac:dyDescent="0.25">
      <c r="A1" s="68"/>
      <c r="B1" s="67"/>
      <c r="C1" s="76"/>
      <c r="D1" s="66"/>
      <c r="E1" s="66"/>
      <c r="F1" s="66"/>
      <c r="G1" s="66"/>
      <c r="H1" s="66"/>
      <c r="I1" s="66"/>
      <c r="J1" s="66"/>
      <c r="K1" s="66"/>
      <c r="L1" s="65" t="s">
        <v>153</v>
      </c>
    </row>
    <row r="2" spans="1:13" s="61" customFormat="1" ht="23.25" x14ac:dyDescent="0.25">
      <c r="A2" s="64" t="s">
        <v>53</v>
      </c>
      <c r="B2" s="64" t="s">
        <v>52</v>
      </c>
      <c r="C2" s="63" t="s">
        <v>51</v>
      </c>
      <c r="D2" s="63" t="s">
        <v>50</v>
      </c>
      <c r="E2" s="63" t="s">
        <v>48</v>
      </c>
      <c r="F2" s="63" t="s">
        <v>49</v>
      </c>
      <c r="G2" s="63" t="s">
        <v>48</v>
      </c>
      <c r="H2" s="62" t="s">
        <v>47</v>
      </c>
      <c r="I2" s="62" t="s">
        <v>46</v>
      </c>
      <c r="J2" s="62" t="s">
        <v>45</v>
      </c>
      <c r="K2" s="62" t="s">
        <v>44</v>
      </c>
      <c r="L2" s="62" t="s">
        <v>43</v>
      </c>
      <c r="M2" s="113"/>
    </row>
    <row r="3" spans="1:13" s="101" customFormat="1" ht="11.25" customHeight="1" x14ac:dyDescent="0.25">
      <c r="A3" s="22" t="s">
        <v>42</v>
      </c>
      <c r="B3" s="29">
        <v>55010300</v>
      </c>
      <c r="C3" s="10">
        <v>4208</v>
      </c>
      <c r="D3" s="45">
        <v>0</v>
      </c>
      <c r="E3" s="45">
        <v>0</v>
      </c>
      <c r="F3" s="45">
        <v>0</v>
      </c>
      <c r="G3" s="45">
        <v>0</v>
      </c>
      <c r="H3" s="9">
        <f>D3+F3+'06-10-21'!H3</f>
        <v>0</v>
      </c>
      <c r="I3" s="9">
        <f>E3+G3+'06-10-21'!I3</f>
        <v>0</v>
      </c>
      <c r="J3" s="9">
        <f>H3+I3</f>
        <v>0</v>
      </c>
      <c r="K3" s="9">
        <f>C3-J3</f>
        <v>4208</v>
      </c>
      <c r="L3" s="9">
        <f>C3-((J3/26)*26.0714285714285)</f>
        <v>4208</v>
      </c>
      <c r="M3" s="114"/>
    </row>
    <row r="4" spans="1:13" s="101" customFormat="1" ht="11.25" customHeight="1" x14ac:dyDescent="0.25">
      <c r="A4" s="22" t="s">
        <v>41</v>
      </c>
      <c r="B4" s="29">
        <v>55010500</v>
      </c>
      <c r="C4" s="9">
        <f>3229-1000</f>
        <v>2229</v>
      </c>
      <c r="D4" s="45">
        <v>0</v>
      </c>
      <c r="E4" s="45">
        <v>0</v>
      </c>
      <c r="F4" s="45">
        <v>0</v>
      </c>
      <c r="G4" s="45">
        <v>0</v>
      </c>
      <c r="H4" s="9">
        <f>D4+F4+'06-10-21'!H4</f>
        <v>0</v>
      </c>
      <c r="I4" s="9">
        <f>E4+G4+'06-10-21'!I4</f>
        <v>0</v>
      </c>
      <c r="J4" s="9">
        <f t="shared" ref="J4:J15" si="0">H4+I4</f>
        <v>0</v>
      </c>
      <c r="K4" s="9">
        <f t="shared" ref="K4:K15" si="1">C4-J4</f>
        <v>2229</v>
      </c>
      <c r="L4" s="9">
        <f t="shared" ref="L4:L15" si="2">C4-((J4/26)*26.0714285714285)</f>
        <v>2229</v>
      </c>
      <c r="M4" s="114"/>
    </row>
    <row r="5" spans="1:13" s="101" customFormat="1" ht="11.25" customHeight="1" x14ac:dyDescent="0.25">
      <c r="A5" s="58" t="s">
        <v>146</v>
      </c>
      <c r="B5" s="102">
        <v>55010601</v>
      </c>
      <c r="C5" s="103">
        <v>1069.95</v>
      </c>
      <c r="D5" s="9">
        <v>195</v>
      </c>
      <c r="E5" s="9">
        <v>3.7</v>
      </c>
      <c r="F5" s="9">
        <v>0</v>
      </c>
      <c r="G5" s="9">
        <v>0</v>
      </c>
      <c r="H5" s="9">
        <f>D5+F5+'06-10-21'!H5</f>
        <v>750</v>
      </c>
      <c r="I5" s="9">
        <f>E5+G5+'06-10-21'!I5</f>
        <v>14.23</v>
      </c>
      <c r="J5" s="9">
        <f t="shared" si="0"/>
        <v>764.23</v>
      </c>
      <c r="K5" s="9">
        <f t="shared" si="1"/>
        <v>305.72000000000003</v>
      </c>
      <c r="L5" s="9">
        <f t="shared" si="2"/>
        <v>303.62046703296915</v>
      </c>
      <c r="M5" s="114"/>
    </row>
    <row r="6" spans="1:13" s="92" customFormat="1" ht="11.25" customHeight="1" x14ac:dyDescent="0.25">
      <c r="A6" s="58" t="s">
        <v>40</v>
      </c>
      <c r="B6" s="102">
        <v>55020200</v>
      </c>
      <c r="C6" s="103">
        <f>24649+14202</f>
        <v>38851</v>
      </c>
      <c r="D6" s="55">
        <v>1010.29</v>
      </c>
      <c r="E6" s="55">
        <v>19.190000000000001</v>
      </c>
      <c r="F6" s="55">
        <v>578.13</v>
      </c>
      <c r="G6" s="55">
        <v>30.06</v>
      </c>
      <c r="H6" s="9">
        <f>D6+F6+'06-10-21'!H6</f>
        <v>34261.72</v>
      </c>
      <c r="I6" s="9">
        <f>E6+G6+'06-10-21'!I6</f>
        <v>1211.7300000000002</v>
      </c>
      <c r="J6" s="9">
        <f t="shared" si="0"/>
        <v>35473.450000000004</v>
      </c>
      <c r="K6" s="9">
        <f t="shared" si="1"/>
        <v>3377.5499999999956</v>
      </c>
      <c r="L6" s="9">
        <f t="shared" si="2"/>
        <v>3280.0954670330611</v>
      </c>
      <c r="M6" s="115"/>
    </row>
    <row r="7" spans="1:13" s="92" customFormat="1" ht="11.25" customHeight="1" x14ac:dyDescent="0.25">
      <c r="A7" s="22" t="s">
        <v>39</v>
      </c>
      <c r="B7" s="29">
        <v>55020300</v>
      </c>
      <c r="C7" s="9">
        <f>17974+9665</f>
        <v>27639</v>
      </c>
      <c r="D7" s="10">
        <v>663.42</v>
      </c>
      <c r="E7" s="10">
        <v>12.59</v>
      </c>
      <c r="F7" s="10">
        <v>362.5</v>
      </c>
      <c r="G7" s="10">
        <v>18.850000000000001</v>
      </c>
      <c r="H7" s="9">
        <f>D7+F7+'06-10-21'!H7</f>
        <v>21447.840000000004</v>
      </c>
      <c r="I7" s="9">
        <f>E7+G7+'06-10-21'!I7</f>
        <v>721.61</v>
      </c>
      <c r="J7" s="9">
        <f t="shared" si="0"/>
        <v>22169.450000000004</v>
      </c>
      <c r="K7" s="9">
        <f t="shared" si="1"/>
        <v>5469.5499999999956</v>
      </c>
      <c r="L7" s="9">
        <f t="shared" si="2"/>
        <v>5408.6449175824782</v>
      </c>
      <c r="M7" s="115"/>
    </row>
    <row r="8" spans="1:13" s="92" customFormat="1" ht="11.25" customHeight="1" x14ac:dyDescent="0.25">
      <c r="A8" s="22" t="s">
        <v>38</v>
      </c>
      <c r="B8" s="29">
        <v>55020400</v>
      </c>
      <c r="C8" s="9">
        <f>17974+9665</f>
        <v>27639</v>
      </c>
      <c r="D8" s="10">
        <f>-179.4+380.79</f>
        <v>201.39000000000001</v>
      </c>
      <c r="E8" s="10">
        <f>-3.41+7.23</f>
        <v>3.8200000000000003</v>
      </c>
      <c r="F8" s="10">
        <v>1067.5</v>
      </c>
      <c r="G8" s="10">
        <v>55.51</v>
      </c>
      <c r="H8" s="9">
        <f>D8+F8+'06-10-21'!H8</f>
        <v>17977.869999999995</v>
      </c>
      <c r="I8" s="9">
        <f>E8+G8+'06-10-21'!I8</f>
        <v>722.23</v>
      </c>
      <c r="J8" s="9">
        <f t="shared" si="0"/>
        <v>18700.099999999995</v>
      </c>
      <c r="K8" s="9">
        <f t="shared" si="1"/>
        <v>8938.9000000000051</v>
      </c>
      <c r="L8" s="9">
        <f t="shared" si="2"/>
        <v>8887.5260989011585</v>
      </c>
      <c r="M8" s="115"/>
    </row>
    <row r="9" spans="1:13" s="92" customFormat="1" ht="11.25" customHeight="1" x14ac:dyDescent="0.25">
      <c r="A9" s="22" t="s">
        <v>92</v>
      </c>
      <c r="B9" s="29">
        <v>55030100</v>
      </c>
      <c r="C9" s="9">
        <v>2109</v>
      </c>
      <c r="D9" s="45">
        <v>0</v>
      </c>
      <c r="E9" s="45">
        <v>0</v>
      </c>
      <c r="F9" s="45">
        <v>0</v>
      </c>
      <c r="G9" s="45">
        <v>0</v>
      </c>
      <c r="H9" s="9">
        <f>D9+F9+'06-10-21'!H9</f>
        <v>841.91000000000008</v>
      </c>
      <c r="I9" s="9">
        <f>E9+G9+'06-10-21'!I9</f>
        <v>15.939999999999998</v>
      </c>
      <c r="J9" s="9">
        <f t="shared" si="0"/>
        <v>857.85000000000014</v>
      </c>
      <c r="K9" s="9">
        <f t="shared" si="1"/>
        <v>1251.1499999999999</v>
      </c>
      <c r="L9" s="9">
        <f t="shared" si="2"/>
        <v>1248.7932692307713</v>
      </c>
      <c r="M9" s="115"/>
    </row>
    <row r="10" spans="1:13" s="92" customFormat="1" ht="11.25" customHeight="1" x14ac:dyDescent="0.25">
      <c r="A10" s="54" t="s">
        <v>37</v>
      </c>
      <c r="B10" s="29">
        <v>55030200</v>
      </c>
      <c r="C10" s="9">
        <v>24330</v>
      </c>
      <c r="D10" s="10">
        <v>812.63</v>
      </c>
      <c r="E10" s="10">
        <v>15.43</v>
      </c>
      <c r="F10" s="10">
        <v>997.86</v>
      </c>
      <c r="G10" s="10">
        <v>51.88</v>
      </c>
      <c r="H10" s="9">
        <f>D10+F10+'06-10-21'!H10</f>
        <v>13384.300000000001</v>
      </c>
      <c r="I10" s="9">
        <f>E10+G10+'06-10-21'!I10</f>
        <v>350.48</v>
      </c>
      <c r="J10" s="9">
        <f t="shared" si="0"/>
        <v>13734.78</v>
      </c>
      <c r="K10" s="9">
        <f t="shared" si="1"/>
        <v>10595.22</v>
      </c>
      <c r="L10" s="9">
        <f t="shared" si="2"/>
        <v>10557.487087912126</v>
      </c>
      <c r="M10" s="123"/>
    </row>
    <row r="11" spans="1:13" s="92" customFormat="1" ht="11.25" customHeight="1" x14ac:dyDescent="0.25">
      <c r="A11" s="22" t="s">
        <v>36</v>
      </c>
      <c r="B11" s="29">
        <v>55050200</v>
      </c>
      <c r="C11" s="9">
        <f>34000+21500.29+3360</f>
        <v>58860.29</v>
      </c>
      <c r="D11" s="10">
        <f>-781.8+1631.98</f>
        <v>850.18000000000006</v>
      </c>
      <c r="E11" s="10">
        <f>-14.85+31</f>
        <v>16.149999999999999</v>
      </c>
      <c r="F11" s="10">
        <v>2210.58</v>
      </c>
      <c r="G11" s="10">
        <v>114.95</v>
      </c>
      <c r="H11" s="9">
        <f>D11+F11+'06-10-21'!H11</f>
        <v>51455.95</v>
      </c>
      <c r="I11" s="9">
        <f>E11+G11+'06-10-21'!I11</f>
        <v>1812.7299999999998</v>
      </c>
      <c r="J11" s="9">
        <f t="shared" si="0"/>
        <v>53268.68</v>
      </c>
      <c r="K11" s="9">
        <f t="shared" si="1"/>
        <v>5591.6100000000006</v>
      </c>
      <c r="L11" s="9">
        <f t="shared" si="2"/>
        <v>5445.2674725276229</v>
      </c>
      <c r="M11" s="124"/>
    </row>
    <row r="12" spans="1:13" s="92" customFormat="1" ht="11.25" hidden="1" customHeight="1" x14ac:dyDescent="0.25">
      <c r="A12" s="22" t="s">
        <v>80</v>
      </c>
      <c r="B12" s="29">
        <v>55050300</v>
      </c>
      <c r="C12" s="97"/>
      <c r="D12" s="9"/>
      <c r="E12" s="9"/>
      <c r="F12" s="9"/>
      <c r="G12" s="9"/>
      <c r="H12" s="9">
        <f>D12+F12+'06-10-21'!H12</f>
        <v>-310</v>
      </c>
      <c r="I12" s="9">
        <f>E12+G12+'06-10-21'!I12</f>
        <v>-5.8900000000000006</v>
      </c>
      <c r="J12" s="9">
        <f t="shared" si="0"/>
        <v>-315.89</v>
      </c>
      <c r="K12" s="9">
        <f t="shared" si="1"/>
        <v>315.89</v>
      </c>
      <c r="L12" s="9">
        <f t="shared" si="2"/>
        <v>316.75782967032876</v>
      </c>
      <c r="M12" s="116"/>
    </row>
    <row r="13" spans="1:13" s="98" customFormat="1" ht="11.25" customHeight="1" x14ac:dyDescent="0.25">
      <c r="A13" s="22" t="s">
        <v>35</v>
      </c>
      <c r="B13" s="29">
        <v>55070100</v>
      </c>
      <c r="C13" s="9">
        <f>42741+9665</f>
        <v>52406</v>
      </c>
      <c r="D13" s="10">
        <v>1900.2</v>
      </c>
      <c r="E13" s="10">
        <v>36.1</v>
      </c>
      <c r="F13" s="10">
        <v>1031.6300000000001</v>
      </c>
      <c r="G13" s="10">
        <v>53.64</v>
      </c>
      <c r="H13" s="9">
        <f>D13+F13+'06-10-21'!H13</f>
        <v>49005.350999999995</v>
      </c>
      <c r="I13" s="9">
        <f>E13+G13+'06-10-21'!I13</f>
        <v>1533.9499999999998</v>
      </c>
      <c r="J13" s="9">
        <f t="shared" si="0"/>
        <v>50539.300999999992</v>
      </c>
      <c r="K13" s="9">
        <f t="shared" si="1"/>
        <v>1866.6990000000078</v>
      </c>
      <c r="L13" s="9">
        <f t="shared" si="2"/>
        <v>1727.854766483666</v>
      </c>
      <c r="M13" s="151"/>
    </row>
    <row r="14" spans="1:13" s="92" customFormat="1" ht="11.25" customHeight="1" x14ac:dyDescent="0.25">
      <c r="A14" s="22" t="s">
        <v>34</v>
      </c>
      <c r="B14" s="29">
        <v>55080100</v>
      </c>
      <c r="C14" s="9">
        <f>23173+1000</f>
        <v>24173</v>
      </c>
      <c r="D14" s="10">
        <v>542.95000000000005</v>
      </c>
      <c r="E14" s="10">
        <v>10.31</v>
      </c>
      <c r="F14" s="10">
        <v>0</v>
      </c>
      <c r="G14" s="10">
        <v>0</v>
      </c>
      <c r="H14" s="9">
        <f>D14+F14+'06-10-21'!H14</f>
        <v>23459.49</v>
      </c>
      <c r="I14" s="9">
        <f>E14+G14+'06-10-21'!I14</f>
        <v>445.59000000000003</v>
      </c>
      <c r="J14" s="9">
        <f t="shared" si="0"/>
        <v>23905.08</v>
      </c>
      <c r="K14" s="9">
        <f t="shared" si="1"/>
        <v>267.91999999999825</v>
      </c>
      <c r="L14" s="9">
        <f t="shared" si="2"/>
        <v>202.24670329676883</v>
      </c>
      <c r="M14" s="123"/>
    </row>
    <row r="15" spans="1:13" s="99" customFormat="1" ht="11.25" customHeight="1" x14ac:dyDescent="0.25">
      <c r="A15" s="53" t="s">
        <v>33</v>
      </c>
      <c r="B15" s="33">
        <v>55190000</v>
      </c>
      <c r="C15" s="9">
        <v>6000</v>
      </c>
      <c r="D15" s="10">
        <v>124.8</v>
      </c>
      <c r="E15" s="10">
        <v>2.37</v>
      </c>
      <c r="F15" s="10">
        <v>450</v>
      </c>
      <c r="G15" s="10">
        <v>23.4</v>
      </c>
      <c r="H15" s="9">
        <f>D15+F15+'06-10-21'!H15</f>
        <v>3086.63</v>
      </c>
      <c r="I15" s="9">
        <f>E15+G15+'06-10-21'!I15</f>
        <v>95.179999999999993</v>
      </c>
      <c r="J15" s="9">
        <f t="shared" si="0"/>
        <v>3181.81</v>
      </c>
      <c r="K15" s="9">
        <f t="shared" si="1"/>
        <v>2818.19</v>
      </c>
      <c r="L15" s="9">
        <f t="shared" si="2"/>
        <v>2809.4487637362727</v>
      </c>
      <c r="M15" s="117"/>
    </row>
    <row r="16" spans="1:13" ht="21.6" customHeight="1" thickBot="1" x14ac:dyDescent="0.3">
      <c r="A16" s="155" t="s">
        <v>32</v>
      </c>
      <c r="B16" s="156"/>
      <c r="C16" s="49">
        <f t="shared" ref="C16:L16" si="3">SUM(C3:C15)</f>
        <v>269514.23999999999</v>
      </c>
      <c r="D16" s="7">
        <f t="shared" si="3"/>
        <v>6300.86</v>
      </c>
      <c r="E16" s="7">
        <f t="shared" si="3"/>
        <v>119.66</v>
      </c>
      <c r="F16" s="7">
        <f t="shared" si="3"/>
        <v>6698.2</v>
      </c>
      <c r="G16" s="7">
        <f t="shared" si="3"/>
        <v>348.28999999999996</v>
      </c>
      <c r="H16" s="9">
        <f>D16+F16+'05-27-21'!H16</f>
        <v>199777.92000000001</v>
      </c>
      <c r="I16" s="7">
        <f t="shared" si="3"/>
        <v>6917.78</v>
      </c>
      <c r="J16" s="49">
        <f t="shared" si="3"/>
        <v>222278.84100000001</v>
      </c>
      <c r="K16" s="49">
        <f t="shared" si="3"/>
        <v>47235.399000000005</v>
      </c>
      <c r="L16" s="7">
        <f t="shared" si="3"/>
        <v>46624.742843407221</v>
      </c>
    </row>
    <row r="17" spans="1:13" ht="11.25" customHeight="1" x14ac:dyDescent="0.25">
      <c r="A17" s="52"/>
      <c r="B17" s="41"/>
      <c r="C17" s="39"/>
      <c r="D17" s="39"/>
      <c r="E17" s="39"/>
      <c r="F17" s="39"/>
      <c r="G17" s="39"/>
      <c r="H17" s="39"/>
      <c r="I17" s="39"/>
      <c r="J17" s="39"/>
      <c r="K17" s="39"/>
      <c r="L17" s="51"/>
    </row>
    <row r="18" spans="1:13" ht="11.25" customHeight="1" thickBot="1" x14ac:dyDescent="0.3">
      <c r="A18" s="38"/>
      <c r="B18" s="37"/>
      <c r="C18" s="35"/>
      <c r="D18" s="35"/>
      <c r="E18" s="35"/>
      <c r="F18" s="35"/>
      <c r="G18" s="35"/>
      <c r="H18" s="35"/>
      <c r="I18" s="35"/>
      <c r="J18" s="35"/>
      <c r="K18" s="35"/>
      <c r="L18" s="50"/>
    </row>
    <row r="19" spans="1:13" s="92" customFormat="1" ht="11.45" customHeight="1" x14ac:dyDescent="0.25">
      <c r="A19" s="13" t="s">
        <v>31</v>
      </c>
      <c r="B19" s="33">
        <v>55090100</v>
      </c>
      <c r="C19" s="9">
        <v>26923</v>
      </c>
      <c r="D19" s="45">
        <v>0</v>
      </c>
      <c r="E19" s="45">
        <v>0</v>
      </c>
      <c r="F19" s="45">
        <v>0</v>
      </c>
      <c r="G19" s="45">
        <v>0</v>
      </c>
      <c r="H19" s="9">
        <f>D19+F19+'06-10-21'!H19</f>
        <v>13521.15</v>
      </c>
      <c r="I19" s="9">
        <f>E19+G19+'06-10-21'!I19</f>
        <v>703.07999999999993</v>
      </c>
      <c r="J19" s="9">
        <f t="shared" ref="J19:J21" si="4">H19+I19</f>
        <v>14224.23</v>
      </c>
      <c r="K19" s="9">
        <f>C19-J19</f>
        <v>12698.77</v>
      </c>
      <c r="L19" s="9">
        <f t="shared" ref="L19:L21" si="5">C19-((J19/26)*26.0714285714285)</f>
        <v>12659.692445054987</v>
      </c>
      <c r="M19" s="115"/>
    </row>
    <row r="20" spans="1:13" s="92" customFormat="1" ht="11.45" customHeight="1" x14ac:dyDescent="0.25">
      <c r="A20" s="22" t="s">
        <v>30</v>
      </c>
      <c r="B20" s="29">
        <v>55160100</v>
      </c>
      <c r="C20" s="9">
        <f>16062-2109</f>
        <v>13953</v>
      </c>
      <c r="D20" s="45">
        <v>0</v>
      </c>
      <c r="E20" s="45">
        <v>0</v>
      </c>
      <c r="F20" s="45">
        <v>0</v>
      </c>
      <c r="G20" s="45">
        <v>0</v>
      </c>
      <c r="H20" s="9">
        <f>D20+F20+'06-10-21'!H20</f>
        <v>0</v>
      </c>
      <c r="I20" s="9">
        <f>E20+G20+'06-10-21'!I20</f>
        <v>0</v>
      </c>
      <c r="J20" s="9">
        <f t="shared" si="4"/>
        <v>0</v>
      </c>
      <c r="K20" s="9">
        <f t="shared" ref="K20:K21" si="6">C20-J20</f>
        <v>13953</v>
      </c>
      <c r="L20" s="9">
        <f t="shared" si="5"/>
        <v>13953</v>
      </c>
      <c r="M20" s="115"/>
    </row>
    <row r="21" spans="1:13" s="92" customFormat="1" ht="11.45" customHeight="1" x14ac:dyDescent="0.25">
      <c r="A21" s="13" t="s">
        <v>29</v>
      </c>
      <c r="B21" s="33">
        <v>55100100</v>
      </c>
      <c r="C21" s="9">
        <v>2026</v>
      </c>
      <c r="D21" s="45">
        <v>0</v>
      </c>
      <c r="E21" s="45">
        <v>0</v>
      </c>
      <c r="F21" s="45">
        <v>0</v>
      </c>
      <c r="G21" s="45">
        <v>0</v>
      </c>
      <c r="H21" s="9">
        <f>D21+F21+'06-10-21'!H21</f>
        <v>936.46</v>
      </c>
      <c r="I21" s="9">
        <f>E21+G21+'06-10-21'!I21</f>
        <v>16.864999999999998</v>
      </c>
      <c r="J21" s="9">
        <f t="shared" si="4"/>
        <v>953.32500000000005</v>
      </c>
      <c r="K21" s="9">
        <f t="shared" si="6"/>
        <v>1072.675</v>
      </c>
      <c r="L21" s="9">
        <f t="shared" si="5"/>
        <v>1070.0559752747279</v>
      </c>
      <c r="M21" s="115"/>
    </row>
    <row r="22" spans="1:13" ht="21.6" customHeight="1" thickBot="1" x14ac:dyDescent="0.3">
      <c r="A22" s="155" t="s">
        <v>28</v>
      </c>
      <c r="B22" s="156"/>
      <c r="C22" s="7">
        <f t="shared" ref="C22:L22" si="7">SUM(C19:C21)</f>
        <v>42902</v>
      </c>
      <c r="D22" s="7">
        <f t="shared" si="7"/>
        <v>0</v>
      </c>
      <c r="E22" s="7">
        <f t="shared" si="7"/>
        <v>0</v>
      </c>
      <c r="F22" s="7">
        <f t="shared" si="7"/>
        <v>0</v>
      </c>
      <c r="G22" s="7">
        <f t="shared" si="7"/>
        <v>0</v>
      </c>
      <c r="H22" s="7">
        <f t="shared" si="7"/>
        <v>14457.61</v>
      </c>
      <c r="I22" s="7">
        <f t="shared" si="7"/>
        <v>719.94499999999994</v>
      </c>
      <c r="J22" s="49">
        <f t="shared" si="7"/>
        <v>15177.555</v>
      </c>
      <c r="K22" s="7">
        <f t="shared" si="7"/>
        <v>27724.445</v>
      </c>
      <c r="L22" s="7">
        <f t="shared" si="7"/>
        <v>27682.748420329714</v>
      </c>
    </row>
    <row r="23" spans="1:13" ht="11.25" customHeight="1" x14ac:dyDescent="0.25">
      <c r="A23" s="42"/>
      <c r="B23" s="41"/>
      <c r="C23" s="39"/>
      <c r="D23" s="39"/>
      <c r="E23" s="39"/>
      <c r="F23" s="39"/>
      <c r="G23" s="39"/>
      <c r="H23" s="39"/>
      <c r="I23" s="39"/>
      <c r="J23" s="39"/>
      <c r="K23" s="39"/>
      <c r="L23" s="51"/>
    </row>
    <row r="24" spans="1:13" ht="11.25" customHeight="1" thickBot="1" x14ac:dyDescent="0.3">
      <c r="A24" s="38"/>
      <c r="B24" s="37"/>
      <c r="C24" s="35"/>
      <c r="D24" s="35"/>
      <c r="E24" s="35"/>
      <c r="F24" s="35"/>
      <c r="G24" s="35"/>
      <c r="H24" s="35"/>
      <c r="I24" s="35"/>
      <c r="J24" s="35"/>
      <c r="K24" s="35"/>
      <c r="L24" s="50"/>
    </row>
    <row r="25" spans="1:13" s="99" customFormat="1" ht="11.45" customHeight="1" x14ac:dyDescent="0.25">
      <c r="A25" s="13" t="s">
        <v>27</v>
      </c>
      <c r="B25" s="33">
        <v>55200000</v>
      </c>
      <c r="C25" s="9">
        <v>25000</v>
      </c>
      <c r="D25" s="10">
        <v>48.75</v>
      </c>
      <c r="E25" s="10">
        <v>0.92</v>
      </c>
      <c r="F25" s="10">
        <v>0</v>
      </c>
      <c r="G25" s="10">
        <v>0</v>
      </c>
      <c r="H25" s="9">
        <f>D25+F25+'06-10-21'!H25</f>
        <v>11606.25</v>
      </c>
      <c r="I25" s="9">
        <f>E25+G25+'06-10-21'!I25</f>
        <v>220.39000000000001</v>
      </c>
      <c r="J25" s="9">
        <f t="shared" ref="J25:J27" si="8">H25+I25</f>
        <v>11826.64</v>
      </c>
      <c r="K25" s="9">
        <f>C25-J25</f>
        <v>13173.36</v>
      </c>
      <c r="L25" s="9">
        <f t="shared" ref="L25:L28" si="9">C25-((J25/26)*26.0714285714285)</f>
        <v>13140.869230769264</v>
      </c>
      <c r="M25" s="118"/>
    </row>
    <row r="26" spans="1:13" s="99" customFormat="1" ht="11.45" hidden="1" customHeight="1" x14ac:dyDescent="0.25">
      <c r="A26" s="13" t="s">
        <v>26</v>
      </c>
      <c r="B26" s="100" t="s">
        <v>25</v>
      </c>
      <c r="C26" s="46">
        <v>0</v>
      </c>
      <c r="D26" s="45"/>
      <c r="E26" s="45"/>
      <c r="F26" s="45"/>
      <c r="G26" s="45"/>
      <c r="H26" s="9">
        <f>D26+F26+'06-10-21'!H26</f>
        <v>0</v>
      </c>
      <c r="I26" s="9">
        <f>E26+G26+'06-10-21'!I26</f>
        <v>-9.9999999999997868E-3</v>
      </c>
      <c r="J26" s="9">
        <f t="shared" si="8"/>
        <v>-9.9999999999997868E-3</v>
      </c>
      <c r="K26" s="75">
        <f t="shared" ref="K26:K27" si="10">C26-J26</f>
        <v>9.9999999999997868E-3</v>
      </c>
      <c r="L26" s="9">
        <f t="shared" si="9"/>
        <v>1.0027472527472285E-2</v>
      </c>
      <c r="M26" s="118"/>
    </row>
    <row r="27" spans="1:13" s="99" customFormat="1" ht="10.9" customHeight="1" x14ac:dyDescent="0.25">
      <c r="A27" s="28" t="s">
        <v>24</v>
      </c>
      <c r="B27" s="47" t="s">
        <v>23</v>
      </c>
      <c r="C27" s="46">
        <v>0</v>
      </c>
      <c r="D27" s="45">
        <v>0</v>
      </c>
      <c r="E27" s="45">
        <v>0</v>
      </c>
      <c r="F27" s="45">
        <v>0</v>
      </c>
      <c r="G27" s="45">
        <v>0</v>
      </c>
      <c r="H27" s="9">
        <f>D27+F27+'06-10-21'!H27</f>
        <v>0</v>
      </c>
      <c r="I27" s="9">
        <f>E27+G27+'06-10-21'!I27</f>
        <v>0</v>
      </c>
      <c r="J27" s="9">
        <f t="shared" si="8"/>
        <v>0</v>
      </c>
      <c r="K27" s="9">
        <f t="shared" si="10"/>
        <v>0</v>
      </c>
      <c r="L27" s="9">
        <f t="shared" si="9"/>
        <v>0</v>
      </c>
      <c r="M27" s="117"/>
    </row>
    <row r="28" spans="1:13" s="99" customFormat="1" ht="10.9" customHeight="1" x14ac:dyDescent="0.25">
      <c r="A28" s="136" t="s">
        <v>12</v>
      </c>
      <c r="B28" s="137">
        <v>55110100</v>
      </c>
      <c r="C28" s="46">
        <f>2659+6100+5341</f>
        <v>14100</v>
      </c>
      <c r="D28" s="45">
        <v>0</v>
      </c>
      <c r="E28" s="45">
        <v>0</v>
      </c>
      <c r="F28" s="45">
        <v>0</v>
      </c>
      <c r="G28" s="45">
        <v>0</v>
      </c>
      <c r="H28" s="9">
        <f>D28+F28+'06-10-21'!H28</f>
        <v>11782.5</v>
      </c>
      <c r="I28" s="9">
        <f>E28+G28+'06-10-21'!I28</f>
        <v>511.7</v>
      </c>
      <c r="J28" s="9">
        <f>H28+I28</f>
        <v>12294.2</v>
      </c>
      <c r="K28" s="9">
        <f>C28-J28</f>
        <v>1805.7999999999993</v>
      </c>
      <c r="L28" s="9">
        <f t="shared" si="9"/>
        <v>1772.0247252747595</v>
      </c>
      <c r="M28" s="117"/>
    </row>
    <row r="29" spans="1:13" ht="24.75" customHeight="1" thickBot="1" x14ac:dyDescent="0.3">
      <c r="A29" s="157" t="s">
        <v>22</v>
      </c>
      <c r="B29" s="158"/>
      <c r="C29" s="43">
        <f>SUM(C25:C26)</f>
        <v>25000</v>
      </c>
      <c r="D29" s="43">
        <f t="shared" ref="D29:L29" si="11">SUM(D25:D27)</f>
        <v>48.75</v>
      </c>
      <c r="E29" s="43">
        <f t="shared" si="11"/>
        <v>0.92</v>
      </c>
      <c r="F29" s="43">
        <f t="shared" si="11"/>
        <v>0</v>
      </c>
      <c r="G29" s="43">
        <f t="shared" si="11"/>
        <v>0</v>
      </c>
      <c r="H29" s="43">
        <f t="shared" si="11"/>
        <v>11606.25</v>
      </c>
      <c r="I29" s="43">
        <f t="shared" si="11"/>
        <v>220.38000000000002</v>
      </c>
      <c r="J29" s="43">
        <f t="shared" si="11"/>
        <v>11826.63</v>
      </c>
      <c r="K29" s="43">
        <f t="shared" si="11"/>
        <v>13173.37</v>
      </c>
      <c r="L29" s="34">
        <f t="shared" si="11"/>
        <v>13140.879258241792</v>
      </c>
    </row>
    <row r="30" spans="1:13" ht="11.25" customHeight="1" x14ac:dyDescent="0.25">
      <c r="A30" s="42"/>
      <c r="B30" s="41"/>
      <c r="C30" s="39"/>
      <c r="D30" s="39"/>
      <c r="E30" s="39"/>
      <c r="F30" s="39"/>
      <c r="G30" s="39"/>
      <c r="H30" s="39"/>
      <c r="I30" s="39"/>
      <c r="J30" s="39"/>
      <c r="K30" s="39"/>
      <c r="L30" s="39"/>
    </row>
    <row r="31" spans="1:13" ht="11.25" customHeight="1" thickBot="1" x14ac:dyDescent="0.3">
      <c r="A31" s="38"/>
      <c r="B31" s="37"/>
      <c r="C31" s="35"/>
      <c r="D31" s="35"/>
      <c r="E31" s="35"/>
      <c r="F31" s="35"/>
      <c r="G31" s="35"/>
      <c r="H31" s="35"/>
      <c r="I31" s="35"/>
      <c r="J31" s="35"/>
      <c r="K31" s="35"/>
      <c r="L31" s="35"/>
    </row>
    <row r="32" spans="1:13" ht="21.6" customHeight="1" x14ac:dyDescent="0.25">
      <c r="A32" s="159" t="s">
        <v>21</v>
      </c>
      <c r="B32" s="159"/>
      <c r="C32" s="34">
        <f>C16+C22+C29</f>
        <v>337416.24</v>
      </c>
      <c r="D32" s="34">
        <f t="shared" ref="D32:L32" si="12">D16+D22+D29</f>
        <v>6349.61</v>
      </c>
      <c r="E32" s="34">
        <f t="shared" si="12"/>
        <v>120.58</v>
      </c>
      <c r="F32" s="34">
        <f t="shared" si="12"/>
        <v>6698.2</v>
      </c>
      <c r="G32" s="34">
        <f t="shared" si="12"/>
        <v>348.28999999999996</v>
      </c>
      <c r="H32" s="34">
        <f t="shared" si="12"/>
        <v>225841.78000000003</v>
      </c>
      <c r="I32" s="34">
        <f t="shared" si="12"/>
        <v>7858.1049999999996</v>
      </c>
      <c r="J32" s="34">
        <f t="shared" si="12"/>
        <v>249283.02600000001</v>
      </c>
      <c r="K32" s="34">
        <f t="shared" si="12"/>
        <v>88133.214000000007</v>
      </c>
      <c r="L32" s="34">
        <f t="shared" si="12"/>
        <v>87448.370521978737</v>
      </c>
    </row>
    <row r="33" spans="1:13" ht="10.9" customHeight="1" x14ac:dyDescent="0.25">
      <c r="A33" s="17"/>
      <c r="B33" s="16"/>
      <c r="C33" s="15"/>
      <c r="D33" s="15"/>
      <c r="E33" s="15"/>
      <c r="F33" s="15"/>
      <c r="G33" s="15"/>
      <c r="H33" s="15"/>
      <c r="I33" s="15"/>
      <c r="J33" s="15"/>
      <c r="K33" s="15"/>
      <c r="L33" s="15"/>
    </row>
    <row r="34" spans="1:13" ht="11.25" customHeight="1" x14ac:dyDescent="0.25">
      <c r="A34" s="17"/>
      <c r="B34" s="16"/>
      <c r="C34" s="15"/>
      <c r="D34" s="15"/>
      <c r="E34" s="15"/>
      <c r="F34" s="15"/>
      <c r="G34" s="15"/>
      <c r="H34" s="15"/>
      <c r="I34" s="15"/>
      <c r="J34" s="15"/>
      <c r="K34" s="15"/>
      <c r="L34" s="15"/>
    </row>
    <row r="35" spans="1:13" s="104" customFormat="1" ht="11.25" customHeight="1" x14ac:dyDescent="0.25">
      <c r="A35" s="28" t="s">
        <v>20</v>
      </c>
      <c r="B35" s="27" t="s">
        <v>19</v>
      </c>
      <c r="C35" s="9">
        <v>0</v>
      </c>
      <c r="D35" s="45">
        <v>0</v>
      </c>
      <c r="E35" s="45">
        <v>0</v>
      </c>
      <c r="F35" s="45">
        <v>0</v>
      </c>
      <c r="G35" s="45">
        <v>0</v>
      </c>
      <c r="H35" s="9">
        <f>D35+F35+'06-10-21'!H35</f>
        <v>0</v>
      </c>
      <c r="I35" s="9">
        <f>E35+G35+'06-10-21'!I35</f>
        <v>0</v>
      </c>
      <c r="J35" s="9">
        <f t="shared" ref="J35:J53" si="13">H35+I35</f>
        <v>0</v>
      </c>
      <c r="K35" s="9">
        <f>C35-J35</f>
        <v>0</v>
      </c>
      <c r="L35" s="9">
        <f t="shared" ref="L35:L43" si="14">C35-((J35/26)*26.0714285714285)</f>
        <v>0</v>
      </c>
      <c r="M35" s="119"/>
    </row>
    <row r="36" spans="1:13" s="104" customFormat="1" ht="11.25" customHeight="1" x14ac:dyDescent="0.25">
      <c r="A36" s="32" t="s">
        <v>123</v>
      </c>
      <c r="B36" s="132" t="s">
        <v>55</v>
      </c>
      <c r="C36" s="9">
        <f>2795.22+12000</f>
        <v>14795.22</v>
      </c>
      <c r="D36" s="10">
        <v>200</v>
      </c>
      <c r="E36" s="10">
        <v>3.8</v>
      </c>
      <c r="F36" s="10">
        <v>600</v>
      </c>
      <c r="G36" s="10">
        <v>31.2</v>
      </c>
      <c r="H36" s="9">
        <f>D36+F36+'06-10-21'!H36</f>
        <v>9780.5</v>
      </c>
      <c r="I36" s="9">
        <f>E36+G36+'06-10-21'!I36</f>
        <v>449.5</v>
      </c>
      <c r="J36" s="9">
        <f>H36+I36</f>
        <v>10230</v>
      </c>
      <c r="K36" s="9">
        <f>C36-J36</f>
        <v>4565.2199999999993</v>
      </c>
      <c r="L36" s="9">
        <f t="shared" si="14"/>
        <v>4537.1156043956325</v>
      </c>
      <c r="M36" s="129"/>
    </row>
    <row r="37" spans="1:13" s="104" customFormat="1" ht="11.25" hidden="1" customHeight="1" x14ac:dyDescent="0.25">
      <c r="A37" s="32" t="s">
        <v>18</v>
      </c>
      <c r="B37" s="27" t="s">
        <v>17</v>
      </c>
      <c r="C37" s="105">
        <v>0</v>
      </c>
      <c r="D37" s="10"/>
      <c r="E37" s="10"/>
      <c r="F37" s="10"/>
      <c r="G37" s="10"/>
      <c r="H37" s="9">
        <f>D37+F37+'06-10-21'!H37</f>
        <v>0</v>
      </c>
      <c r="I37" s="9">
        <f>E37+G37+'06-10-21'!I37</f>
        <v>-1.0000000000005116E-2</v>
      </c>
      <c r="J37" s="9">
        <f t="shared" si="13"/>
        <v>-1.0000000000005116E-2</v>
      </c>
      <c r="K37" s="9">
        <f t="shared" ref="K37:K49" si="15">C37-J37</f>
        <v>1.0000000000005116E-2</v>
      </c>
      <c r="L37" s="9">
        <f t="shared" si="14"/>
        <v>1.002747252747763E-2</v>
      </c>
      <c r="M37" s="119"/>
    </row>
    <row r="38" spans="1:13" s="106" customFormat="1" ht="11.25" customHeight="1" x14ac:dyDescent="0.25">
      <c r="A38" s="28" t="s">
        <v>16</v>
      </c>
      <c r="B38" s="29" t="s">
        <v>15</v>
      </c>
      <c r="C38" s="9">
        <v>0</v>
      </c>
      <c r="D38" s="45">
        <v>0</v>
      </c>
      <c r="E38" s="45">
        <v>0</v>
      </c>
      <c r="F38" s="45">
        <v>0</v>
      </c>
      <c r="G38" s="45">
        <v>0</v>
      </c>
      <c r="H38" s="9">
        <f>D38+F38+'06-10-21'!H38</f>
        <v>0</v>
      </c>
      <c r="I38" s="9">
        <f>E38+G38+'06-10-21'!I38</f>
        <v>0</v>
      </c>
      <c r="J38" s="9">
        <f t="shared" si="13"/>
        <v>0</v>
      </c>
      <c r="K38" s="9">
        <f t="shared" si="15"/>
        <v>0</v>
      </c>
      <c r="L38" s="9">
        <f t="shared" si="14"/>
        <v>0</v>
      </c>
      <c r="M38" s="120"/>
    </row>
    <row r="39" spans="1:13" s="106" customFormat="1" ht="11.25" customHeight="1" x14ac:dyDescent="0.25">
      <c r="A39" s="28" t="s">
        <v>150</v>
      </c>
      <c r="B39" s="132" t="s">
        <v>13</v>
      </c>
      <c r="C39" s="9">
        <f>2500</f>
        <v>2500</v>
      </c>
      <c r="D39" s="9">
        <v>53.07</v>
      </c>
      <c r="E39" s="9">
        <v>1</v>
      </c>
      <c r="F39" s="9">
        <v>0</v>
      </c>
      <c r="G39" s="9">
        <v>0</v>
      </c>
      <c r="H39" s="9">
        <f>D39+F39+'06-10-21'!H39</f>
        <v>1907.3099999999995</v>
      </c>
      <c r="I39" s="9">
        <f>E39+G39+'06-10-21'!I39</f>
        <v>36.089999999999996</v>
      </c>
      <c r="J39" s="10">
        <f t="shared" si="13"/>
        <v>1943.3999999999994</v>
      </c>
      <c r="K39" s="9">
        <f t="shared" si="15"/>
        <v>556.60000000000059</v>
      </c>
      <c r="L39" s="9">
        <f t="shared" si="14"/>
        <v>551.26098901099522</v>
      </c>
      <c r="M39" s="116"/>
    </row>
    <row r="40" spans="1:13" s="106" customFormat="1" ht="11.25" customHeight="1" x14ac:dyDescent="0.25">
      <c r="A40" s="28" t="s">
        <v>11</v>
      </c>
      <c r="B40" s="27" t="s">
        <v>10</v>
      </c>
      <c r="C40" s="9">
        <v>0</v>
      </c>
      <c r="D40" s="45">
        <v>0</v>
      </c>
      <c r="E40" s="45">
        <v>0</v>
      </c>
      <c r="F40" s="45">
        <v>0</v>
      </c>
      <c r="G40" s="45">
        <v>0</v>
      </c>
      <c r="H40" s="9">
        <f>D40+F40+'06-10-21'!H40</f>
        <v>0</v>
      </c>
      <c r="I40" s="9">
        <f>E40+G40+'06-10-21'!I40</f>
        <v>0</v>
      </c>
      <c r="J40" s="9">
        <f t="shared" si="13"/>
        <v>0</v>
      </c>
      <c r="K40" s="9">
        <f t="shared" si="15"/>
        <v>0</v>
      </c>
      <c r="L40" s="9">
        <f t="shared" si="14"/>
        <v>0</v>
      </c>
      <c r="M40" s="126"/>
    </row>
    <row r="41" spans="1:13" s="106" customFormat="1" ht="11.25" customHeight="1" x14ac:dyDescent="0.25">
      <c r="A41" s="25" t="s">
        <v>105</v>
      </c>
      <c r="B41" s="108" t="s">
        <v>69</v>
      </c>
      <c r="C41" s="9">
        <v>1500</v>
      </c>
      <c r="D41" s="45">
        <v>0</v>
      </c>
      <c r="E41" s="45">
        <v>0</v>
      </c>
      <c r="F41" s="45">
        <v>0</v>
      </c>
      <c r="G41" s="45">
        <v>0</v>
      </c>
      <c r="H41" s="9">
        <f>D41+F41+'06-10-21'!H41</f>
        <v>1122.3499999999997</v>
      </c>
      <c r="I41" s="9">
        <f>E41+G41+'06-10-21'!I41</f>
        <v>21.117000000000004</v>
      </c>
      <c r="J41" s="9">
        <f t="shared" si="13"/>
        <v>1143.4669999999996</v>
      </c>
      <c r="K41" s="9">
        <f t="shared" si="15"/>
        <v>356.53300000000036</v>
      </c>
      <c r="L41" s="9">
        <f t="shared" si="14"/>
        <v>353.39160714286072</v>
      </c>
      <c r="M41" s="126"/>
    </row>
    <row r="42" spans="1:13" s="106" customFormat="1" ht="11.45" customHeight="1" x14ac:dyDescent="0.25">
      <c r="A42" s="25" t="s">
        <v>89</v>
      </c>
      <c r="B42" s="108" t="s">
        <v>88</v>
      </c>
      <c r="C42" s="9">
        <v>1200</v>
      </c>
      <c r="D42" s="45">
        <v>0</v>
      </c>
      <c r="E42" s="45">
        <v>0</v>
      </c>
      <c r="F42" s="45">
        <v>0</v>
      </c>
      <c r="G42" s="45">
        <v>0</v>
      </c>
      <c r="H42" s="9">
        <f>D42+F42+'06-10-21'!H42</f>
        <v>633.79999999999995</v>
      </c>
      <c r="I42" s="9">
        <f>E42+G42+'06-10-21'!I42</f>
        <v>11.979999999999999</v>
      </c>
      <c r="J42" s="9">
        <f t="shared" si="13"/>
        <v>645.78</v>
      </c>
      <c r="K42" s="9">
        <f>C42-J42</f>
        <v>554.22</v>
      </c>
      <c r="L42" s="9">
        <f t="shared" si="14"/>
        <v>552.44587912088093</v>
      </c>
      <c r="M42" s="120"/>
    </row>
    <row r="43" spans="1:13" s="98" customFormat="1" ht="11.45" customHeight="1" x14ac:dyDescent="0.2">
      <c r="A43" s="25" t="s">
        <v>61</v>
      </c>
      <c r="B43" s="108" t="s">
        <v>62</v>
      </c>
      <c r="C43" s="9">
        <f>9800+1200+450+22.83+6710</f>
        <v>18182.830000000002</v>
      </c>
      <c r="D43" s="45">
        <v>0</v>
      </c>
      <c r="E43" s="45">
        <v>0</v>
      </c>
      <c r="F43" s="45">
        <v>0</v>
      </c>
      <c r="G43" s="45">
        <v>0</v>
      </c>
      <c r="H43" s="9">
        <f>D43+F43+'06-10-21'!H43</f>
        <v>11025</v>
      </c>
      <c r="I43" s="9">
        <f>E43+G43+'06-10-21'!I43</f>
        <v>447.83</v>
      </c>
      <c r="J43" s="9">
        <f t="shared" si="13"/>
        <v>11472.83</v>
      </c>
      <c r="K43" s="9">
        <f>C43-J43</f>
        <v>6710.0000000000018</v>
      </c>
      <c r="L43" s="9">
        <f t="shared" si="14"/>
        <v>6678.4812362637695</v>
      </c>
      <c r="M43" s="150"/>
    </row>
    <row r="44" spans="1:13" s="98" customFormat="1" ht="11.45" customHeight="1" x14ac:dyDescent="0.25">
      <c r="A44" s="25" t="s">
        <v>59</v>
      </c>
      <c r="B44" s="108" t="s">
        <v>60</v>
      </c>
      <c r="C44" s="9">
        <f>2453.12+2598.45+16442.41</f>
        <v>21493.98</v>
      </c>
      <c r="D44" s="109">
        <v>60</v>
      </c>
      <c r="E44" s="109">
        <v>1.1399999999999999</v>
      </c>
      <c r="F44" s="109">
        <v>0</v>
      </c>
      <c r="G44" s="109">
        <v>0</v>
      </c>
      <c r="H44" s="9">
        <f>D44+F44+'06-10-21'!H44</f>
        <v>5633.83</v>
      </c>
      <c r="I44" s="9">
        <f>E44+G44+'06-10-21'!I44</f>
        <v>106.92999999999998</v>
      </c>
      <c r="J44" s="9">
        <f t="shared" si="13"/>
        <v>5740.76</v>
      </c>
      <c r="K44" s="9">
        <f>C44-J44</f>
        <v>15753.22</v>
      </c>
      <c r="L44" s="9">
        <f t="shared" ref="L44:L53" si="16">C44-((J44/26)*26.0714285714285)</f>
        <v>15737.448681318696</v>
      </c>
      <c r="M44" s="116"/>
    </row>
    <row r="45" spans="1:13" s="98" customFormat="1" ht="11.45" customHeight="1" x14ac:dyDescent="0.25">
      <c r="A45" s="25" t="s">
        <v>70</v>
      </c>
      <c r="B45" s="108" t="s">
        <v>71</v>
      </c>
      <c r="C45" s="9">
        <v>5600</v>
      </c>
      <c r="D45" s="45">
        <v>0</v>
      </c>
      <c r="E45" s="45">
        <v>0</v>
      </c>
      <c r="F45" s="45">
        <v>0</v>
      </c>
      <c r="G45" s="45">
        <v>0</v>
      </c>
      <c r="H45" s="9">
        <f>D45+F45+'06-10-21'!H45</f>
        <v>4041.7000000000003</v>
      </c>
      <c r="I45" s="9">
        <f>E45+G45+'06-10-21'!I45</f>
        <v>76.720000000000013</v>
      </c>
      <c r="J45" s="9">
        <f t="shared" si="13"/>
        <v>4118.42</v>
      </c>
      <c r="K45" s="9">
        <f t="shared" ref="K45" si="17">C45-J45</f>
        <v>1481.58</v>
      </c>
      <c r="L45" s="9">
        <f t="shared" si="16"/>
        <v>1470.2656593406709</v>
      </c>
      <c r="M45" s="116"/>
    </row>
    <row r="46" spans="1:13" s="98" customFormat="1" ht="11.45" customHeight="1" x14ac:dyDescent="0.2">
      <c r="A46" s="25" t="s">
        <v>7</v>
      </c>
      <c r="B46" s="108" t="s">
        <v>6</v>
      </c>
      <c r="C46" s="9">
        <f>1609.56+4300</f>
        <v>5909.5599999999995</v>
      </c>
      <c r="D46" s="45">
        <v>0</v>
      </c>
      <c r="E46" s="45">
        <v>0</v>
      </c>
      <c r="F46" s="45">
        <v>0</v>
      </c>
      <c r="G46" s="45">
        <v>0</v>
      </c>
      <c r="H46" s="9">
        <f>D46+F46+'06-10-21'!H46</f>
        <v>1267.5</v>
      </c>
      <c r="I46" s="9">
        <f>E46+G46+'06-10-21'!I46</f>
        <v>24.05</v>
      </c>
      <c r="J46" s="9">
        <f t="shared" si="13"/>
        <v>1291.55</v>
      </c>
      <c r="K46" s="9">
        <f>C46-J46</f>
        <v>4618.0099999999993</v>
      </c>
      <c r="L46" s="9">
        <f t="shared" si="16"/>
        <v>4614.4617857142894</v>
      </c>
      <c r="M46" s="150"/>
    </row>
    <row r="47" spans="1:13" s="98" customFormat="1" ht="11.45" customHeight="1" x14ac:dyDescent="0.25">
      <c r="A47" s="25" t="s">
        <v>9</v>
      </c>
      <c r="B47" s="108" t="s">
        <v>8</v>
      </c>
      <c r="C47" s="9">
        <v>0</v>
      </c>
      <c r="D47" s="45">
        <v>0</v>
      </c>
      <c r="E47" s="45">
        <v>0</v>
      </c>
      <c r="F47" s="45">
        <v>0</v>
      </c>
      <c r="G47" s="45">
        <v>0</v>
      </c>
      <c r="H47" s="9">
        <f>D47+F47+'06-10-21'!H47</f>
        <v>0</v>
      </c>
      <c r="I47" s="9">
        <f>E47+G47+'06-10-21'!I47</f>
        <v>0</v>
      </c>
      <c r="J47" s="9">
        <f t="shared" si="13"/>
        <v>0</v>
      </c>
      <c r="K47" s="9">
        <f t="shared" si="15"/>
        <v>0</v>
      </c>
      <c r="L47" s="9">
        <f t="shared" si="16"/>
        <v>0</v>
      </c>
      <c r="M47" s="116"/>
    </row>
    <row r="48" spans="1:13" s="98" customFormat="1" ht="11.45" customHeight="1" x14ac:dyDescent="0.25">
      <c r="A48" s="25" t="s">
        <v>63</v>
      </c>
      <c r="B48" s="108" t="s">
        <v>66</v>
      </c>
      <c r="C48" s="9">
        <v>1784.19</v>
      </c>
      <c r="D48" s="45">
        <v>0</v>
      </c>
      <c r="E48" s="45">
        <v>0</v>
      </c>
      <c r="F48" s="45">
        <v>0</v>
      </c>
      <c r="G48" s="45">
        <v>0</v>
      </c>
      <c r="H48" s="9">
        <f>D48+F48+'06-10-21'!H48</f>
        <v>1504</v>
      </c>
      <c r="I48" s="9">
        <f>E48+G48+'06-10-21'!I48</f>
        <v>78.179999999999993</v>
      </c>
      <c r="J48" s="9">
        <f t="shared" si="13"/>
        <v>1582.18</v>
      </c>
      <c r="K48" s="9">
        <f t="shared" si="15"/>
        <v>202.01</v>
      </c>
      <c r="L48" s="9">
        <f t="shared" si="16"/>
        <v>197.66335164835596</v>
      </c>
      <c r="M48" s="116"/>
    </row>
    <row r="49" spans="1:13" s="98" customFormat="1" ht="11.45" hidden="1" customHeight="1" x14ac:dyDescent="0.25">
      <c r="A49" s="25" t="s">
        <v>64</v>
      </c>
      <c r="B49" s="108" t="s">
        <v>65</v>
      </c>
      <c r="C49" s="97"/>
      <c r="D49" s="45"/>
      <c r="E49" s="45"/>
      <c r="F49" s="45"/>
      <c r="G49" s="45"/>
      <c r="H49" s="9">
        <f>D49+F49+'06-10-21'!H49</f>
        <v>0</v>
      </c>
      <c r="I49" s="9">
        <f>E49+G49+'06-10-21'!I49</f>
        <v>0</v>
      </c>
      <c r="J49" s="9">
        <f t="shared" si="13"/>
        <v>0</v>
      </c>
      <c r="K49" s="9">
        <f t="shared" si="15"/>
        <v>0</v>
      </c>
      <c r="L49" s="9">
        <f t="shared" si="16"/>
        <v>0</v>
      </c>
      <c r="M49" s="116"/>
    </row>
    <row r="50" spans="1:13" s="110" customFormat="1" ht="11.25" customHeight="1" x14ac:dyDescent="0.25">
      <c r="A50" s="25" t="s">
        <v>57</v>
      </c>
      <c r="B50" s="108" t="s">
        <v>58</v>
      </c>
      <c r="C50" s="109">
        <v>5369</v>
      </c>
      <c r="D50" s="45">
        <v>0</v>
      </c>
      <c r="E50" s="45">
        <v>0</v>
      </c>
      <c r="F50" s="45">
        <v>0</v>
      </c>
      <c r="G50" s="45">
        <v>0</v>
      </c>
      <c r="H50" s="9">
        <f>D50+F50+'06-10-21'!H50</f>
        <v>1682.0900000000001</v>
      </c>
      <c r="I50" s="9">
        <f>E50+G50+'06-10-21'!I50</f>
        <v>31.85</v>
      </c>
      <c r="J50" s="9">
        <f t="shared" si="13"/>
        <v>1713.94</v>
      </c>
      <c r="K50" s="9">
        <f>C50-J50</f>
        <v>3655.06</v>
      </c>
      <c r="L50" s="9">
        <f t="shared" si="16"/>
        <v>3650.3513736263785</v>
      </c>
      <c r="M50" s="115"/>
    </row>
    <row r="51" spans="1:13" s="110" customFormat="1" ht="11.25" customHeight="1" x14ac:dyDescent="0.25">
      <c r="A51" s="25" t="s">
        <v>95</v>
      </c>
      <c r="B51" s="108" t="s">
        <v>94</v>
      </c>
      <c r="C51" s="109">
        <f>2000+1000+500</f>
        <v>3500</v>
      </c>
      <c r="D51" s="45">
        <v>0</v>
      </c>
      <c r="E51" s="45">
        <v>0</v>
      </c>
      <c r="F51" s="45">
        <v>0</v>
      </c>
      <c r="G51" s="45">
        <v>0</v>
      </c>
      <c r="H51" s="9">
        <f>D51+F51+'06-10-21'!H51</f>
        <v>3071.5</v>
      </c>
      <c r="I51" s="9">
        <f>E51+G51+'06-10-21'!I51</f>
        <v>59.129999999999995</v>
      </c>
      <c r="J51" s="9">
        <f t="shared" si="13"/>
        <v>3130.63</v>
      </c>
      <c r="K51" s="9">
        <f>C51-J51</f>
        <v>369.36999999999989</v>
      </c>
      <c r="L51" s="9">
        <f t="shared" si="16"/>
        <v>360.76936813187694</v>
      </c>
      <c r="M51" s="116"/>
    </row>
    <row r="52" spans="1:13" s="110" customFormat="1" ht="11.25" customHeight="1" x14ac:dyDescent="0.25">
      <c r="A52" s="25" t="s">
        <v>131</v>
      </c>
      <c r="B52" s="108" t="s">
        <v>130</v>
      </c>
      <c r="C52" s="109">
        <f>28.53+2000</f>
        <v>2028.53</v>
      </c>
      <c r="D52" s="109">
        <v>600</v>
      </c>
      <c r="E52" s="109">
        <v>11.4</v>
      </c>
      <c r="F52" s="109">
        <v>0</v>
      </c>
      <c r="G52" s="109">
        <v>0</v>
      </c>
      <c r="H52" s="9">
        <f>D52+F52+'06-10-21'!H52</f>
        <v>2278</v>
      </c>
      <c r="I52" s="9">
        <f>E52+G52+'06-10-21'!I52</f>
        <v>43.28</v>
      </c>
      <c r="J52" s="9">
        <f t="shared" si="13"/>
        <v>2321.2800000000002</v>
      </c>
      <c r="K52" s="107">
        <f>C52-J52</f>
        <v>-292.75000000000023</v>
      </c>
      <c r="L52" s="9">
        <f t="shared" si="16"/>
        <v>-299.1271428571365</v>
      </c>
      <c r="M52" s="116"/>
    </row>
    <row r="53" spans="1:13" s="110" customFormat="1" ht="11.25" customHeight="1" x14ac:dyDescent="0.25">
      <c r="A53" s="25" t="s">
        <v>141</v>
      </c>
      <c r="B53" s="108" t="s">
        <v>142</v>
      </c>
      <c r="C53" s="109">
        <v>3800</v>
      </c>
      <c r="D53" s="109">
        <v>127.5</v>
      </c>
      <c r="E53" s="109">
        <v>2.42</v>
      </c>
      <c r="F53" s="109">
        <v>0</v>
      </c>
      <c r="G53" s="109">
        <v>0</v>
      </c>
      <c r="H53" s="9">
        <f>D53+F53+'06-10-21'!H53</f>
        <v>468</v>
      </c>
      <c r="I53" s="9">
        <f>E53+G53+'06-10-21'!I53</f>
        <v>8.86</v>
      </c>
      <c r="J53" s="9">
        <f t="shared" si="13"/>
        <v>476.86</v>
      </c>
      <c r="K53" s="9">
        <f>C53-J53</f>
        <v>3323.14</v>
      </c>
      <c r="L53" s="9">
        <f t="shared" si="16"/>
        <v>3321.8299450549462</v>
      </c>
      <c r="M53" s="116"/>
    </row>
    <row r="54" spans="1:13" s="110" customFormat="1" ht="11.25" customHeight="1" x14ac:dyDescent="0.2">
      <c r="A54" s="94" t="s">
        <v>155</v>
      </c>
      <c r="B54" s="148" t="s">
        <v>154</v>
      </c>
      <c r="C54" s="149">
        <v>5000</v>
      </c>
      <c r="D54" s="149">
        <v>405</v>
      </c>
      <c r="E54" s="149">
        <v>7.69</v>
      </c>
      <c r="F54" s="149">
        <v>0</v>
      </c>
      <c r="G54" s="149">
        <v>0</v>
      </c>
      <c r="H54" s="89">
        <f>D54+F54</f>
        <v>405</v>
      </c>
      <c r="I54" s="89">
        <f>E54+G54</f>
        <v>7.69</v>
      </c>
      <c r="J54" s="89">
        <f t="shared" ref="J54" si="18">H54+I54</f>
        <v>412.69</v>
      </c>
      <c r="K54" s="89">
        <f>C54-J54</f>
        <v>4587.3100000000004</v>
      </c>
      <c r="L54" s="89">
        <f t="shared" ref="L54" si="19">C54-((J54/26)*26.0714285714285)</f>
        <v>4586.1762362637373</v>
      </c>
      <c r="M54" s="150"/>
    </row>
    <row r="55" spans="1:13" ht="21.6" customHeight="1" x14ac:dyDescent="0.25">
      <c r="A55" s="153" t="s">
        <v>5</v>
      </c>
      <c r="B55" s="154"/>
      <c r="C55" s="7">
        <f>SUM(C35:C50)</f>
        <v>78334.78</v>
      </c>
      <c r="D55" s="7"/>
      <c r="E55" s="7"/>
      <c r="F55" s="7"/>
      <c r="G55" s="7"/>
      <c r="H55" s="7">
        <f>SUM(H35:H51)</f>
        <v>41669.58</v>
      </c>
      <c r="I55" s="7">
        <f>SUM(I35:I51)</f>
        <v>1343.3670000000002</v>
      </c>
      <c r="J55" s="7">
        <f>SUM(J35:J51)</f>
        <v>43012.947</v>
      </c>
      <c r="K55" s="7">
        <f>SUM(K35:K51)</f>
        <v>38821.833000000006</v>
      </c>
      <c r="L55" s="7">
        <f>SUM(L35:L51)</f>
        <v>38703.665563186936</v>
      </c>
      <c r="M55" s="133"/>
    </row>
    <row r="56" spans="1:13" ht="10.9" customHeight="1" x14ac:dyDescent="0.25">
      <c r="A56" s="17"/>
      <c r="B56" s="16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33"/>
    </row>
    <row r="57" spans="1:13" ht="10.9" customHeight="1" x14ac:dyDescent="0.25">
      <c r="A57" s="17"/>
      <c r="B57" s="16"/>
      <c r="C57" s="15"/>
      <c r="D57" s="15"/>
      <c r="E57" s="15"/>
      <c r="F57" s="15"/>
      <c r="G57" s="15"/>
      <c r="H57" s="15"/>
      <c r="I57" s="15"/>
      <c r="J57" s="15"/>
      <c r="K57" s="15"/>
      <c r="L57" s="15"/>
    </row>
    <row r="58" spans="1:13" s="92" customFormat="1" ht="10.9" customHeight="1" x14ac:dyDescent="0.25">
      <c r="A58" s="22" t="s">
        <v>4</v>
      </c>
      <c r="B58" s="29" t="s">
        <v>3</v>
      </c>
      <c r="C58" s="9">
        <v>62583</v>
      </c>
      <c r="D58" s="10">
        <f>-314.65+1050.43</f>
        <v>735.78000000000009</v>
      </c>
      <c r="E58" s="10">
        <f>-5.97+19.95</f>
        <v>13.98</v>
      </c>
      <c r="F58" s="10">
        <v>656.25</v>
      </c>
      <c r="G58" s="10">
        <v>34.119999999999997</v>
      </c>
      <c r="H58" s="9">
        <f>D58+F58+'06-10-21'!H57</f>
        <v>29174.379999999997</v>
      </c>
      <c r="I58" s="9">
        <f>E58+G58+'06-10-21'!I57</f>
        <v>705.73200000000008</v>
      </c>
      <c r="J58" s="9">
        <f t="shared" ref="J58:J59" si="20">H58+I58</f>
        <v>29880.111999999997</v>
      </c>
      <c r="K58" s="9">
        <f>C58-J58</f>
        <v>32702.888000000003</v>
      </c>
      <c r="L58" s="9">
        <f t="shared" ref="L58:L59" si="21">C58-((J58/26)*26.0714285714285)</f>
        <v>32620.799780219866</v>
      </c>
      <c r="M58" s="115"/>
    </row>
    <row r="59" spans="1:13" s="92" customFormat="1" ht="10.9" customHeight="1" x14ac:dyDescent="0.25">
      <c r="A59" s="22" t="s">
        <v>112</v>
      </c>
      <c r="B59" s="29" t="s">
        <v>111</v>
      </c>
      <c r="C59" s="9">
        <v>11243</v>
      </c>
      <c r="D59" s="9">
        <v>0</v>
      </c>
      <c r="E59" s="9">
        <v>0</v>
      </c>
      <c r="F59" s="9">
        <v>0</v>
      </c>
      <c r="G59" s="9">
        <v>0</v>
      </c>
      <c r="H59" s="9">
        <f>D59+F59+'06-10-21'!H58</f>
        <v>-1642.36</v>
      </c>
      <c r="I59" s="9">
        <f>E59+G59+'06-10-21'!I58</f>
        <v>-31.2</v>
      </c>
      <c r="J59" s="9">
        <f t="shared" si="20"/>
        <v>-1673.56</v>
      </c>
      <c r="K59" s="9">
        <f>C59-J59</f>
        <v>12916.56</v>
      </c>
      <c r="L59" s="9">
        <f t="shared" si="21"/>
        <v>12921.157692307688</v>
      </c>
      <c r="M59" s="115"/>
    </row>
    <row r="60" spans="1:13" ht="21.6" customHeight="1" x14ac:dyDescent="0.25">
      <c r="A60" s="20" t="s">
        <v>2</v>
      </c>
      <c r="B60" s="19"/>
      <c r="C60" s="18">
        <f>C58+C59</f>
        <v>73826</v>
      </c>
      <c r="D60" s="18">
        <f t="shared" ref="D60:L60" si="22">D58+D59</f>
        <v>735.78000000000009</v>
      </c>
      <c r="E60" s="18">
        <f t="shared" si="22"/>
        <v>13.98</v>
      </c>
      <c r="F60" s="18">
        <f t="shared" si="22"/>
        <v>656.25</v>
      </c>
      <c r="G60" s="18">
        <f t="shared" si="22"/>
        <v>34.119999999999997</v>
      </c>
      <c r="H60" s="18">
        <f t="shared" si="22"/>
        <v>27532.019999999997</v>
      </c>
      <c r="I60" s="18">
        <f t="shared" si="22"/>
        <v>674.53200000000004</v>
      </c>
      <c r="J60" s="18">
        <f t="shared" si="22"/>
        <v>28206.551999999996</v>
      </c>
      <c r="K60" s="18">
        <f t="shared" si="22"/>
        <v>45619.448000000004</v>
      </c>
      <c r="L60" s="18">
        <f t="shared" si="22"/>
        <v>45541.957472527552</v>
      </c>
    </row>
    <row r="61" spans="1:13" ht="10.9" customHeight="1" x14ac:dyDescent="0.25">
      <c r="A61" s="17"/>
      <c r="B61" s="16"/>
      <c r="C61" s="15"/>
      <c r="D61" s="15"/>
      <c r="E61" s="15"/>
      <c r="F61" s="15"/>
      <c r="G61" s="15"/>
      <c r="H61" s="15"/>
      <c r="I61" s="15"/>
      <c r="J61" s="15"/>
      <c r="K61" s="15"/>
      <c r="L61" s="15"/>
    </row>
    <row r="62" spans="1:13" ht="10.9" customHeight="1" x14ac:dyDescent="0.25">
      <c r="A62" s="17"/>
      <c r="B62" s="16"/>
      <c r="C62" s="15"/>
      <c r="D62" s="15"/>
      <c r="E62" s="15"/>
      <c r="F62" s="15"/>
      <c r="G62" s="15"/>
      <c r="H62" s="15"/>
      <c r="I62" s="15"/>
      <c r="J62" s="15"/>
      <c r="K62" s="15"/>
      <c r="L62" s="15"/>
    </row>
    <row r="63" spans="1:13" s="92" customFormat="1" ht="10.9" customHeight="1" x14ac:dyDescent="0.25">
      <c r="A63" s="13" t="s">
        <v>1</v>
      </c>
      <c r="B63" s="33">
        <v>55180000</v>
      </c>
      <c r="C63" s="9">
        <f>37736-15000</f>
        <v>22736</v>
      </c>
      <c r="D63" s="10">
        <v>0</v>
      </c>
      <c r="E63" s="10">
        <v>0</v>
      </c>
      <c r="F63" s="10">
        <v>438.6</v>
      </c>
      <c r="G63" s="10">
        <v>22.8</v>
      </c>
      <c r="H63" s="9">
        <f>D63+F63+'06-10-21'!H62</f>
        <v>10808.860000000004</v>
      </c>
      <c r="I63" s="9">
        <f>E63+G63+'06-10-21'!I62</f>
        <v>572.28</v>
      </c>
      <c r="J63" s="9">
        <f t="shared" ref="J63" si="23">H63+I63</f>
        <v>11381.140000000005</v>
      </c>
      <c r="K63" s="9">
        <f>C63-J63</f>
        <v>11354.859999999995</v>
      </c>
      <c r="L63" s="9">
        <f>C63-((J63/26)*26.0714285714285)</f>
        <v>11323.59313186816</v>
      </c>
      <c r="M63" s="115"/>
    </row>
    <row r="64" spans="1:13" s="3" customFormat="1" ht="21.6" customHeight="1" x14ac:dyDescent="0.25">
      <c r="A64" s="153" t="s">
        <v>0</v>
      </c>
      <c r="B64" s="154"/>
      <c r="C64" s="7">
        <f t="shared" ref="C64:L64" si="24">SUM(C63)</f>
        <v>22736</v>
      </c>
      <c r="D64" s="7">
        <f t="shared" si="24"/>
        <v>0</v>
      </c>
      <c r="E64" s="7">
        <f t="shared" si="24"/>
        <v>0</v>
      </c>
      <c r="F64" s="7">
        <f t="shared" si="24"/>
        <v>438.6</v>
      </c>
      <c r="G64" s="7">
        <f t="shared" si="24"/>
        <v>22.8</v>
      </c>
      <c r="H64" s="7">
        <f t="shared" si="24"/>
        <v>10808.860000000004</v>
      </c>
      <c r="I64" s="7">
        <f t="shared" si="24"/>
        <v>572.28</v>
      </c>
      <c r="J64" s="7">
        <f t="shared" si="24"/>
        <v>11381.140000000005</v>
      </c>
      <c r="K64" s="7">
        <f t="shared" si="24"/>
        <v>11354.859999999995</v>
      </c>
      <c r="L64" s="7">
        <f t="shared" si="24"/>
        <v>11323.59313186816</v>
      </c>
      <c r="M64" s="122"/>
    </row>
    <row r="65" spans="1:13" s="3" customFormat="1" ht="11.25" customHeight="1" x14ac:dyDescent="0.25">
      <c r="A65" s="6"/>
      <c r="B65" s="5"/>
      <c r="C65" s="4"/>
      <c r="D65" s="4"/>
      <c r="E65" s="4"/>
      <c r="F65" s="4"/>
      <c r="G65" s="4"/>
      <c r="H65" s="4"/>
      <c r="I65" s="4"/>
      <c r="J65" s="4"/>
      <c r="K65" s="4"/>
      <c r="L65" s="4"/>
      <c r="M65" s="122"/>
    </row>
    <row r="66" spans="1:13" s="2" customFormat="1" ht="10.5" customHeight="1" x14ac:dyDescent="0.25">
      <c r="A66" s="160" t="s">
        <v>72</v>
      </c>
      <c r="B66" s="160"/>
      <c r="C66" s="160"/>
      <c r="D66" s="160"/>
      <c r="E66" s="160"/>
      <c r="F66" s="160"/>
      <c r="G66" s="82">
        <v>12000</v>
      </c>
      <c r="M66" s="111"/>
    </row>
    <row r="67" spans="1:13" s="2" customFormat="1" ht="10.5" customHeight="1" x14ac:dyDescent="0.25">
      <c r="A67" s="160" t="s">
        <v>73</v>
      </c>
      <c r="B67" s="160"/>
      <c r="C67" s="160"/>
      <c r="D67" s="160"/>
      <c r="E67" s="160"/>
      <c r="F67" s="160"/>
      <c r="G67" s="82">
        <v>5600</v>
      </c>
      <c r="M67" s="111"/>
    </row>
    <row r="68" spans="1:13" ht="10.5" customHeight="1" x14ac:dyDescent="0.25">
      <c r="A68" s="160" t="s">
        <v>76</v>
      </c>
      <c r="B68" s="160"/>
      <c r="C68" s="160"/>
      <c r="D68" s="160"/>
      <c r="E68" s="160"/>
      <c r="F68" s="160"/>
      <c r="G68" s="82">
        <v>9800</v>
      </c>
    </row>
    <row r="69" spans="1:13" ht="10.5" customHeight="1" x14ac:dyDescent="0.25">
      <c r="A69" s="160" t="s">
        <v>75</v>
      </c>
      <c r="B69" s="160"/>
      <c r="C69" s="160"/>
      <c r="D69" s="160"/>
      <c r="E69" s="160"/>
      <c r="F69" s="160"/>
      <c r="G69" s="82">
        <v>1500</v>
      </c>
    </row>
    <row r="70" spans="1:13" ht="10.5" customHeight="1" x14ac:dyDescent="0.25">
      <c r="A70" s="160" t="s">
        <v>74</v>
      </c>
      <c r="B70" s="160"/>
      <c r="C70" s="160"/>
      <c r="D70" s="160"/>
      <c r="E70" s="160"/>
      <c r="F70" s="160"/>
      <c r="G70" s="82">
        <v>843.44</v>
      </c>
    </row>
    <row r="71" spans="1:13" ht="10.5" customHeight="1" x14ac:dyDescent="0.25">
      <c r="A71" s="160" t="s">
        <v>77</v>
      </c>
      <c r="B71" s="160"/>
      <c r="C71" s="160"/>
      <c r="D71" s="160"/>
      <c r="E71" s="160"/>
      <c r="F71" s="160"/>
      <c r="G71" s="82">
        <v>1784.19</v>
      </c>
    </row>
    <row r="72" spans="1:13" ht="10.5" customHeight="1" x14ac:dyDescent="0.25">
      <c r="A72" s="160" t="s">
        <v>78</v>
      </c>
      <c r="B72" s="160"/>
      <c r="C72" s="160"/>
      <c r="D72" s="160"/>
      <c r="E72" s="160"/>
      <c r="F72" s="160"/>
      <c r="G72" s="82">
        <v>2453.12</v>
      </c>
    </row>
    <row r="73" spans="1:13" s="2" customFormat="1" ht="10.5" customHeight="1" x14ac:dyDescent="0.25">
      <c r="A73" s="160" t="s">
        <v>84</v>
      </c>
      <c r="B73" s="160"/>
      <c r="C73" s="160"/>
      <c r="D73" s="160"/>
      <c r="E73" s="160"/>
      <c r="F73" s="160"/>
      <c r="G73" s="82">
        <v>2598.4499999999998</v>
      </c>
      <c r="M73" s="112"/>
    </row>
    <row r="74" spans="1:13" s="2" customFormat="1" ht="10.5" customHeight="1" x14ac:dyDescent="0.25">
      <c r="A74" s="160" t="s">
        <v>134</v>
      </c>
      <c r="B74" s="160"/>
      <c r="C74" s="160"/>
      <c r="D74" s="160"/>
      <c r="E74" s="160"/>
      <c r="F74" s="160"/>
      <c r="G74" s="82">
        <v>2659</v>
      </c>
      <c r="M74" s="112"/>
    </row>
    <row r="75" spans="1:13" s="2" customFormat="1" ht="10.5" customHeight="1" x14ac:dyDescent="0.25">
      <c r="A75" s="160" t="s">
        <v>90</v>
      </c>
      <c r="B75" s="160"/>
      <c r="C75" s="160"/>
      <c r="D75" s="160"/>
      <c r="E75" s="160"/>
      <c r="F75" s="160"/>
      <c r="G75" s="82">
        <v>1200</v>
      </c>
      <c r="M75" s="112"/>
    </row>
    <row r="76" spans="1:13" s="2" customFormat="1" ht="10.5" customHeight="1" x14ac:dyDescent="0.25">
      <c r="A76" s="160" t="s">
        <v>93</v>
      </c>
      <c r="B76" s="160"/>
      <c r="C76" s="160"/>
      <c r="D76" s="160"/>
      <c r="E76" s="160"/>
      <c r="F76" s="160"/>
      <c r="G76" s="82">
        <v>2109</v>
      </c>
      <c r="M76" s="111"/>
    </row>
    <row r="77" spans="1:13" s="2" customFormat="1" ht="10.5" customHeight="1" x14ac:dyDescent="0.25">
      <c r="A77" s="160" t="s">
        <v>100</v>
      </c>
      <c r="B77" s="160"/>
      <c r="C77" s="160"/>
      <c r="D77" s="160"/>
      <c r="E77" s="160"/>
      <c r="F77" s="160"/>
      <c r="G77" s="82">
        <v>6100</v>
      </c>
      <c r="M77" s="111"/>
    </row>
    <row r="78" spans="1:13" s="2" customFormat="1" ht="10.5" customHeight="1" x14ac:dyDescent="0.25">
      <c r="A78" s="160" t="s">
        <v>102</v>
      </c>
      <c r="B78" s="160"/>
      <c r="C78" s="160"/>
      <c r="D78" s="160"/>
      <c r="E78" s="160"/>
      <c r="F78" s="160"/>
      <c r="G78" s="82">
        <v>5369</v>
      </c>
      <c r="M78" s="112"/>
    </row>
    <row r="79" spans="1:13" ht="10.5" customHeight="1" x14ac:dyDescent="0.25">
      <c r="A79" s="160" t="s">
        <v>106</v>
      </c>
      <c r="B79" s="160"/>
      <c r="C79" s="160"/>
      <c r="D79" s="160"/>
      <c r="E79" s="160"/>
      <c r="F79" s="160"/>
      <c r="G79" s="82">
        <v>16442.41</v>
      </c>
    </row>
    <row r="80" spans="1:13" ht="10.5" customHeight="1" x14ac:dyDescent="0.25">
      <c r="A80" s="160" t="s">
        <v>107</v>
      </c>
      <c r="B80" s="160"/>
      <c r="C80" s="160"/>
      <c r="D80" s="160"/>
      <c r="E80" s="160"/>
      <c r="F80" s="160"/>
      <c r="G80" s="82">
        <v>1609.56</v>
      </c>
    </row>
    <row r="81" spans="1:13" s="2" customFormat="1" ht="10.5" customHeight="1" x14ac:dyDescent="0.25">
      <c r="A81" s="160" t="s">
        <v>140</v>
      </c>
      <c r="B81" s="160"/>
      <c r="C81" s="160"/>
      <c r="D81" s="160"/>
      <c r="E81" s="160"/>
      <c r="F81" s="160"/>
      <c r="G81" s="82">
        <v>1000</v>
      </c>
      <c r="M81" s="112"/>
    </row>
    <row r="82" spans="1:13" ht="10.5" customHeight="1" x14ac:dyDescent="0.25">
      <c r="A82" s="160" t="s">
        <v>113</v>
      </c>
      <c r="B82" s="160"/>
      <c r="C82" s="160"/>
      <c r="D82" s="160"/>
      <c r="E82" s="160"/>
      <c r="F82" s="160"/>
      <c r="G82" s="82">
        <v>75940.289999999994</v>
      </c>
    </row>
    <row r="83" spans="1:13" s="2" customFormat="1" ht="10.5" customHeight="1" x14ac:dyDescent="0.25">
      <c r="A83" s="160" t="s">
        <v>115</v>
      </c>
      <c r="B83" s="160"/>
      <c r="C83" s="160"/>
      <c r="D83" s="160"/>
      <c r="E83" s="160"/>
      <c r="F83" s="160"/>
      <c r="G83" s="82">
        <v>1200</v>
      </c>
      <c r="M83" s="112"/>
    </row>
    <row r="84" spans="1:13" s="2" customFormat="1" ht="10.5" customHeight="1" x14ac:dyDescent="0.25">
      <c r="A84" s="160" t="s">
        <v>117</v>
      </c>
      <c r="B84" s="160"/>
      <c r="C84" s="160"/>
      <c r="D84" s="160"/>
      <c r="E84" s="160"/>
      <c r="F84" s="160"/>
      <c r="G84" s="82">
        <v>4208</v>
      </c>
      <c r="M84" s="112"/>
    </row>
    <row r="85" spans="1:13" ht="10.5" customHeight="1" x14ac:dyDescent="0.25">
      <c r="A85" s="160" t="s">
        <v>118</v>
      </c>
      <c r="B85" s="160"/>
      <c r="C85" s="160"/>
      <c r="D85" s="160"/>
      <c r="E85" s="160"/>
      <c r="F85" s="160"/>
      <c r="G85" s="82">
        <v>500</v>
      </c>
    </row>
    <row r="86" spans="1:13" s="2" customFormat="1" ht="10.5" customHeight="1" x14ac:dyDescent="0.25">
      <c r="A86" s="160" t="s">
        <v>133</v>
      </c>
      <c r="B86" s="160"/>
      <c r="C86" s="160"/>
      <c r="D86" s="160"/>
      <c r="E86" s="160"/>
      <c r="F86" s="160"/>
      <c r="G86" s="134">
        <v>3360</v>
      </c>
      <c r="M86" s="112"/>
    </row>
    <row r="87" spans="1:13" s="2" customFormat="1" ht="10.5" customHeight="1" x14ac:dyDescent="0.25">
      <c r="A87" s="160" t="s">
        <v>124</v>
      </c>
      <c r="B87" s="160"/>
      <c r="C87" s="160"/>
      <c r="D87" s="160"/>
      <c r="E87" s="160"/>
      <c r="F87" s="160"/>
      <c r="G87" s="134">
        <v>-137.84</v>
      </c>
      <c r="M87" s="112"/>
    </row>
    <row r="88" spans="1:13" s="2" customFormat="1" ht="10.5" customHeight="1" x14ac:dyDescent="0.25">
      <c r="A88" s="160" t="s">
        <v>126</v>
      </c>
      <c r="B88" s="160"/>
      <c r="C88" s="160"/>
      <c r="D88" s="160"/>
      <c r="E88" s="160"/>
      <c r="F88" s="160"/>
      <c r="G88" s="134">
        <v>2500</v>
      </c>
      <c r="M88" s="112"/>
    </row>
    <row r="89" spans="1:13" s="2" customFormat="1" ht="10.5" customHeight="1" x14ac:dyDescent="0.25">
      <c r="A89" s="160" t="s">
        <v>127</v>
      </c>
      <c r="B89" s="160"/>
      <c r="C89" s="160"/>
      <c r="D89" s="160"/>
      <c r="E89" s="160"/>
      <c r="F89" s="160"/>
      <c r="G89" s="134">
        <v>61.23</v>
      </c>
      <c r="M89" s="112"/>
    </row>
    <row r="90" spans="1:13" ht="10.5" customHeight="1" x14ac:dyDescent="0.25">
      <c r="A90" s="138" t="s">
        <v>139</v>
      </c>
      <c r="B90" s="139"/>
      <c r="C90" s="140"/>
      <c r="D90" s="140"/>
      <c r="E90" s="140"/>
      <c r="F90" s="140"/>
      <c r="G90" s="135">
        <v>28.53</v>
      </c>
    </row>
    <row r="91" spans="1:13" ht="10.5" customHeight="1" x14ac:dyDescent="0.25">
      <c r="A91" s="138" t="s">
        <v>138</v>
      </c>
      <c r="B91" s="139"/>
      <c r="C91" s="140"/>
      <c r="D91" s="140"/>
      <c r="E91" s="140"/>
      <c r="F91" s="140"/>
      <c r="G91" s="135">
        <v>2000</v>
      </c>
    </row>
    <row r="92" spans="1:13" s="2" customFormat="1" ht="10.5" customHeight="1" x14ac:dyDescent="0.25">
      <c r="A92" s="160" t="s">
        <v>136</v>
      </c>
      <c r="B92" s="160"/>
      <c r="C92" s="160"/>
      <c r="D92" s="160"/>
      <c r="E92" s="160"/>
      <c r="F92" s="160"/>
      <c r="G92" s="82">
        <v>5341</v>
      </c>
      <c r="M92" s="111"/>
    </row>
    <row r="93" spans="1:13" ht="10.5" customHeight="1" x14ac:dyDescent="0.25">
      <c r="A93" s="138" t="s">
        <v>137</v>
      </c>
      <c r="B93" s="139"/>
      <c r="C93" s="140"/>
      <c r="D93" s="140"/>
      <c r="E93" s="140"/>
      <c r="F93" s="140"/>
      <c r="G93" s="135">
        <v>3800</v>
      </c>
    </row>
    <row r="94" spans="1:13" ht="10.5" customHeight="1" x14ac:dyDescent="0.25">
      <c r="A94" s="138" t="s">
        <v>143</v>
      </c>
      <c r="B94" s="139"/>
      <c r="C94" s="140"/>
      <c r="D94" s="140"/>
      <c r="E94" s="140"/>
      <c r="F94" s="140"/>
      <c r="G94" s="135">
        <v>450</v>
      </c>
    </row>
    <row r="95" spans="1:13" ht="9.75" customHeight="1" x14ac:dyDescent="0.25">
      <c r="A95" s="138" t="s">
        <v>145</v>
      </c>
      <c r="B95" s="139"/>
      <c r="C95" s="140"/>
      <c r="D95" s="140"/>
      <c r="E95" s="140"/>
      <c r="F95" s="140"/>
      <c r="G95" s="135">
        <v>22.83</v>
      </c>
    </row>
    <row r="96" spans="1:13" ht="10.5" customHeight="1" x14ac:dyDescent="0.25">
      <c r="A96" s="138" t="s">
        <v>147</v>
      </c>
      <c r="B96" s="139"/>
      <c r="C96" s="140"/>
      <c r="D96" s="140"/>
      <c r="E96" s="140"/>
      <c r="F96" s="140"/>
      <c r="G96" s="135">
        <v>1069.95</v>
      </c>
    </row>
    <row r="97" spans="1:13" s="2" customFormat="1" ht="10.5" customHeight="1" x14ac:dyDescent="0.25">
      <c r="A97" s="160" t="s">
        <v>149</v>
      </c>
      <c r="B97" s="160"/>
      <c r="C97" s="160"/>
      <c r="D97" s="160"/>
      <c r="E97" s="160"/>
      <c r="F97" s="160"/>
      <c r="G97" s="82">
        <v>-15000</v>
      </c>
      <c r="M97" s="111"/>
    </row>
    <row r="98" spans="1:13" s="2" customFormat="1" ht="10.5" customHeight="1" x14ac:dyDescent="0.25">
      <c r="A98" s="160" t="s">
        <v>152</v>
      </c>
      <c r="B98" s="160"/>
      <c r="C98" s="160"/>
      <c r="D98" s="160"/>
      <c r="E98" s="160"/>
      <c r="F98" s="160"/>
      <c r="G98" s="82">
        <v>1000</v>
      </c>
      <c r="M98" s="112"/>
    </row>
    <row r="99" spans="1:13" ht="10.5" customHeight="1" x14ac:dyDescent="0.25">
      <c r="A99" s="144" t="s">
        <v>156</v>
      </c>
      <c r="B99" s="145"/>
      <c r="C99" s="146"/>
      <c r="D99" s="146"/>
      <c r="E99" s="146"/>
      <c r="F99" s="146"/>
      <c r="G99" s="147">
        <v>5000</v>
      </c>
    </row>
    <row r="100" spans="1:13" ht="10.5" customHeight="1" x14ac:dyDescent="0.25">
      <c r="A100" s="138" t="s">
        <v>157</v>
      </c>
      <c r="G100" s="82">
        <v>6710</v>
      </c>
    </row>
    <row r="101" spans="1:13" ht="10.5" customHeight="1" x14ac:dyDescent="0.25">
      <c r="A101" s="138" t="s">
        <v>158</v>
      </c>
      <c r="G101" s="82">
        <v>4300</v>
      </c>
    </row>
  </sheetData>
  <mergeCells count="33">
    <mergeCell ref="A71:F71"/>
    <mergeCell ref="A16:B16"/>
    <mergeCell ref="A22:B22"/>
    <mergeCell ref="A29:B29"/>
    <mergeCell ref="A32:B32"/>
    <mergeCell ref="A55:B55"/>
    <mergeCell ref="A64:B64"/>
    <mergeCell ref="A66:F66"/>
    <mergeCell ref="A67:F67"/>
    <mergeCell ref="A68:F68"/>
    <mergeCell ref="A69:F69"/>
    <mergeCell ref="A70:F70"/>
    <mergeCell ref="A83:F83"/>
    <mergeCell ref="A72:F72"/>
    <mergeCell ref="A73:F73"/>
    <mergeCell ref="A74:F74"/>
    <mergeCell ref="A75:F75"/>
    <mergeCell ref="A76:F76"/>
    <mergeCell ref="A77:F77"/>
    <mergeCell ref="A78:F78"/>
    <mergeCell ref="A79:F79"/>
    <mergeCell ref="A80:F80"/>
    <mergeCell ref="A81:F81"/>
    <mergeCell ref="A82:F82"/>
    <mergeCell ref="A92:F92"/>
    <mergeCell ref="A97:F97"/>
    <mergeCell ref="A98:F98"/>
    <mergeCell ref="A84:F84"/>
    <mergeCell ref="A85:F85"/>
    <mergeCell ref="A86:F86"/>
    <mergeCell ref="A87:F87"/>
    <mergeCell ref="A88:F88"/>
    <mergeCell ref="A89:F89"/>
  </mergeCells>
  <pageMargins left="0.25" right="0" top="0.4" bottom="0" header="0.3" footer="0"/>
  <pageSetup scale="84" fitToWidth="0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57AF56-6834-4E31-8140-838739530299}">
  <sheetPr>
    <pageSetUpPr fitToPage="1"/>
  </sheetPr>
  <dimension ref="A1:M102"/>
  <sheetViews>
    <sheetView tabSelected="1" topLeftCell="B1" zoomScale="160" zoomScaleNormal="160" workbookViewId="0">
      <pane ySplit="2" topLeftCell="A3" activePane="bottomLeft" state="frozen"/>
      <selection pane="bottomLeft" activeCell="B1" sqref="B1"/>
    </sheetView>
  </sheetViews>
  <sheetFormatPr defaultColWidth="28" defaultRowHeight="15" x14ac:dyDescent="0.25"/>
  <cols>
    <col min="1" max="1" width="34" style="1" bestFit="1" customWidth="1"/>
    <col min="2" max="2" width="19" style="1" bestFit="1" customWidth="1"/>
    <col min="3" max="3" width="11" style="77" customWidth="1"/>
    <col min="4" max="4" width="9" style="2" bestFit="1" customWidth="1"/>
    <col min="5" max="5" width="6.85546875" style="2" bestFit="1" customWidth="1"/>
    <col min="6" max="6" width="9" style="2" bestFit="1" customWidth="1"/>
    <col min="7" max="8" width="9.28515625" style="2" bestFit="1" customWidth="1"/>
    <col min="9" max="9" width="9.42578125" style="2" bestFit="1" customWidth="1"/>
    <col min="10" max="10" width="9.7109375" style="2" bestFit="1" customWidth="1"/>
    <col min="11" max="11" width="9.28515625" style="2" bestFit="1" customWidth="1"/>
    <col min="12" max="12" width="13.42578125" style="2" bestFit="1" customWidth="1"/>
    <col min="13" max="13" width="17.85546875" style="112" customWidth="1"/>
    <col min="14" max="16384" width="28" style="1"/>
  </cols>
  <sheetData>
    <row r="1" spans="1:13" ht="11.25" customHeight="1" x14ac:dyDescent="0.25">
      <c r="A1" s="68"/>
      <c r="B1" s="67"/>
      <c r="C1" s="76"/>
      <c r="D1" s="66"/>
      <c r="E1" s="66"/>
      <c r="F1" s="66"/>
      <c r="G1" s="66"/>
      <c r="H1" s="66"/>
      <c r="I1" s="66"/>
      <c r="J1" s="66"/>
      <c r="K1" s="66"/>
      <c r="L1" s="65" t="s">
        <v>159</v>
      </c>
    </row>
    <row r="2" spans="1:13" s="61" customFormat="1" ht="23.25" x14ac:dyDescent="0.25">
      <c r="A2" s="64" t="s">
        <v>53</v>
      </c>
      <c r="B2" s="64" t="s">
        <v>52</v>
      </c>
      <c r="C2" s="63" t="s">
        <v>51</v>
      </c>
      <c r="D2" s="63" t="s">
        <v>50</v>
      </c>
      <c r="E2" s="63" t="s">
        <v>48</v>
      </c>
      <c r="F2" s="63" t="s">
        <v>49</v>
      </c>
      <c r="G2" s="63" t="s">
        <v>48</v>
      </c>
      <c r="H2" s="62" t="s">
        <v>47</v>
      </c>
      <c r="I2" s="62" t="s">
        <v>46</v>
      </c>
      <c r="J2" s="62" t="s">
        <v>45</v>
      </c>
      <c r="K2" s="62" t="s">
        <v>44</v>
      </c>
      <c r="L2" s="62" t="s">
        <v>43</v>
      </c>
      <c r="M2" s="113"/>
    </row>
    <row r="3" spans="1:13" s="101" customFormat="1" ht="11.25" customHeight="1" x14ac:dyDescent="0.25">
      <c r="A3" s="22" t="s">
        <v>42</v>
      </c>
      <c r="B3" s="29">
        <v>55010300</v>
      </c>
      <c r="C3" s="10">
        <v>4208</v>
      </c>
      <c r="D3" s="45">
        <v>0</v>
      </c>
      <c r="E3" s="45">
        <v>0</v>
      </c>
      <c r="F3" s="45">
        <v>0</v>
      </c>
      <c r="G3" s="45">
        <v>0</v>
      </c>
      <c r="H3" s="9">
        <f>D3+F3+'06-24-21'!H3</f>
        <v>0</v>
      </c>
      <c r="I3" s="9">
        <f>E3+G3+'06-24-21'!I3</f>
        <v>0</v>
      </c>
      <c r="J3" s="9">
        <f>H3+I3</f>
        <v>0</v>
      </c>
      <c r="K3" s="9">
        <f>C3-J3</f>
        <v>4208</v>
      </c>
      <c r="L3" s="9">
        <f>C3-((J3/26)*26.0714285714285)</f>
        <v>4208</v>
      </c>
      <c r="M3" s="114"/>
    </row>
    <row r="4" spans="1:13" s="101" customFormat="1" ht="11.25" customHeight="1" x14ac:dyDescent="0.25">
      <c r="A4" s="22" t="s">
        <v>41</v>
      </c>
      <c r="B4" s="29">
        <v>55010500</v>
      </c>
      <c r="C4" s="9">
        <f>3229-1000</f>
        <v>2229</v>
      </c>
      <c r="D4" s="45">
        <v>0</v>
      </c>
      <c r="E4" s="45">
        <v>0</v>
      </c>
      <c r="F4" s="45">
        <v>0</v>
      </c>
      <c r="G4" s="45">
        <v>0</v>
      </c>
      <c r="H4" s="9">
        <f>D4+F4+'06-24-21'!H4</f>
        <v>0</v>
      </c>
      <c r="I4" s="9">
        <f>E4+G4+'06-24-21'!I4</f>
        <v>0</v>
      </c>
      <c r="J4" s="9">
        <f t="shared" ref="J4:J15" si="0">H4+I4</f>
        <v>0</v>
      </c>
      <c r="K4" s="9">
        <f t="shared" ref="K4:K15" si="1">C4-J4</f>
        <v>2229</v>
      </c>
      <c r="L4" s="9">
        <f>C4-((J4/26.0714285714285)*26.0714285714285)</f>
        <v>2229</v>
      </c>
      <c r="M4" s="114"/>
    </row>
    <row r="5" spans="1:13" s="101" customFormat="1" ht="11.25" customHeight="1" x14ac:dyDescent="0.25">
      <c r="A5" s="58" t="s">
        <v>146</v>
      </c>
      <c r="B5" s="102">
        <v>55010601</v>
      </c>
      <c r="C5" s="103">
        <v>1069.95</v>
      </c>
      <c r="D5" s="9">
        <v>120</v>
      </c>
      <c r="E5" s="9">
        <v>2.2799999999999998</v>
      </c>
      <c r="F5" s="9">
        <v>0</v>
      </c>
      <c r="G5" s="9">
        <v>0</v>
      </c>
      <c r="H5" s="9">
        <f>D5+F5+'06-24-21'!H5</f>
        <v>870</v>
      </c>
      <c r="I5" s="9">
        <f>E5+G5+'06-24-21'!I5</f>
        <v>16.510000000000002</v>
      </c>
      <c r="J5" s="9">
        <f t="shared" si="0"/>
        <v>886.51</v>
      </c>
      <c r="K5" s="9">
        <f t="shared" si="1"/>
        <v>183.44000000000005</v>
      </c>
      <c r="L5" s="9">
        <f t="shared" ref="L5:L15" si="2">C5-((J5/26.0714285714285)*26.0714285714285)</f>
        <v>183.44000000000005</v>
      </c>
      <c r="M5" s="114"/>
    </row>
    <row r="6" spans="1:13" s="92" customFormat="1" ht="11.25" customHeight="1" x14ac:dyDescent="0.25">
      <c r="A6" s="58" t="s">
        <v>40</v>
      </c>
      <c r="B6" s="102">
        <v>55020200</v>
      </c>
      <c r="C6" s="103">
        <f>24649+14202</f>
        <v>38851</v>
      </c>
      <c r="D6" s="55">
        <v>333.4</v>
      </c>
      <c r="E6" s="55">
        <v>6.33</v>
      </c>
      <c r="F6" s="55">
        <v>317.5</v>
      </c>
      <c r="G6" s="55">
        <v>16.510000000000002</v>
      </c>
      <c r="H6" s="9">
        <f>D6+F6+'06-24-21'!H6</f>
        <v>34912.620000000003</v>
      </c>
      <c r="I6" s="9">
        <f>E6+G6+'06-24-21'!I6</f>
        <v>1234.5700000000002</v>
      </c>
      <c r="J6" s="9">
        <f t="shared" si="0"/>
        <v>36147.19</v>
      </c>
      <c r="K6" s="9">
        <f t="shared" si="1"/>
        <v>2703.8099999999977</v>
      </c>
      <c r="L6" s="9">
        <f t="shared" si="2"/>
        <v>2703.8099999999977</v>
      </c>
      <c r="M6" s="115"/>
    </row>
    <row r="7" spans="1:13" s="92" customFormat="1" ht="11.25" customHeight="1" x14ac:dyDescent="0.25">
      <c r="A7" s="22" t="s">
        <v>39</v>
      </c>
      <c r="B7" s="29">
        <v>55020300</v>
      </c>
      <c r="C7" s="9">
        <f>17974+9665</f>
        <v>27639</v>
      </c>
      <c r="D7" s="10">
        <v>417.8</v>
      </c>
      <c r="E7" s="10">
        <v>7.92</v>
      </c>
      <c r="F7" s="10">
        <v>0</v>
      </c>
      <c r="G7" s="10">
        <v>0</v>
      </c>
      <c r="H7" s="9">
        <f>D7+F7+'06-24-21'!H7</f>
        <v>21865.640000000003</v>
      </c>
      <c r="I7" s="9">
        <f>E7+G7+'06-24-21'!I7</f>
        <v>729.53</v>
      </c>
      <c r="J7" s="9">
        <f t="shared" si="0"/>
        <v>22595.170000000002</v>
      </c>
      <c r="K7" s="9">
        <f t="shared" si="1"/>
        <v>5043.8299999999981</v>
      </c>
      <c r="L7" s="9">
        <f t="shared" si="2"/>
        <v>5043.8299999999981</v>
      </c>
      <c r="M7" s="115"/>
    </row>
    <row r="8" spans="1:13" s="92" customFormat="1" ht="11.25" customHeight="1" x14ac:dyDescent="0.25">
      <c r="A8" s="22" t="s">
        <v>38</v>
      </c>
      <c r="B8" s="29">
        <v>55020400</v>
      </c>
      <c r="C8" s="9">
        <f>17974+9665</f>
        <v>27639</v>
      </c>
      <c r="D8" s="10">
        <v>127.99</v>
      </c>
      <c r="E8" s="10">
        <v>2.4300000000000002</v>
      </c>
      <c r="F8" s="10">
        <v>243</v>
      </c>
      <c r="G8" s="10">
        <v>12.63</v>
      </c>
      <c r="H8" s="9">
        <f>D8+F8+'06-24-21'!H8</f>
        <v>18348.859999999997</v>
      </c>
      <c r="I8" s="9">
        <f>E8+G8+'06-24-21'!I8</f>
        <v>737.29</v>
      </c>
      <c r="J8" s="9">
        <f t="shared" si="0"/>
        <v>19086.149999999998</v>
      </c>
      <c r="K8" s="9">
        <f t="shared" si="1"/>
        <v>8552.8500000000022</v>
      </c>
      <c r="L8" s="9">
        <f t="shared" si="2"/>
        <v>8552.8500000000022</v>
      </c>
      <c r="M8" s="115"/>
    </row>
    <row r="9" spans="1:13" s="92" customFormat="1" ht="11.25" customHeight="1" x14ac:dyDescent="0.25">
      <c r="A9" s="22" t="s">
        <v>92</v>
      </c>
      <c r="B9" s="29">
        <v>55030100</v>
      </c>
      <c r="C9" s="9">
        <v>2109</v>
      </c>
      <c r="D9" s="45">
        <v>0</v>
      </c>
      <c r="E9" s="45">
        <v>0</v>
      </c>
      <c r="F9" s="45">
        <v>0</v>
      </c>
      <c r="G9" s="45">
        <v>0</v>
      </c>
      <c r="H9" s="9">
        <f>D9+F9+'06-24-21'!H9</f>
        <v>841.91000000000008</v>
      </c>
      <c r="I9" s="9">
        <f>E9+G9+'06-24-21'!I9</f>
        <v>15.939999999999998</v>
      </c>
      <c r="J9" s="9">
        <f t="shared" si="0"/>
        <v>857.85000000000014</v>
      </c>
      <c r="K9" s="9">
        <f t="shared" si="1"/>
        <v>1251.1499999999999</v>
      </c>
      <c r="L9" s="9">
        <f t="shared" si="2"/>
        <v>1251.1499999999996</v>
      </c>
      <c r="M9" s="115"/>
    </row>
    <row r="10" spans="1:13" s="92" customFormat="1" ht="11.25" customHeight="1" x14ac:dyDescent="0.25">
      <c r="A10" s="54" t="s">
        <v>37</v>
      </c>
      <c r="B10" s="29">
        <v>55030200</v>
      </c>
      <c r="C10" s="9">
        <v>24330</v>
      </c>
      <c r="D10" s="10">
        <v>327.11</v>
      </c>
      <c r="E10" s="10">
        <v>6.21</v>
      </c>
      <c r="F10" s="10">
        <v>290.39</v>
      </c>
      <c r="G10" s="10">
        <v>15.1</v>
      </c>
      <c r="H10" s="9">
        <f>D10+F10+'06-24-21'!H10</f>
        <v>14001.800000000001</v>
      </c>
      <c r="I10" s="9">
        <f>E10+G10+'06-24-21'!I10</f>
        <v>371.79</v>
      </c>
      <c r="J10" s="9">
        <f t="shared" si="0"/>
        <v>14373.590000000002</v>
      </c>
      <c r="K10" s="9">
        <f t="shared" si="1"/>
        <v>9956.409999999998</v>
      </c>
      <c r="L10" s="9">
        <f t="shared" si="2"/>
        <v>9956.4099999999962</v>
      </c>
      <c r="M10" s="123"/>
    </row>
    <row r="11" spans="1:13" s="92" customFormat="1" ht="11.25" customHeight="1" x14ac:dyDescent="0.25">
      <c r="A11" s="22" t="s">
        <v>36</v>
      </c>
      <c r="B11" s="29">
        <v>55050200</v>
      </c>
      <c r="C11" s="9">
        <f>34000+21500.29+3360</f>
        <v>58860.29</v>
      </c>
      <c r="D11" s="10">
        <v>674.3</v>
      </c>
      <c r="E11" s="10">
        <v>12.81</v>
      </c>
      <c r="F11" s="10">
        <v>881.08</v>
      </c>
      <c r="G11" s="10">
        <v>45.81</v>
      </c>
      <c r="H11" s="9">
        <f>D11+F11+'06-24-21'!H11</f>
        <v>53011.329999999994</v>
      </c>
      <c r="I11" s="9">
        <f>E11+G11+'06-24-21'!I11</f>
        <v>1871.35</v>
      </c>
      <c r="J11" s="9">
        <f t="shared" si="0"/>
        <v>54882.679999999993</v>
      </c>
      <c r="K11" s="9">
        <f t="shared" si="1"/>
        <v>3977.6100000000079</v>
      </c>
      <c r="L11" s="9">
        <f t="shared" si="2"/>
        <v>3977.6100000000079</v>
      </c>
      <c r="M11" s="124"/>
    </row>
    <row r="12" spans="1:13" s="92" customFormat="1" ht="11.25" hidden="1" customHeight="1" x14ac:dyDescent="0.25">
      <c r="A12" s="22" t="s">
        <v>80</v>
      </c>
      <c r="B12" s="29">
        <v>55050300</v>
      </c>
      <c r="C12" s="97"/>
      <c r="D12" s="9"/>
      <c r="E12" s="9"/>
      <c r="F12" s="9"/>
      <c r="G12" s="9"/>
      <c r="H12" s="9">
        <f>D12+F12+'06-24-21'!H12</f>
        <v>-310</v>
      </c>
      <c r="I12" s="9">
        <f>E12+G12+'06-24-21'!I12</f>
        <v>-5.8900000000000006</v>
      </c>
      <c r="J12" s="9">
        <f t="shared" si="0"/>
        <v>-315.89</v>
      </c>
      <c r="K12" s="9">
        <f t="shared" si="1"/>
        <v>315.89</v>
      </c>
      <c r="L12" s="9">
        <f t="shared" si="2"/>
        <v>315.89</v>
      </c>
      <c r="M12" s="116"/>
    </row>
    <row r="13" spans="1:13" s="98" customFormat="1" ht="11.25" customHeight="1" x14ac:dyDescent="0.25">
      <c r="A13" s="22" t="s">
        <v>35</v>
      </c>
      <c r="B13" s="29">
        <v>55070100</v>
      </c>
      <c r="C13" s="9">
        <f>42741+9665</f>
        <v>52406</v>
      </c>
      <c r="D13" s="10">
        <v>657.64</v>
      </c>
      <c r="E13" s="10">
        <v>12.49</v>
      </c>
      <c r="F13" s="10">
        <v>146.4</v>
      </c>
      <c r="G13" s="10">
        <v>7.61</v>
      </c>
      <c r="H13" s="9">
        <f>D13+F13+'06-24-21'!H13</f>
        <v>49809.390999999996</v>
      </c>
      <c r="I13" s="9">
        <f>E13+G13+'06-24-21'!I13</f>
        <v>1554.0499999999997</v>
      </c>
      <c r="J13" s="9">
        <f t="shared" si="0"/>
        <v>51363.440999999999</v>
      </c>
      <c r="K13" s="9">
        <f t="shared" si="1"/>
        <v>1042.5590000000011</v>
      </c>
      <c r="L13" s="9">
        <f t="shared" si="2"/>
        <v>1042.5590000000011</v>
      </c>
      <c r="M13" s="151"/>
    </row>
    <row r="14" spans="1:13" s="92" customFormat="1" ht="11.25" customHeight="1" x14ac:dyDescent="0.25">
      <c r="A14" s="22" t="s">
        <v>34</v>
      </c>
      <c r="B14" s="29">
        <v>55080100</v>
      </c>
      <c r="C14" s="9">
        <f>23173+1000</f>
        <v>24173</v>
      </c>
      <c r="D14" s="10">
        <v>184.16</v>
      </c>
      <c r="E14" s="10">
        <v>3.49</v>
      </c>
      <c r="F14" s="10">
        <v>0</v>
      </c>
      <c r="G14" s="10">
        <v>0</v>
      </c>
      <c r="H14" s="9">
        <f>D14+F14+'06-24-21'!H14</f>
        <v>23643.65</v>
      </c>
      <c r="I14" s="9">
        <f>E14+G14+'06-24-21'!I14</f>
        <v>449.08000000000004</v>
      </c>
      <c r="J14" s="9">
        <f t="shared" si="0"/>
        <v>24092.730000000003</v>
      </c>
      <c r="K14" s="9">
        <f t="shared" si="1"/>
        <v>80.269999999996799</v>
      </c>
      <c r="L14" s="9">
        <f t="shared" si="2"/>
        <v>80.269999999996799</v>
      </c>
      <c r="M14" s="123"/>
    </row>
    <row r="15" spans="1:13" s="99" customFormat="1" ht="11.25" customHeight="1" x14ac:dyDescent="0.25">
      <c r="A15" s="53" t="s">
        <v>33</v>
      </c>
      <c r="B15" s="33">
        <v>55190000</v>
      </c>
      <c r="C15" s="9">
        <v>6000</v>
      </c>
      <c r="D15" s="10">
        <v>49.92</v>
      </c>
      <c r="E15" s="10">
        <v>0.94</v>
      </c>
      <c r="F15" s="10">
        <v>240</v>
      </c>
      <c r="G15" s="10">
        <v>12.48</v>
      </c>
      <c r="H15" s="9">
        <f>D15+F15+'06-24-21'!H15</f>
        <v>3376.55</v>
      </c>
      <c r="I15" s="9">
        <f>E15+G15+'06-24-21'!I15</f>
        <v>108.6</v>
      </c>
      <c r="J15" s="9">
        <f t="shared" si="0"/>
        <v>3485.15</v>
      </c>
      <c r="K15" s="9">
        <f t="shared" si="1"/>
        <v>2514.85</v>
      </c>
      <c r="L15" s="9">
        <f t="shared" si="2"/>
        <v>2514.85</v>
      </c>
      <c r="M15" s="117"/>
    </row>
    <row r="16" spans="1:13" ht="21.6" customHeight="1" thickBot="1" x14ac:dyDescent="0.3">
      <c r="A16" s="155" t="s">
        <v>32</v>
      </c>
      <c r="B16" s="156"/>
      <c r="C16" s="49">
        <f t="shared" ref="C16:L16" si="3">SUM(C3:C15)</f>
        <v>269514.23999999999</v>
      </c>
      <c r="D16" s="7">
        <f t="shared" si="3"/>
        <v>2892.32</v>
      </c>
      <c r="E16" s="7">
        <f t="shared" si="3"/>
        <v>54.900000000000006</v>
      </c>
      <c r="F16" s="7">
        <f t="shared" si="3"/>
        <v>2118.37</v>
      </c>
      <c r="G16" s="7">
        <f t="shared" si="3"/>
        <v>110.14000000000001</v>
      </c>
      <c r="H16" s="7">
        <f>D16+F16+'05-27-21'!H16</f>
        <v>191789.55000000002</v>
      </c>
      <c r="I16" s="7">
        <f t="shared" si="3"/>
        <v>7082.82</v>
      </c>
      <c r="J16" s="49">
        <f t="shared" si="3"/>
        <v>227454.571</v>
      </c>
      <c r="K16" s="49">
        <f t="shared" si="3"/>
        <v>42059.669000000002</v>
      </c>
      <c r="L16" s="7">
        <f t="shared" si="3"/>
        <v>42059.669000000002</v>
      </c>
    </row>
    <row r="17" spans="1:13" ht="11.25" customHeight="1" x14ac:dyDescent="0.25">
      <c r="A17" s="52"/>
      <c r="B17" s="41"/>
      <c r="C17" s="39"/>
      <c r="D17" s="39"/>
      <c r="E17" s="39"/>
      <c r="F17" s="39"/>
      <c r="G17" s="39"/>
      <c r="H17" s="39"/>
      <c r="I17" s="39"/>
      <c r="J17" s="39"/>
      <c r="K17" s="39"/>
      <c r="L17" s="51"/>
    </row>
    <row r="18" spans="1:13" ht="11.25" customHeight="1" thickBot="1" x14ac:dyDescent="0.3">
      <c r="A18" s="38"/>
      <c r="B18" s="37"/>
      <c r="C18" s="35"/>
      <c r="D18" s="35"/>
      <c r="E18" s="35"/>
      <c r="F18" s="35"/>
      <c r="G18" s="35"/>
      <c r="H18" s="35"/>
      <c r="I18" s="35"/>
      <c r="J18" s="35"/>
      <c r="K18" s="35"/>
      <c r="L18" s="50"/>
    </row>
    <row r="19" spans="1:13" s="92" customFormat="1" ht="11.45" customHeight="1" x14ac:dyDescent="0.25">
      <c r="A19" s="13" t="s">
        <v>31</v>
      </c>
      <c r="B19" s="33">
        <v>55090100</v>
      </c>
      <c r="C19" s="9">
        <v>26923</v>
      </c>
      <c r="D19" s="45">
        <v>0</v>
      </c>
      <c r="E19" s="45">
        <v>0</v>
      </c>
      <c r="F19" s="45">
        <v>0</v>
      </c>
      <c r="G19" s="45">
        <v>0</v>
      </c>
      <c r="H19" s="9">
        <f>D19+F19+'06-24-21'!H19</f>
        <v>13521.15</v>
      </c>
      <c r="I19" s="9">
        <f>E19+G19+'06-24-21'!I19</f>
        <v>703.07999999999993</v>
      </c>
      <c r="J19" s="9">
        <f t="shared" ref="J19:J21" si="4">H19+I19</f>
        <v>14224.23</v>
      </c>
      <c r="K19" s="9">
        <f>C19-J19</f>
        <v>12698.77</v>
      </c>
      <c r="L19" s="9">
        <f t="shared" ref="L19:L21" si="5">C19-((J19/26.0714285714285)*26.0714285714285)</f>
        <v>12698.769999999999</v>
      </c>
      <c r="M19" s="115"/>
    </row>
    <row r="20" spans="1:13" s="92" customFormat="1" ht="11.45" customHeight="1" x14ac:dyDescent="0.25">
      <c r="A20" s="22" t="s">
        <v>30</v>
      </c>
      <c r="B20" s="29">
        <v>55160100</v>
      </c>
      <c r="C20" s="9">
        <f>16062-2109</f>
        <v>13953</v>
      </c>
      <c r="D20" s="45">
        <v>0</v>
      </c>
      <c r="E20" s="45">
        <v>0</v>
      </c>
      <c r="F20" s="45">
        <v>0</v>
      </c>
      <c r="G20" s="45">
        <v>0</v>
      </c>
      <c r="H20" s="9">
        <f>D20+F20+'06-24-21'!H20</f>
        <v>0</v>
      </c>
      <c r="I20" s="9">
        <f>E20+G20+'06-24-21'!I20</f>
        <v>0</v>
      </c>
      <c r="J20" s="9">
        <f t="shared" si="4"/>
        <v>0</v>
      </c>
      <c r="K20" s="9">
        <f t="shared" ref="K20:K21" si="6">C20-J20</f>
        <v>13953</v>
      </c>
      <c r="L20" s="9">
        <f t="shared" si="5"/>
        <v>13953</v>
      </c>
      <c r="M20" s="115"/>
    </row>
    <row r="21" spans="1:13" s="92" customFormat="1" ht="11.45" customHeight="1" x14ac:dyDescent="0.25">
      <c r="A21" s="13" t="s">
        <v>29</v>
      </c>
      <c r="B21" s="33">
        <v>55100100</v>
      </c>
      <c r="C21" s="9">
        <v>2026</v>
      </c>
      <c r="D21" s="45">
        <v>0</v>
      </c>
      <c r="E21" s="45">
        <v>0</v>
      </c>
      <c r="F21" s="45">
        <v>0</v>
      </c>
      <c r="G21" s="45">
        <v>0</v>
      </c>
      <c r="H21" s="9">
        <f>D21+F21+'06-24-21'!H21</f>
        <v>936.46</v>
      </c>
      <c r="I21" s="9">
        <f>E21+G21+'06-24-21'!I21</f>
        <v>16.864999999999998</v>
      </c>
      <c r="J21" s="9">
        <f t="shared" si="4"/>
        <v>953.32500000000005</v>
      </c>
      <c r="K21" s="9">
        <f t="shared" si="6"/>
        <v>1072.675</v>
      </c>
      <c r="L21" s="9">
        <f t="shared" si="5"/>
        <v>1072.675</v>
      </c>
      <c r="M21" s="115"/>
    </row>
    <row r="22" spans="1:13" ht="21.6" customHeight="1" thickBot="1" x14ac:dyDescent="0.3">
      <c r="A22" s="155" t="s">
        <v>28</v>
      </c>
      <c r="B22" s="156"/>
      <c r="C22" s="7">
        <f t="shared" ref="C22:L22" si="7">SUM(C19:C21)</f>
        <v>42902</v>
      </c>
      <c r="D22" s="7">
        <f t="shared" si="7"/>
        <v>0</v>
      </c>
      <c r="E22" s="7">
        <f t="shared" si="7"/>
        <v>0</v>
      </c>
      <c r="F22" s="7">
        <f t="shared" si="7"/>
        <v>0</v>
      </c>
      <c r="G22" s="7">
        <f t="shared" si="7"/>
        <v>0</v>
      </c>
      <c r="H22" s="7">
        <f t="shared" si="7"/>
        <v>14457.61</v>
      </c>
      <c r="I22" s="7">
        <f t="shared" si="7"/>
        <v>719.94499999999994</v>
      </c>
      <c r="J22" s="49">
        <f t="shared" si="7"/>
        <v>15177.555</v>
      </c>
      <c r="K22" s="7">
        <f t="shared" si="7"/>
        <v>27724.445</v>
      </c>
      <c r="L22" s="7">
        <f t="shared" si="7"/>
        <v>27724.444999999996</v>
      </c>
    </row>
    <row r="23" spans="1:13" ht="11.25" customHeight="1" x14ac:dyDescent="0.25">
      <c r="A23" s="42"/>
      <c r="B23" s="41"/>
      <c r="C23" s="39"/>
      <c r="D23" s="39"/>
      <c r="E23" s="39"/>
      <c r="F23" s="39"/>
      <c r="G23" s="39"/>
      <c r="H23" s="39"/>
      <c r="I23" s="39"/>
      <c r="J23" s="39"/>
      <c r="K23" s="39"/>
      <c r="L23" s="51"/>
    </row>
    <row r="24" spans="1:13" ht="11.25" customHeight="1" thickBot="1" x14ac:dyDescent="0.3">
      <c r="A24" s="38"/>
      <c r="B24" s="37"/>
      <c r="C24" s="35"/>
      <c r="D24" s="35"/>
      <c r="E24" s="35"/>
      <c r="F24" s="35"/>
      <c r="G24" s="35"/>
      <c r="H24" s="35"/>
      <c r="I24" s="35"/>
      <c r="J24" s="35"/>
      <c r="K24" s="35"/>
      <c r="L24" s="50"/>
    </row>
    <row r="25" spans="1:13" s="99" customFormat="1" ht="11.45" customHeight="1" x14ac:dyDescent="0.25">
      <c r="A25" s="13" t="s">
        <v>27</v>
      </c>
      <c r="B25" s="33">
        <v>55200000</v>
      </c>
      <c r="C25" s="9">
        <v>25000</v>
      </c>
      <c r="D25" s="10">
        <v>120</v>
      </c>
      <c r="E25" s="10">
        <v>2.2799999999999998</v>
      </c>
      <c r="F25" s="10">
        <v>24</v>
      </c>
      <c r="G25" s="10">
        <v>1.24</v>
      </c>
      <c r="H25" s="9">
        <f>D25+F25+'06-24-21'!H25</f>
        <v>11750.25</v>
      </c>
      <c r="I25" s="9">
        <f>E25+G25+'06-24-21'!I25</f>
        <v>223.91000000000003</v>
      </c>
      <c r="J25" s="9">
        <f t="shared" ref="J25:J27" si="8">H25+I25</f>
        <v>11974.16</v>
      </c>
      <c r="K25" s="9">
        <f>C25-J25</f>
        <v>13025.84</v>
      </c>
      <c r="L25" s="9">
        <f t="shared" ref="L25:L28" si="9">C25-((J25/26.0714285714285)*26.0714285714285)</f>
        <v>13025.84</v>
      </c>
      <c r="M25" s="118"/>
    </row>
    <row r="26" spans="1:13" s="99" customFormat="1" ht="11.45" hidden="1" customHeight="1" x14ac:dyDescent="0.25">
      <c r="A26" s="13" t="s">
        <v>26</v>
      </c>
      <c r="B26" s="100" t="s">
        <v>25</v>
      </c>
      <c r="C26" s="46">
        <v>0</v>
      </c>
      <c r="D26" s="45"/>
      <c r="E26" s="45"/>
      <c r="F26" s="45"/>
      <c r="G26" s="45"/>
      <c r="H26" s="9">
        <f>D26+F26+'06-24-21'!H26</f>
        <v>0</v>
      </c>
      <c r="I26" s="9">
        <f>E26+G26+'06-24-21'!I26</f>
        <v>-9.9999999999997868E-3</v>
      </c>
      <c r="J26" s="9">
        <f t="shared" si="8"/>
        <v>-9.9999999999997868E-3</v>
      </c>
      <c r="K26" s="75">
        <f t="shared" ref="K26:K27" si="10">C26-J26</f>
        <v>9.9999999999997868E-3</v>
      </c>
      <c r="L26" s="9">
        <f t="shared" si="9"/>
        <v>9.9999999999997868E-3</v>
      </c>
      <c r="M26" s="118"/>
    </row>
    <row r="27" spans="1:13" s="99" customFormat="1" ht="10.9" customHeight="1" x14ac:dyDescent="0.25">
      <c r="A27" s="28" t="s">
        <v>24</v>
      </c>
      <c r="B27" s="47" t="s">
        <v>23</v>
      </c>
      <c r="C27" s="46">
        <v>0</v>
      </c>
      <c r="D27" s="45">
        <v>0</v>
      </c>
      <c r="E27" s="45">
        <v>0</v>
      </c>
      <c r="F27" s="45">
        <v>0</v>
      </c>
      <c r="G27" s="45">
        <v>0</v>
      </c>
      <c r="H27" s="9">
        <f>D27+F27+'06-24-21'!H27</f>
        <v>0</v>
      </c>
      <c r="I27" s="9">
        <f>E27+G27+'06-24-21'!I27</f>
        <v>0</v>
      </c>
      <c r="J27" s="9">
        <f t="shared" si="8"/>
        <v>0</v>
      </c>
      <c r="K27" s="9">
        <f t="shared" si="10"/>
        <v>0</v>
      </c>
      <c r="L27" s="9">
        <f t="shared" si="9"/>
        <v>0</v>
      </c>
      <c r="M27" s="117"/>
    </row>
    <row r="28" spans="1:13" s="99" customFormat="1" ht="10.9" customHeight="1" x14ac:dyDescent="0.25">
      <c r="A28" s="136" t="s">
        <v>12</v>
      </c>
      <c r="B28" s="137">
        <v>55110100</v>
      </c>
      <c r="C28" s="46">
        <f>2659+6100+5341</f>
        <v>14100</v>
      </c>
      <c r="D28" s="45">
        <v>0</v>
      </c>
      <c r="E28" s="45">
        <v>0</v>
      </c>
      <c r="F28" s="45">
        <v>0</v>
      </c>
      <c r="G28" s="45">
        <v>0</v>
      </c>
      <c r="H28" s="9">
        <f>D28+F28+'06-24-21'!H28</f>
        <v>11782.5</v>
      </c>
      <c r="I28" s="9">
        <f>E28+G28+'06-24-21'!I28</f>
        <v>511.7</v>
      </c>
      <c r="J28" s="9">
        <f>H28+I28</f>
        <v>12294.2</v>
      </c>
      <c r="K28" s="9">
        <f>C28-J28</f>
        <v>1805.7999999999993</v>
      </c>
      <c r="L28" s="9">
        <f t="shared" si="9"/>
        <v>1805.7999999999993</v>
      </c>
      <c r="M28" s="117"/>
    </row>
    <row r="29" spans="1:13" ht="24.75" customHeight="1" thickBot="1" x14ac:dyDescent="0.3">
      <c r="A29" s="157" t="s">
        <v>22</v>
      </c>
      <c r="B29" s="158"/>
      <c r="C29" s="43">
        <f>SUM(C25:C26)</f>
        <v>25000</v>
      </c>
      <c r="D29" s="43">
        <f t="shared" ref="D29:L29" si="11">SUM(D25:D27)</f>
        <v>120</v>
      </c>
      <c r="E29" s="43">
        <f t="shared" si="11"/>
        <v>2.2799999999999998</v>
      </c>
      <c r="F29" s="43">
        <f t="shared" si="11"/>
        <v>24</v>
      </c>
      <c r="G29" s="43">
        <f t="shared" si="11"/>
        <v>1.24</v>
      </c>
      <c r="H29" s="43">
        <f t="shared" si="11"/>
        <v>11750.25</v>
      </c>
      <c r="I29" s="43">
        <f t="shared" si="11"/>
        <v>223.90000000000003</v>
      </c>
      <c r="J29" s="43">
        <f t="shared" si="11"/>
        <v>11974.15</v>
      </c>
      <c r="K29" s="43">
        <f t="shared" si="11"/>
        <v>13025.85</v>
      </c>
      <c r="L29" s="34">
        <f t="shared" si="11"/>
        <v>13025.85</v>
      </c>
    </row>
    <row r="30" spans="1:13" ht="11.25" customHeight="1" x14ac:dyDescent="0.25">
      <c r="A30" s="42"/>
      <c r="B30" s="41"/>
      <c r="C30" s="39"/>
      <c r="D30" s="39"/>
      <c r="E30" s="39"/>
      <c r="F30" s="39"/>
      <c r="G30" s="39"/>
      <c r="H30" s="39"/>
      <c r="I30" s="39"/>
      <c r="J30" s="39"/>
      <c r="K30" s="39"/>
      <c r="L30" s="39"/>
    </row>
    <row r="31" spans="1:13" ht="11.25" customHeight="1" thickBot="1" x14ac:dyDescent="0.3">
      <c r="A31" s="38"/>
      <c r="B31" s="37"/>
      <c r="C31" s="35"/>
      <c r="D31" s="35"/>
      <c r="E31" s="35"/>
      <c r="F31" s="35"/>
      <c r="G31" s="35"/>
      <c r="H31" s="35"/>
      <c r="I31" s="35"/>
      <c r="J31" s="35"/>
      <c r="K31" s="35"/>
      <c r="L31" s="35"/>
    </row>
    <row r="32" spans="1:13" ht="21.6" customHeight="1" x14ac:dyDescent="0.25">
      <c r="A32" s="159" t="s">
        <v>21</v>
      </c>
      <c r="B32" s="159"/>
      <c r="C32" s="34">
        <f>C16+C22+C29</f>
        <v>337416.24</v>
      </c>
      <c r="D32" s="34">
        <f t="shared" ref="D32:L32" si="12">D16+D22+D29</f>
        <v>3012.32</v>
      </c>
      <c r="E32" s="34">
        <f t="shared" si="12"/>
        <v>57.180000000000007</v>
      </c>
      <c r="F32" s="34">
        <f t="shared" si="12"/>
        <v>2142.37</v>
      </c>
      <c r="G32" s="34">
        <f t="shared" si="12"/>
        <v>111.38000000000001</v>
      </c>
      <c r="H32" s="34">
        <f t="shared" si="12"/>
        <v>217997.41000000003</v>
      </c>
      <c r="I32" s="34">
        <f t="shared" si="12"/>
        <v>8026.6649999999991</v>
      </c>
      <c r="J32" s="34">
        <f t="shared" si="12"/>
        <v>254606.27599999998</v>
      </c>
      <c r="K32" s="34">
        <f t="shared" si="12"/>
        <v>82809.964000000007</v>
      </c>
      <c r="L32" s="34">
        <f t="shared" si="12"/>
        <v>82809.964000000007</v>
      </c>
    </row>
    <row r="33" spans="1:13" ht="10.9" customHeight="1" x14ac:dyDescent="0.25">
      <c r="A33" s="17"/>
      <c r="B33" s="16"/>
      <c r="C33" s="15"/>
      <c r="D33" s="15"/>
      <c r="E33" s="15"/>
      <c r="F33" s="15"/>
      <c r="G33" s="15"/>
      <c r="H33" s="15"/>
      <c r="I33" s="15"/>
      <c r="J33" s="15"/>
      <c r="K33" s="15"/>
      <c r="L33" s="15"/>
    </row>
    <row r="34" spans="1:13" ht="11.25" customHeight="1" x14ac:dyDescent="0.25">
      <c r="A34" s="17"/>
      <c r="B34" s="16"/>
      <c r="C34" s="15"/>
      <c r="D34" s="15"/>
      <c r="E34" s="15"/>
      <c r="F34" s="15"/>
      <c r="G34" s="15"/>
      <c r="H34" s="15"/>
      <c r="I34" s="15"/>
      <c r="J34" s="15"/>
      <c r="K34" s="15"/>
      <c r="L34" s="15"/>
    </row>
    <row r="35" spans="1:13" s="104" customFormat="1" ht="11.25" customHeight="1" x14ac:dyDescent="0.25">
      <c r="A35" s="28" t="s">
        <v>20</v>
      </c>
      <c r="B35" s="27" t="s">
        <v>19</v>
      </c>
      <c r="C35" s="9">
        <v>0</v>
      </c>
      <c r="D35" s="45">
        <v>0</v>
      </c>
      <c r="E35" s="45">
        <v>0</v>
      </c>
      <c r="F35" s="45">
        <v>0</v>
      </c>
      <c r="G35" s="45">
        <v>0</v>
      </c>
      <c r="H35" s="9">
        <f>D35+F35+'06-24-21'!H35</f>
        <v>0</v>
      </c>
      <c r="I35" s="9">
        <f>E35+G35+'06-24-21'!I35</f>
        <v>0</v>
      </c>
      <c r="J35" s="9">
        <f t="shared" ref="J35:J54" si="13">H35+I35</f>
        <v>0</v>
      </c>
      <c r="K35" s="9">
        <f>C35-J35</f>
        <v>0</v>
      </c>
      <c r="L35" s="9">
        <f t="shared" ref="L35:L54" si="14">C35-((J35/26.0714285714285)*26.0714285714285)</f>
        <v>0</v>
      </c>
      <c r="M35" s="119"/>
    </row>
    <row r="36" spans="1:13" s="104" customFormat="1" ht="11.25" customHeight="1" x14ac:dyDescent="0.25">
      <c r="A36" s="32" t="s">
        <v>123</v>
      </c>
      <c r="B36" s="132" t="s">
        <v>55</v>
      </c>
      <c r="C36" s="9">
        <f>2795.22+12000</f>
        <v>14795.22</v>
      </c>
      <c r="D36" s="10">
        <v>80</v>
      </c>
      <c r="E36" s="10">
        <v>1.52</v>
      </c>
      <c r="F36" s="10">
        <v>1225.9000000000001</v>
      </c>
      <c r="G36" s="10">
        <v>63.74</v>
      </c>
      <c r="H36" s="9">
        <f>D36+F36+'06-24-21'!H36</f>
        <v>11086.4</v>
      </c>
      <c r="I36" s="9">
        <f>E36+G36+'06-24-21'!I36</f>
        <v>514.76</v>
      </c>
      <c r="J36" s="9">
        <f>H36+I36</f>
        <v>11601.16</v>
      </c>
      <c r="K36" s="9">
        <f>C36-J36</f>
        <v>3194.0599999999995</v>
      </c>
      <c r="L36" s="9">
        <f t="shared" si="14"/>
        <v>3194.0599999999995</v>
      </c>
      <c r="M36" s="129"/>
    </row>
    <row r="37" spans="1:13" s="104" customFormat="1" ht="11.25" hidden="1" customHeight="1" x14ac:dyDescent="0.25">
      <c r="A37" s="32" t="s">
        <v>18</v>
      </c>
      <c r="B37" s="27" t="s">
        <v>17</v>
      </c>
      <c r="C37" s="105">
        <v>0</v>
      </c>
      <c r="D37" s="10"/>
      <c r="E37" s="10"/>
      <c r="F37" s="10"/>
      <c r="G37" s="10"/>
      <c r="H37" s="9">
        <f>D37+F37+'06-24-21'!H37</f>
        <v>0</v>
      </c>
      <c r="I37" s="9">
        <f>E37+G37+'06-24-21'!I37</f>
        <v>-1.0000000000005116E-2</v>
      </c>
      <c r="J37" s="9">
        <f t="shared" si="13"/>
        <v>-1.0000000000005116E-2</v>
      </c>
      <c r="K37" s="9">
        <f t="shared" ref="K37:K49" si="15">C37-J37</f>
        <v>1.0000000000005116E-2</v>
      </c>
      <c r="L37" s="9">
        <f t="shared" si="14"/>
        <v>1.0000000000005116E-2</v>
      </c>
      <c r="M37" s="119"/>
    </row>
    <row r="38" spans="1:13" s="106" customFormat="1" ht="11.25" customHeight="1" x14ac:dyDescent="0.25">
      <c r="A38" s="28" t="s">
        <v>16</v>
      </c>
      <c r="B38" s="29" t="s">
        <v>15</v>
      </c>
      <c r="C38" s="9">
        <v>0</v>
      </c>
      <c r="D38" s="45">
        <v>0</v>
      </c>
      <c r="E38" s="45">
        <v>0</v>
      </c>
      <c r="F38" s="45">
        <v>0</v>
      </c>
      <c r="G38" s="45">
        <v>0</v>
      </c>
      <c r="H38" s="9">
        <f>D38+F38+'06-24-21'!H38</f>
        <v>0</v>
      </c>
      <c r="I38" s="9">
        <f>E38+G38+'06-24-21'!I38</f>
        <v>0</v>
      </c>
      <c r="J38" s="9">
        <f t="shared" si="13"/>
        <v>0</v>
      </c>
      <c r="K38" s="9">
        <f t="shared" si="15"/>
        <v>0</v>
      </c>
      <c r="L38" s="9">
        <f t="shared" si="14"/>
        <v>0</v>
      </c>
      <c r="M38" s="120"/>
    </row>
    <row r="39" spans="1:13" s="106" customFormat="1" ht="11.25" customHeight="1" x14ac:dyDescent="0.25">
      <c r="A39" s="28" t="s">
        <v>150</v>
      </c>
      <c r="B39" s="132" t="s">
        <v>13</v>
      </c>
      <c r="C39" s="9">
        <f>2500</f>
        <v>2500</v>
      </c>
      <c r="D39" s="9">
        <v>18.82</v>
      </c>
      <c r="E39" s="9">
        <v>0.35</v>
      </c>
      <c r="F39" s="9">
        <v>0</v>
      </c>
      <c r="G39" s="9">
        <v>0</v>
      </c>
      <c r="H39" s="9">
        <f>D39+F39+'06-24-21'!H39</f>
        <v>1926.1299999999994</v>
      </c>
      <c r="I39" s="9">
        <f>E39+G39+'06-24-21'!I39</f>
        <v>36.44</v>
      </c>
      <c r="J39" s="10">
        <f t="shared" si="13"/>
        <v>1962.5699999999995</v>
      </c>
      <c r="K39" s="9">
        <f t="shared" si="15"/>
        <v>537.43000000000052</v>
      </c>
      <c r="L39" s="9">
        <f t="shared" si="14"/>
        <v>537.43000000000052</v>
      </c>
      <c r="M39" s="116"/>
    </row>
    <row r="40" spans="1:13" s="106" customFormat="1" ht="11.25" customHeight="1" x14ac:dyDescent="0.25">
      <c r="A40" s="28" t="s">
        <v>11</v>
      </c>
      <c r="B40" s="27" t="s">
        <v>10</v>
      </c>
      <c r="C40" s="9">
        <v>0</v>
      </c>
      <c r="D40" s="45">
        <v>0</v>
      </c>
      <c r="E40" s="45">
        <v>0</v>
      </c>
      <c r="F40" s="45">
        <v>0</v>
      </c>
      <c r="G40" s="45">
        <v>0</v>
      </c>
      <c r="H40" s="9">
        <f>D40+F40+'06-24-21'!H40</f>
        <v>0</v>
      </c>
      <c r="I40" s="9">
        <f>E40+G40+'06-24-21'!I40</f>
        <v>0</v>
      </c>
      <c r="J40" s="9">
        <f t="shared" si="13"/>
        <v>0</v>
      </c>
      <c r="K40" s="9">
        <f t="shared" si="15"/>
        <v>0</v>
      </c>
      <c r="L40" s="9">
        <f t="shared" si="14"/>
        <v>0</v>
      </c>
      <c r="M40" s="126"/>
    </row>
    <row r="41" spans="1:13" s="106" customFormat="1" ht="11.25" customHeight="1" x14ac:dyDescent="0.25">
      <c r="A41" s="25" t="s">
        <v>105</v>
      </c>
      <c r="B41" s="108" t="s">
        <v>69</v>
      </c>
      <c r="C41" s="9">
        <v>1500</v>
      </c>
      <c r="D41" s="45">
        <v>0</v>
      </c>
      <c r="E41" s="45">
        <v>0</v>
      </c>
      <c r="F41" s="45">
        <v>0</v>
      </c>
      <c r="G41" s="45">
        <v>0</v>
      </c>
      <c r="H41" s="9">
        <f>D41+F41+'06-24-21'!H41</f>
        <v>1122.3499999999997</v>
      </c>
      <c r="I41" s="9">
        <f>E41+G41+'06-24-21'!I41</f>
        <v>21.117000000000004</v>
      </c>
      <c r="J41" s="9">
        <f t="shared" si="13"/>
        <v>1143.4669999999996</v>
      </c>
      <c r="K41" s="9">
        <f t="shared" si="15"/>
        <v>356.53300000000036</v>
      </c>
      <c r="L41" s="9">
        <f t="shared" si="14"/>
        <v>356.53300000000036</v>
      </c>
      <c r="M41" s="126"/>
    </row>
    <row r="42" spans="1:13" s="106" customFormat="1" ht="11.45" customHeight="1" x14ac:dyDescent="0.25">
      <c r="A42" s="25" t="s">
        <v>89</v>
      </c>
      <c r="B42" s="108" t="s">
        <v>88</v>
      </c>
      <c r="C42" s="9">
        <v>1200</v>
      </c>
      <c r="D42" s="45">
        <v>0</v>
      </c>
      <c r="E42" s="45">
        <v>0</v>
      </c>
      <c r="F42" s="45">
        <v>0</v>
      </c>
      <c r="G42" s="45">
        <v>0</v>
      </c>
      <c r="H42" s="9">
        <f>D42+F42+'06-24-21'!H42</f>
        <v>633.79999999999995</v>
      </c>
      <c r="I42" s="9">
        <f>E42+G42+'06-24-21'!I42</f>
        <v>11.979999999999999</v>
      </c>
      <c r="J42" s="9">
        <f t="shared" si="13"/>
        <v>645.78</v>
      </c>
      <c r="K42" s="9">
        <f>C42-J42</f>
        <v>554.22</v>
      </c>
      <c r="L42" s="9">
        <f t="shared" si="14"/>
        <v>554.22</v>
      </c>
      <c r="M42" s="120"/>
    </row>
    <row r="43" spans="1:13" s="98" customFormat="1" ht="11.45" customHeight="1" x14ac:dyDescent="0.2">
      <c r="A43" s="25" t="s">
        <v>61</v>
      </c>
      <c r="B43" s="108" t="s">
        <v>62</v>
      </c>
      <c r="C43" s="9">
        <f>9800+1200+450+22.83+6710</f>
        <v>18182.830000000002</v>
      </c>
      <c r="D43" s="45">
        <v>0</v>
      </c>
      <c r="E43" s="45">
        <v>0</v>
      </c>
      <c r="F43" s="45">
        <v>0</v>
      </c>
      <c r="G43" s="45">
        <v>0</v>
      </c>
      <c r="H43" s="9">
        <f>D43+F43+'06-24-21'!H43</f>
        <v>11025</v>
      </c>
      <c r="I43" s="9">
        <f>E43+G43+'06-24-21'!I43</f>
        <v>447.83</v>
      </c>
      <c r="J43" s="9">
        <f t="shared" si="13"/>
        <v>11472.83</v>
      </c>
      <c r="K43" s="9">
        <f>C43-J43</f>
        <v>6710.0000000000018</v>
      </c>
      <c r="L43" s="9">
        <f t="shared" si="14"/>
        <v>6710.0000000000018</v>
      </c>
      <c r="M43" s="150"/>
    </row>
    <row r="44" spans="1:13" s="98" customFormat="1" ht="11.45" customHeight="1" x14ac:dyDescent="0.25">
      <c r="A44" s="25" t="s">
        <v>59</v>
      </c>
      <c r="B44" s="108" t="s">
        <v>60</v>
      </c>
      <c r="C44" s="9">
        <f>2453.12+2598.45+16442.41</f>
        <v>21493.98</v>
      </c>
      <c r="D44" s="109">
        <v>48</v>
      </c>
      <c r="E44" s="109">
        <v>0.91</v>
      </c>
      <c r="F44" s="109">
        <v>0</v>
      </c>
      <c r="G44" s="109">
        <v>0</v>
      </c>
      <c r="H44" s="9">
        <f>D44+F44+'06-24-21'!H44</f>
        <v>5681.83</v>
      </c>
      <c r="I44" s="9">
        <f>E44+G44+'06-24-21'!I44</f>
        <v>107.83999999999997</v>
      </c>
      <c r="J44" s="9">
        <f t="shared" si="13"/>
        <v>5789.67</v>
      </c>
      <c r="K44" s="9">
        <f>C44-J44</f>
        <v>15704.31</v>
      </c>
      <c r="L44" s="9">
        <f t="shared" si="14"/>
        <v>15704.31</v>
      </c>
      <c r="M44" s="116"/>
    </row>
    <row r="45" spans="1:13" s="98" customFormat="1" ht="11.45" customHeight="1" x14ac:dyDescent="0.25">
      <c r="A45" s="25" t="s">
        <v>70</v>
      </c>
      <c r="B45" s="108" t="s">
        <v>71</v>
      </c>
      <c r="C45" s="9">
        <v>5600</v>
      </c>
      <c r="D45" s="45">
        <v>0</v>
      </c>
      <c r="E45" s="45">
        <v>0</v>
      </c>
      <c r="F45" s="45">
        <v>0</v>
      </c>
      <c r="G45" s="45">
        <v>0</v>
      </c>
      <c r="H45" s="9">
        <f>D45+F45+'06-24-21'!H45</f>
        <v>4041.7000000000003</v>
      </c>
      <c r="I45" s="9">
        <f>E45+G45+'06-24-21'!I45</f>
        <v>76.720000000000013</v>
      </c>
      <c r="J45" s="9">
        <f t="shared" si="13"/>
        <v>4118.42</v>
      </c>
      <c r="K45" s="9">
        <f t="shared" ref="K45" si="16">C45-J45</f>
        <v>1481.58</v>
      </c>
      <c r="L45" s="9">
        <f t="shared" si="14"/>
        <v>1481.58</v>
      </c>
      <c r="M45" s="116"/>
    </row>
    <row r="46" spans="1:13" s="98" customFormat="1" ht="11.45" customHeight="1" x14ac:dyDescent="0.2">
      <c r="A46" s="25" t="s">
        <v>7</v>
      </c>
      <c r="B46" s="108" t="s">
        <v>6</v>
      </c>
      <c r="C46" s="9">
        <f>1609.56+4300</f>
        <v>5909.5599999999995</v>
      </c>
      <c r="D46" s="45">
        <v>0</v>
      </c>
      <c r="E46" s="45">
        <v>0</v>
      </c>
      <c r="F46" s="45">
        <v>330</v>
      </c>
      <c r="G46" s="45">
        <v>17.16</v>
      </c>
      <c r="H46" s="9">
        <f>D46+F46+'06-24-21'!H46</f>
        <v>1597.5</v>
      </c>
      <c r="I46" s="9">
        <f>E46+G46+'06-24-21'!I46</f>
        <v>41.21</v>
      </c>
      <c r="J46" s="9">
        <f t="shared" si="13"/>
        <v>1638.71</v>
      </c>
      <c r="K46" s="9">
        <f>C46-J46</f>
        <v>4270.8499999999995</v>
      </c>
      <c r="L46" s="9">
        <f t="shared" si="14"/>
        <v>4270.8499999999995</v>
      </c>
      <c r="M46" s="150"/>
    </row>
    <row r="47" spans="1:13" s="98" customFormat="1" ht="11.45" customHeight="1" x14ac:dyDescent="0.25">
      <c r="A47" s="25" t="s">
        <v>9</v>
      </c>
      <c r="B47" s="108" t="s">
        <v>8</v>
      </c>
      <c r="C47" s="9">
        <v>0</v>
      </c>
      <c r="D47" s="45">
        <v>0</v>
      </c>
      <c r="E47" s="45">
        <v>0</v>
      </c>
      <c r="F47" s="45">
        <v>0</v>
      </c>
      <c r="G47" s="45">
        <v>0</v>
      </c>
      <c r="H47" s="9">
        <f>D47+F47+'06-24-21'!H47</f>
        <v>0</v>
      </c>
      <c r="I47" s="9">
        <f>E47+G47+'06-24-21'!I47</f>
        <v>0</v>
      </c>
      <c r="J47" s="9">
        <f t="shared" si="13"/>
        <v>0</v>
      </c>
      <c r="K47" s="9">
        <f t="shared" si="15"/>
        <v>0</v>
      </c>
      <c r="L47" s="9">
        <f t="shared" si="14"/>
        <v>0</v>
      </c>
      <c r="M47" s="116"/>
    </row>
    <row r="48" spans="1:13" s="98" customFormat="1" ht="11.45" customHeight="1" x14ac:dyDescent="0.25">
      <c r="A48" s="25" t="s">
        <v>63</v>
      </c>
      <c r="B48" s="108" t="s">
        <v>66</v>
      </c>
      <c r="C48" s="9">
        <v>1784.19</v>
      </c>
      <c r="D48" s="45">
        <v>0</v>
      </c>
      <c r="E48" s="45">
        <v>0</v>
      </c>
      <c r="F48" s="45">
        <v>0</v>
      </c>
      <c r="G48" s="45">
        <v>0</v>
      </c>
      <c r="H48" s="9">
        <f>D48+F48+'06-24-21'!H48</f>
        <v>1504</v>
      </c>
      <c r="I48" s="9">
        <f>E48+G48+'06-24-21'!I48</f>
        <v>78.179999999999993</v>
      </c>
      <c r="J48" s="9">
        <f t="shared" si="13"/>
        <v>1582.18</v>
      </c>
      <c r="K48" s="9">
        <f t="shared" si="15"/>
        <v>202.01</v>
      </c>
      <c r="L48" s="9">
        <f t="shared" si="14"/>
        <v>202.01</v>
      </c>
      <c r="M48" s="116"/>
    </row>
    <row r="49" spans="1:13" s="98" customFormat="1" ht="11.45" hidden="1" customHeight="1" x14ac:dyDescent="0.25">
      <c r="A49" s="25" t="s">
        <v>64</v>
      </c>
      <c r="B49" s="108" t="s">
        <v>65</v>
      </c>
      <c r="C49" s="97"/>
      <c r="D49" s="45"/>
      <c r="E49" s="45"/>
      <c r="F49" s="45"/>
      <c r="G49" s="45"/>
      <c r="H49" s="9">
        <f>D49+F49+'06-24-21'!H49</f>
        <v>0</v>
      </c>
      <c r="I49" s="9">
        <f>E49+G49+'06-24-21'!I49</f>
        <v>0</v>
      </c>
      <c r="J49" s="9">
        <f t="shared" si="13"/>
        <v>0</v>
      </c>
      <c r="K49" s="9">
        <f t="shared" si="15"/>
        <v>0</v>
      </c>
      <c r="L49" s="9">
        <f t="shared" si="14"/>
        <v>0</v>
      </c>
      <c r="M49" s="116"/>
    </row>
    <row r="50" spans="1:13" s="110" customFormat="1" ht="11.25" customHeight="1" x14ac:dyDescent="0.25">
      <c r="A50" s="25" t="s">
        <v>57</v>
      </c>
      <c r="B50" s="108" t="s">
        <v>58</v>
      </c>
      <c r="C50" s="109">
        <v>5369</v>
      </c>
      <c r="D50" s="45">
        <v>0</v>
      </c>
      <c r="E50" s="45">
        <v>0</v>
      </c>
      <c r="F50" s="45">
        <v>0</v>
      </c>
      <c r="G50" s="45">
        <v>0</v>
      </c>
      <c r="H50" s="9">
        <f>D50+F50+'06-24-21'!H50</f>
        <v>1682.0900000000001</v>
      </c>
      <c r="I50" s="9">
        <f>E50+G50+'06-24-21'!I50</f>
        <v>31.85</v>
      </c>
      <c r="J50" s="9">
        <f t="shared" si="13"/>
        <v>1713.94</v>
      </c>
      <c r="K50" s="9">
        <f>C50-J50</f>
        <v>3655.06</v>
      </c>
      <c r="L50" s="9">
        <f t="shared" si="14"/>
        <v>3655.06</v>
      </c>
      <c r="M50" s="115"/>
    </row>
    <row r="51" spans="1:13" s="110" customFormat="1" ht="11.25" customHeight="1" x14ac:dyDescent="0.25">
      <c r="A51" s="25" t="s">
        <v>95</v>
      </c>
      <c r="B51" s="108" t="s">
        <v>94</v>
      </c>
      <c r="C51" s="109">
        <f>2000+1000+500</f>
        <v>3500</v>
      </c>
      <c r="D51" s="45">
        <v>0</v>
      </c>
      <c r="E51" s="45">
        <v>0</v>
      </c>
      <c r="F51" s="45">
        <v>0</v>
      </c>
      <c r="G51" s="45">
        <v>0</v>
      </c>
      <c r="H51" s="9">
        <f>D51+F51+'06-24-21'!H51</f>
        <v>3071.5</v>
      </c>
      <c r="I51" s="9">
        <f>E51+G51+'06-24-21'!I51</f>
        <v>59.129999999999995</v>
      </c>
      <c r="J51" s="9">
        <f t="shared" si="13"/>
        <v>3130.63</v>
      </c>
      <c r="K51" s="9">
        <f>C51-J51</f>
        <v>369.36999999999989</v>
      </c>
      <c r="L51" s="9">
        <f t="shared" si="14"/>
        <v>369.36999999999989</v>
      </c>
      <c r="M51" s="116"/>
    </row>
    <row r="52" spans="1:13" s="110" customFormat="1" ht="11.25" customHeight="1" x14ac:dyDescent="0.25">
      <c r="A52" s="25" t="s">
        <v>131</v>
      </c>
      <c r="B52" s="108" t="s">
        <v>130</v>
      </c>
      <c r="C52" s="109">
        <f>28.53+2000+292.75+48.91</f>
        <v>2370.1899999999996</v>
      </c>
      <c r="D52" s="109">
        <v>48</v>
      </c>
      <c r="E52" s="109">
        <v>0.91</v>
      </c>
      <c r="F52" s="109">
        <v>0</v>
      </c>
      <c r="G52" s="109">
        <v>0</v>
      </c>
      <c r="H52" s="9">
        <f>D52+F52+'06-24-21'!H52</f>
        <v>2326</v>
      </c>
      <c r="I52" s="9">
        <f>E52+G52+'06-24-21'!I52</f>
        <v>44.19</v>
      </c>
      <c r="J52" s="9">
        <f t="shared" si="13"/>
        <v>2370.19</v>
      </c>
      <c r="K52" s="9">
        <f>C52-J52</f>
        <v>0</v>
      </c>
      <c r="L52" s="9">
        <f t="shared" si="14"/>
        <v>0</v>
      </c>
      <c r="M52" s="116"/>
    </row>
    <row r="53" spans="1:13" s="110" customFormat="1" ht="11.25" customHeight="1" x14ac:dyDescent="0.25">
      <c r="A53" s="25" t="s">
        <v>141</v>
      </c>
      <c r="B53" s="108" t="s">
        <v>142</v>
      </c>
      <c r="C53" s="109">
        <v>3800</v>
      </c>
      <c r="D53" s="109">
        <v>9.6</v>
      </c>
      <c r="E53" s="109">
        <v>0.18</v>
      </c>
      <c r="F53" s="109">
        <v>0</v>
      </c>
      <c r="G53" s="109">
        <v>0</v>
      </c>
      <c r="H53" s="9">
        <f>D53+F53+'06-24-21'!H53</f>
        <v>477.6</v>
      </c>
      <c r="I53" s="9">
        <f>E53+G53+'06-24-21'!I53</f>
        <v>9.0399999999999991</v>
      </c>
      <c r="J53" s="9">
        <f t="shared" si="13"/>
        <v>486.64000000000004</v>
      </c>
      <c r="K53" s="9">
        <f>C53-J53</f>
        <v>3313.36</v>
      </c>
      <c r="L53" s="9">
        <f t="shared" si="14"/>
        <v>3313.36</v>
      </c>
      <c r="M53" s="116"/>
    </row>
    <row r="54" spans="1:13" s="110" customFormat="1" ht="11.25" customHeight="1" x14ac:dyDescent="0.2">
      <c r="A54" s="25" t="s">
        <v>155</v>
      </c>
      <c r="B54" s="108" t="s">
        <v>154</v>
      </c>
      <c r="C54" s="109">
        <v>5000</v>
      </c>
      <c r="D54" s="109">
        <v>201</v>
      </c>
      <c r="E54" s="109">
        <v>3.81</v>
      </c>
      <c r="F54" s="109">
        <v>180</v>
      </c>
      <c r="G54" s="109">
        <v>9.36</v>
      </c>
      <c r="H54" s="9">
        <f>D54+F54+'06-24-21'!H54</f>
        <v>786</v>
      </c>
      <c r="I54" s="9">
        <f>E54+G54+'06-24-21'!I54</f>
        <v>20.86</v>
      </c>
      <c r="J54" s="9">
        <f t="shared" si="13"/>
        <v>806.86</v>
      </c>
      <c r="K54" s="9">
        <f>C54-J54</f>
        <v>4193.1400000000003</v>
      </c>
      <c r="L54" s="9">
        <f t="shared" si="14"/>
        <v>4193.1400000000003</v>
      </c>
      <c r="M54" s="150"/>
    </row>
    <row r="55" spans="1:13" ht="21.6" customHeight="1" x14ac:dyDescent="0.25">
      <c r="A55" s="153" t="s">
        <v>5</v>
      </c>
      <c r="B55" s="154"/>
      <c r="C55" s="7">
        <f>SUM(C35:C50)</f>
        <v>78334.78</v>
      </c>
      <c r="D55" s="7"/>
      <c r="E55" s="7"/>
      <c r="F55" s="7"/>
      <c r="G55" s="7"/>
      <c r="H55" s="7">
        <f>SUM(H35:H51)</f>
        <v>43372.3</v>
      </c>
      <c r="I55" s="7">
        <f>SUM(I35:I51)</f>
        <v>1427.047</v>
      </c>
      <c r="J55" s="7">
        <f>SUM(J35:J51)</f>
        <v>44799.346999999994</v>
      </c>
      <c r="K55" s="7">
        <f>SUM(K35:K51)</f>
        <v>37035.433000000005</v>
      </c>
      <c r="L55" s="7">
        <f>SUM(L35:L51)</f>
        <v>37035.433000000005</v>
      </c>
      <c r="M55" s="133"/>
    </row>
    <row r="56" spans="1:13" ht="10.9" customHeight="1" x14ac:dyDescent="0.25">
      <c r="A56" s="17"/>
      <c r="B56" s="16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33"/>
    </row>
    <row r="57" spans="1:13" ht="10.9" customHeight="1" x14ac:dyDescent="0.25">
      <c r="A57" s="17"/>
      <c r="B57" s="16"/>
      <c r="C57" s="15"/>
      <c r="D57" s="15"/>
      <c r="E57" s="15"/>
      <c r="F57" s="15"/>
      <c r="G57" s="15"/>
      <c r="H57" s="15"/>
      <c r="I57" s="15"/>
      <c r="J57" s="15"/>
      <c r="K57" s="15"/>
      <c r="L57" s="15"/>
    </row>
    <row r="58" spans="1:13" s="92" customFormat="1" ht="10.9" customHeight="1" x14ac:dyDescent="0.25">
      <c r="A58" s="22" t="s">
        <v>4</v>
      </c>
      <c r="B58" s="29" t="s">
        <v>3</v>
      </c>
      <c r="C58" s="9">
        <v>62583</v>
      </c>
      <c r="D58" s="10">
        <v>316.02</v>
      </c>
      <c r="E58" s="10">
        <v>6</v>
      </c>
      <c r="F58" s="10">
        <v>230</v>
      </c>
      <c r="G58" s="10">
        <v>11.96</v>
      </c>
      <c r="H58" s="9">
        <f>D58+F58+'06-24-21'!H58</f>
        <v>29720.399999999998</v>
      </c>
      <c r="I58" s="9">
        <f>E58+G58+'06-24-21'!I58</f>
        <v>723.69200000000012</v>
      </c>
      <c r="J58" s="9">
        <f t="shared" ref="J58:J59" si="17">H58+I58</f>
        <v>30444.091999999997</v>
      </c>
      <c r="K58" s="9">
        <f>C58-J58</f>
        <v>32138.908000000003</v>
      </c>
      <c r="L58" s="9">
        <f t="shared" ref="L58:L59" si="18">C58-((J58/26.0714285714285)*26.0714285714285)</f>
        <v>32138.908000000003</v>
      </c>
      <c r="M58" s="115"/>
    </row>
    <row r="59" spans="1:13" s="92" customFormat="1" ht="10.9" customHeight="1" x14ac:dyDescent="0.25">
      <c r="A59" s="22" t="s">
        <v>112</v>
      </c>
      <c r="B59" s="29" t="s">
        <v>111</v>
      </c>
      <c r="C59" s="9">
        <v>11243</v>
      </c>
      <c r="D59" s="9">
        <v>0</v>
      </c>
      <c r="E59" s="9">
        <v>0</v>
      </c>
      <c r="F59" s="9">
        <v>0</v>
      </c>
      <c r="G59" s="9">
        <v>0</v>
      </c>
      <c r="H59" s="9">
        <f>D59+F59+'06-24-21'!H59</f>
        <v>-1642.36</v>
      </c>
      <c r="I59" s="9">
        <f>E59+G59+'06-24-21'!I59</f>
        <v>-31.2</v>
      </c>
      <c r="J59" s="9">
        <f t="shared" si="17"/>
        <v>-1673.56</v>
      </c>
      <c r="K59" s="9">
        <f>C59-J59</f>
        <v>12916.56</v>
      </c>
      <c r="L59" s="9">
        <f t="shared" si="18"/>
        <v>12916.56</v>
      </c>
      <c r="M59" s="115"/>
    </row>
    <row r="60" spans="1:13" ht="21.6" customHeight="1" x14ac:dyDescent="0.25">
      <c r="A60" s="20" t="s">
        <v>2</v>
      </c>
      <c r="B60" s="19"/>
      <c r="C60" s="18">
        <f>C58+C59</f>
        <v>73826</v>
      </c>
      <c r="D60" s="18">
        <f t="shared" ref="D60:L60" si="19">D58+D59</f>
        <v>316.02</v>
      </c>
      <c r="E60" s="18">
        <f t="shared" si="19"/>
        <v>6</v>
      </c>
      <c r="F60" s="18">
        <f t="shared" si="19"/>
        <v>230</v>
      </c>
      <c r="G60" s="18">
        <f t="shared" si="19"/>
        <v>11.96</v>
      </c>
      <c r="H60" s="18">
        <f t="shared" si="19"/>
        <v>28078.039999999997</v>
      </c>
      <c r="I60" s="18">
        <f t="shared" si="19"/>
        <v>692.49200000000008</v>
      </c>
      <c r="J60" s="18">
        <f t="shared" si="19"/>
        <v>28770.531999999996</v>
      </c>
      <c r="K60" s="18">
        <f t="shared" si="19"/>
        <v>45055.468000000001</v>
      </c>
      <c r="L60" s="18">
        <f t="shared" si="19"/>
        <v>45055.468000000001</v>
      </c>
    </row>
    <row r="61" spans="1:13" ht="10.9" customHeight="1" x14ac:dyDescent="0.25">
      <c r="A61" s="17"/>
      <c r="B61" s="16"/>
      <c r="C61" s="15"/>
      <c r="D61" s="15"/>
      <c r="E61" s="15"/>
      <c r="F61" s="15"/>
      <c r="G61" s="15"/>
      <c r="H61" s="15"/>
      <c r="I61" s="15"/>
      <c r="J61" s="15"/>
      <c r="K61" s="15"/>
      <c r="L61" s="15"/>
    </row>
    <row r="62" spans="1:13" ht="10.9" customHeight="1" x14ac:dyDescent="0.25">
      <c r="A62" s="17"/>
      <c r="B62" s="16"/>
      <c r="C62" s="15"/>
      <c r="D62" s="15"/>
      <c r="E62" s="15"/>
      <c r="F62" s="15"/>
      <c r="G62" s="15"/>
      <c r="H62" s="15"/>
      <c r="I62" s="15"/>
      <c r="J62" s="15"/>
      <c r="K62" s="15"/>
      <c r="L62" s="15"/>
    </row>
    <row r="63" spans="1:13" s="92" customFormat="1" ht="10.9" customHeight="1" x14ac:dyDescent="0.25">
      <c r="A63" s="13" t="s">
        <v>1</v>
      </c>
      <c r="B63" s="33">
        <v>55180000</v>
      </c>
      <c r="C63" s="9">
        <f>37736-15000</f>
        <v>22736</v>
      </c>
      <c r="D63" s="10">
        <v>0</v>
      </c>
      <c r="E63" s="10">
        <v>0</v>
      </c>
      <c r="F63" s="10">
        <v>175.44</v>
      </c>
      <c r="G63" s="10">
        <v>9.1199999999999992</v>
      </c>
      <c r="H63" s="9">
        <f>D63+F63+'06-24-21'!H63</f>
        <v>10984.300000000005</v>
      </c>
      <c r="I63" s="9">
        <f>E63+G63+'06-24-21'!I63</f>
        <v>581.4</v>
      </c>
      <c r="J63" s="9">
        <f t="shared" ref="J63" si="20">H63+I63</f>
        <v>11565.700000000004</v>
      </c>
      <c r="K63" s="9">
        <f>C63-J63</f>
        <v>11170.299999999996</v>
      </c>
      <c r="L63" s="9">
        <f>C63-((J63/26.0714285714285)*26.0714285714285)</f>
        <v>11170.299999999996</v>
      </c>
      <c r="M63" s="115"/>
    </row>
    <row r="64" spans="1:13" s="3" customFormat="1" ht="21.6" customHeight="1" x14ac:dyDescent="0.25">
      <c r="A64" s="153" t="s">
        <v>0</v>
      </c>
      <c r="B64" s="154"/>
      <c r="C64" s="7">
        <f t="shared" ref="C64:L64" si="21">SUM(C63)</f>
        <v>22736</v>
      </c>
      <c r="D64" s="7">
        <f t="shared" si="21"/>
        <v>0</v>
      </c>
      <c r="E64" s="7">
        <f t="shared" si="21"/>
        <v>0</v>
      </c>
      <c r="F64" s="7">
        <f t="shared" si="21"/>
        <v>175.44</v>
      </c>
      <c r="G64" s="7">
        <f t="shared" si="21"/>
        <v>9.1199999999999992</v>
      </c>
      <c r="H64" s="7">
        <f t="shared" si="21"/>
        <v>10984.300000000005</v>
      </c>
      <c r="I64" s="7">
        <f t="shared" si="21"/>
        <v>581.4</v>
      </c>
      <c r="J64" s="7">
        <f t="shared" si="21"/>
        <v>11565.700000000004</v>
      </c>
      <c r="K64" s="7">
        <f t="shared" si="21"/>
        <v>11170.299999999996</v>
      </c>
      <c r="L64" s="7">
        <f t="shared" si="21"/>
        <v>11170.299999999996</v>
      </c>
      <c r="M64" s="122"/>
    </row>
    <row r="65" spans="1:13" s="3" customFormat="1" ht="11.25" customHeight="1" x14ac:dyDescent="0.25">
      <c r="A65" s="6"/>
      <c r="B65" s="5"/>
      <c r="C65" s="4"/>
      <c r="D65" s="4"/>
      <c r="E65" s="4"/>
      <c r="F65" s="4"/>
      <c r="G65" s="4"/>
      <c r="H65" s="4"/>
      <c r="I65" s="4"/>
      <c r="J65" s="4"/>
      <c r="K65" s="4"/>
      <c r="L65" s="4"/>
      <c r="M65" s="122"/>
    </row>
    <row r="66" spans="1:13" s="2" customFormat="1" ht="10.5" customHeight="1" x14ac:dyDescent="0.25">
      <c r="A66" s="160" t="s">
        <v>72</v>
      </c>
      <c r="B66" s="160"/>
      <c r="C66" s="160"/>
      <c r="D66" s="160"/>
      <c r="E66" s="160"/>
      <c r="F66" s="160"/>
      <c r="G66" s="82">
        <v>12000</v>
      </c>
      <c r="M66" s="111"/>
    </row>
    <row r="67" spans="1:13" s="2" customFormat="1" ht="10.5" customHeight="1" x14ac:dyDescent="0.25">
      <c r="A67" s="160" t="s">
        <v>73</v>
      </c>
      <c r="B67" s="160"/>
      <c r="C67" s="160"/>
      <c r="D67" s="160"/>
      <c r="E67" s="160"/>
      <c r="F67" s="160"/>
      <c r="G67" s="82">
        <v>5600</v>
      </c>
      <c r="M67" s="111"/>
    </row>
    <row r="68" spans="1:13" ht="10.5" customHeight="1" x14ac:dyDescent="0.25">
      <c r="A68" s="160" t="s">
        <v>76</v>
      </c>
      <c r="B68" s="160"/>
      <c r="C68" s="160"/>
      <c r="D68" s="160"/>
      <c r="E68" s="160"/>
      <c r="F68" s="160"/>
      <c r="G68" s="82">
        <v>9800</v>
      </c>
    </row>
    <row r="69" spans="1:13" ht="10.5" customHeight="1" x14ac:dyDescent="0.25">
      <c r="A69" s="160" t="s">
        <v>75</v>
      </c>
      <c r="B69" s="160"/>
      <c r="C69" s="160"/>
      <c r="D69" s="160"/>
      <c r="E69" s="160"/>
      <c r="F69" s="160"/>
      <c r="G69" s="82">
        <v>1500</v>
      </c>
    </row>
    <row r="70" spans="1:13" ht="10.5" customHeight="1" x14ac:dyDescent="0.25">
      <c r="A70" s="160" t="s">
        <v>74</v>
      </c>
      <c r="B70" s="160"/>
      <c r="C70" s="160"/>
      <c r="D70" s="160"/>
      <c r="E70" s="160"/>
      <c r="F70" s="160"/>
      <c r="G70" s="82">
        <v>843.44</v>
      </c>
    </row>
    <row r="71" spans="1:13" ht="10.5" customHeight="1" x14ac:dyDescent="0.25">
      <c r="A71" s="160" t="s">
        <v>77</v>
      </c>
      <c r="B71" s="160"/>
      <c r="C71" s="160"/>
      <c r="D71" s="160"/>
      <c r="E71" s="160"/>
      <c r="F71" s="160"/>
      <c r="G71" s="82">
        <v>1784.19</v>
      </c>
    </row>
    <row r="72" spans="1:13" ht="10.5" customHeight="1" x14ac:dyDescent="0.25">
      <c r="A72" s="160" t="s">
        <v>78</v>
      </c>
      <c r="B72" s="160"/>
      <c r="C72" s="160"/>
      <c r="D72" s="160"/>
      <c r="E72" s="160"/>
      <c r="F72" s="160"/>
      <c r="G72" s="82">
        <v>2453.12</v>
      </c>
    </row>
    <row r="73" spans="1:13" s="2" customFormat="1" ht="10.5" customHeight="1" x14ac:dyDescent="0.25">
      <c r="A73" s="160" t="s">
        <v>84</v>
      </c>
      <c r="B73" s="160"/>
      <c r="C73" s="160"/>
      <c r="D73" s="160"/>
      <c r="E73" s="160"/>
      <c r="F73" s="160"/>
      <c r="G73" s="82">
        <v>2598.4499999999998</v>
      </c>
      <c r="M73" s="112"/>
    </row>
    <row r="74" spans="1:13" s="2" customFormat="1" ht="10.5" customHeight="1" x14ac:dyDescent="0.25">
      <c r="A74" s="160" t="s">
        <v>134</v>
      </c>
      <c r="B74" s="160"/>
      <c r="C74" s="160"/>
      <c r="D74" s="160"/>
      <c r="E74" s="160"/>
      <c r="F74" s="160"/>
      <c r="G74" s="82">
        <v>2659</v>
      </c>
      <c r="M74" s="112"/>
    </row>
    <row r="75" spans="1:13" s="2" customFormat="1" ht="10.5" customHeight="1" x14ac:dyDescent="0.25">
      <c r="A75" s="160" t="s">
        <v>90</v>
      </c>
      <c r="B75" s="160"/>
      <c r="C75" s="160"/>
      <c r="D75" s="160"/>
      <c r="E75" s="160"/>
      <c r="F75" s="160"/>
      <c r="G75" s="82">
        <v>1200</v>
      </c>
      <c r="M75" s="112"/>
    </row>
    <row r="76" spans="1:13" s="2" customFormat="1" ht="10.5" customHeight="1" x14ac:dyDescent="0.25">
      <c r="A76" s="160" t="s">
        <v>93</v>
      </c>
      <c r="B76" s="160"/>
      <c r="C76" s="160"/>
      <c r="D76" s="160"/>
      <c r="E76" s="160"/>
      <c r="F76" s="160"/>
      <c r="G76" s="82">
        <v>2109</v>
      </c>
      <c r="M76" s="111"/>
    </row>
    <row r="77" spans="1:13" s="2" customFormat="1" ht="10.5" customHeight="1" x14ac:dyDescent="0.25">
      <c r="A77" s="160" t="s">
        <v>100</v>
      </c>
      <c r="B77" s="160"/>
      <c r="C77" s="160"/>
      <c r="D77" s="160"/>
      <c r="E77" s="160"/>
      <c r="F77" s="160"/>
      <c r="G77" s="82">
        <v>6100</v>
      </c>
      <c r="M77" s="111"/>
    </row>
    <row r="78" spans="1:13" s="2" customFormat="1" ht="10.5" customHeight="1" x14ac:dyDescent="0.25">
      <c r="A78" s="160" t="s">
        <v>102</v>
      </c>
      <c r="B78" s="160"/>
      <c r="C78" s="160"/>
      <c r="D78" s="160"/>
      <c r="E78" s="160"/>
      <c r="F78" s="160"/>
      <c r="G78" s="82">
        <v>5369</v>
      </c>
      <c r="M78" s="112"/>
    </row>
    <row r="79" spans="1:13" ht="10.5" customHeight="1" x14ac:dyDescent="0.25">
      <c r="A79" s="160" t="s">
        <v>106</v>
      </c>
      <c r="B79" s="160"/>
      <c r="C79" s="160"/>
      <c r="D79" s="160"/>
      <c r="E79" s="160"/>
      <c r="F79" s="160"/>
      <c r="G79" s="82">
        <v>16442.41</v>
      </c>
    </row>
    <row r="80" spans="1:13" ht="10.5" customHeight="1" x14ac:dyDescent="0.25">
      <c r="A80" s="160" t="s">
        <v>107</v>
      </c>
      <c r="B80" s="160"/>
      <c r="C80" s="160"/>
      <c r="D80" s="160"/>
      <c r="E80" s="160"/>
      <c r="F80" s="160"/>
      <c r="G80" s="82">
        <v>1609.56</v>
      </c>
    </row>
    <row r="81" spans="1:13" s="2" customFormat="1" ht="10.5" customHeight="1" x14ac:dyDescent="0.25">
      <c r="A81" s="160" t="s">
        <v>140</v>
      </c>
      <c r="B81" s="160"/>
      <c r="C81" s="160"/>
      <c r="D81" s="160"/>
      <c r="E81" s="160"/>
      <c r="F81" s="160"/>
      <c r="G81" s="82">
        <v>1000</v>
      </c>
      <c r="M81" s="112"/>
    </row>
    <row r="82" spans="1:13" ht="10.5" customHeight="1" x14ac:dyDescent="0.25">
      <c r="A82" s="160" t="s">
        <v>113</v>
      </c>
      <c r="B82" s="160"/>
      <c r="C82" s="160"/>
      <c r="D82" s="160"/>
      <c r="E82" s="160"/>
      <c r="F82" s="160"/>
      <c r="G82" s="82">
        <v>75940.289999999994</v>
      </c>
    </row>
    <row r="83" spans="1:13" s="2" customFormat="1" ht="10.5" customHeight="1" x14ac:dyDescent="0.25">
      <c r="A83" s="160" t="s">
        <v>115</v>
      </c>
      <c r="B83" s="160"/>
      <c r="C83" s="160"/>
      <c r="D83" s="160"/>
      <c r="E83" s="160"/>
      <c r="F83" s="160"/>
      <c r="G83" s="82">
        <v>1200</v>
      </c>
      <c r="M83" s="112"/>
    </row>
    <row r="84" spans="1:13" s="2" customFormat="1" ht="10.5" customHeight="1" x14ac:dyDescent="0.25">
      <c r="A84" s="160" t="s">
        <v>117</v>
      </c>
      <c r="B84" s="160"/>
      <c r="C84" s="160"/>
      <c r="D84" s="160"/>
      <c r="E84" s="160"/>
      <c r="F84" s="160"/>
      <c r="G84" s="82">
        <v>4208</v>
      </c>
      <c r="M84" s="112"/>
    </row>
    <row r="85" spans="1:13" ht="10.5" customHeight="1" x14ac:dyDescent="0.25">
      <c r="A85" s="160" t="s">
        <v>118</v>
      </c>
      <c r="B85" s="160"/>
      <c r="C85" s="160"/>
      <c r="D85" s="160"/>
      <c r="E85" s="160"/>
      <c r="F85" s="160"/>
      <c r="G85" s="82">
        <v>500</v>
      </c>
    </row>
    <row r="86" spans="1:13" s="2" customFormat="1" ht="10.5" customHeight="1" x14ac:dyDescent="0.25">
      <c r="A86" s="160" t="s">
        <v>133</v>
      </c>
      <c r="B86" s="160"/>
      <c r="C86" s="160"/>
      <c r="D86" s="160"/>
      <c r="E86" s="160"/>
      <c r="F86" s="160"/>
      <c r="G86" s="134">
        <v>3360</v>
      </c>
      <c r="M86" s="112"/>
    </row>
    <row r="87" spans="1:13" s="2" customFormat="1" ht="10.5" customHeight="1" x14ac:dyDescent="0.25">
      <c r="A87" s="160" t="s">
        <v>124</v>
      </c>
      <c r="B87" s="160"/>
      <c r="C87" s="160"/>
      <c r="D87" s="160"/>
      <c r="E87" s="160"/>
      <c r="F87" s="160"/>
      <c r="G87" s="134">
        <v>-137.84</v>
      </c>
      <c r="M87" s="112"/>
    </row>
    <row r="88" spans="1:13" s="2" customFormat="1" ht="10.5" customHeight="1" x14ac:dyDescent="0.25">
      <c r="A88" s="160" t="s">
        <v>126</v>
      </c>
      <c r="B88" s="160"/>
      <c r="C88" s="160"/>
      <c r="D88" s="160"/>
      <c r="E88" s="160"/>
      <c r="F88" s="160"/>
      <c r="G88" s="134">
        <v>2500</v>
      </c>
      <c r="M88" s="112"/>
    </row>
    <row r="89" spans="1:13" s="2" customFormat="1" ht="10.5" customHeight="1" x14ac:dyDescent="0.25">
      <c r="A89" s="160" t="s">
        <v>127</v>
      </c>
      <c r="B89" s="160"/>
      <c r="C89" s="160"/>
      <c r="D89" s="160"/>
      <c r="E89" s="160"/>
      <c r="F89" s="160"/>
      <c r="G89" s="134">
        <v>61.23</v>
      </c>
      <c r="M89" s="112"/>
    </row>
    <row r="90" spans="1:13" ht="10.5" customHeight="1" x14ac:dyDescent="0.25">
      <c r="A90" s="138" t="s">
        <v>139</v>
      </c>
      <c r="B90" s="139"/>
      <c r="C90" s="140"/>
      <c r="D90" s="140"/>
      <c r="E90" s="140"/>
      <c r="F90" s="140"/>
      <c r="G90" s="135">
        <v>28.53</v>
      </c>
    </row>
    <row r="91" spans="1:13" ht="10.5" customHeight="1" x14ac:dyDescent="0.25">
      <c r="A91" s="138" t="s">
        <v>138</v>
      </c>
      <c r="B91" s="139"/>
      <c r="C91" s="140"/>
      <c r="D91" s="140"/>
      <c r="E91" s="140"/>
      <c r="F91" s="140"/>
      <c r="G91" s="135">
        <v>2000</v>
      </c>
    </row>
    <row r="92" spans="1:13" s="2" customFormat="1" ht="10.5" customHeight="1" x14ac:dyDescent="0.25">
      <c r="A92" s="160" t="s">
        <v>136</v>
      </c>
      <c r="B92" s="160"/>
      <c r="C92" s="160"/>
      <c r="D92" s="160"/>
      <c r="E92" s="160"/>
      <c r="F92" s="160"/>
      <c r="G92" s="82">
        <v>5341</v>
      </c>
      <c r="M92" s="111"/>
    </row>
    <row r="93" spans="1:13" ht="10.5" customHeight="1" x14ac:dyDescent="0.25">
      <c r="A93" s="138" t="s">
        <v>137</v>
      </c>
      <c r="B93" s="139"/>
      <c r="C93" s="140"/>
      <c r="D93" s="140"/>
      <c r="E93" s="140"/>
      <c r="F93" s="140"/>
      <c r="G93" s="135">
        <v>3800</v>
      </c>
    </row>
    <row r="94" spans="1:13" ht="10.5" customHeight="1" x14ac:dyDescent="0.25">
      <c r="A94" s="138" t="s">
        <v>143</v>
      </c>
      <c r="B94" s="139"/>
      <c r="C94" s="140"/>
      <c r="D94" s="140"/>
      <c r="E94" s="140"/>
      <c r="F94" s="140"/>
      <c r="G94" s="135">
        <v>450</v>
      </c>
    </row>
    <row r="95" spans="1:13" ht="9.75" customHeight="1" x14ac:dyDescent="0.25">
      <c r="A95" s="138" t="s">
        <v>145</v>
      </c>
      <c r="B95" s="139"/>
      <c r="C95" s="140"/>
      <c r="D95" s="140"/>
      <c r="E95" s="140"/>
      <c r="F95" s="140"/>
      <c r="G95" s="135">
        <v>22.83</v>
      </c>
    </row>
    <row r="96" spans="1:13" ht="10.5" customHeight="1" x14ac:dyDescent="0.25">
      <c r="A96" s="138" t="s">
        <v>147</v>
      </c>
      <c r="B96" s="139"/>
      <c r="C96" s="140"/>
      <c r="D96" s="140"/>
      <c r="E96" s="140"/>
      <c r="F96" s="140"/>
      <c r="G96" s="135">
        <v>1069.95</v>
      </c>
    </row>
    <row r="97" spans="1:13" s="2" customFormat="1" ht="10.5" customHeight="1" x14ac:dyDescent="0.25">
      <c r="A97" s="160" t="s">
        <v>149</v>
      </c>
      <c r="B97" s="160"/>
      <c r="C97" s="160"/>
      <c r="D97" s="160"/>
      <c r="E97" s="160"/>
      <c r="F97" s="160"/>
      <c r="G97" s="82">
        <v>-15000</v>
      </c>
      <c r="M97" s="111"/>
    </row>
    <row r="98" spans="1:13" s="2" customFormat="1" ht="10.5" customHeight="1" x14ac:dyDescent="0.25">
      <c r="A98" s="160" t="s">
        <v>152</v>
      </c>
      <c r="B98" s="160"/>
      <c r="C98" s="160"/>
      <c r="D98" s="160"/>
      <c r="E98" s="160"/>
      <c r="F98" s="160"/>
      <c r="G98" s="82">
        <v>1000</v>
      </c>
      <c r="M98" s="112"/>
    </row>
    <row r="99" spans="1:13" ht="10.5" customHeight="1" x14ac:dyDescent="0.25">
      <c r="A99" s="144" t="s">
        <v>156</v>
      </c>
      <c r="B99" s="145"/>
      <c r="C99" s="146"/>
      <c r="D99" s="146"/>
      <c r="E99" s="146"/>
      <c r="F99" s="146"/>
      <c r="G99" s="147">
        <v>5000</v>
      </c>
    </row>
    <row r="100" spans="1:13" ht="10.5" customHeight="1" x14ac:dyDescent="0.25">
      <c r="A100" s="138" t="s">
        <v>157</v>
      </c>
      <c r="G100" s="82">
        <v>6710</v>
      </c>
    </row>
    <row r="101" spans="1:13" ht="10.5" customHeight="1" x14ac:dyDescent="0.25">
      <c r="A101" s="138" t="s">
        <v>158</v>
      </c>
      <c r="G101" s="82">
        <v>4300</v>
      </c>
    </row>
    <row r="102" spans="1:13" ht="10.5" customHeight="1" x14ac:dyDescent="0.25">
      <c r="A102" s="138" t="s">
        <v>160</v>
      </c>
      <c r="B102" s="139"/>
      <c r="C102" s="140"/>
      <c r="D102" s="140"/>
      <c r="E102" s="140"/>
      <c r="F102" s="140"/>
      <c r="G102" s="135">
        <v>292.75</v>
      </c>
    </row>
  </sheetData>
  <mergeCells count="33">
    <mergeCell ref="A71:F71"/>
    <mergeCell ref="A16:B16"/>
    <mergeCell ref="A22:B22"/>
    <mergeCell ref="A29:B29"/>
    <mergeCell ref="A32:B32"/>
    <mergeCell ref="A55:B55"/>
    <mergeCell ref="A64:B64"/>
    <mergeCell ref="A66:F66"/>
    <mergeCell ref="A67:F67"/>
    <mergeCell ref="A68:F68"/>
    <mergeCell ref="A69:F69"/>
    <mergeCell ref="A70:F70"/>
    <mergeCell ref="A83:F83"/>
    <mergeCell ref="A72:F72"/>
    <mergeCell ref="A73:F73"/>
    <mergeCell ref="A74:F74"/>
    <mergeCell ref="A75:F75"/>
    <mergeCell ref="A76:F76"/>
    <mergeCell ref="A77:F77"/>
    <mergeCell ref="A78:F78"/>
    <mergeCell ref="A79:F79"/>
    <mergeCell ref="A80:F80"/>
    <mergeCell ref="A81:F81"/>
    <mergeCell ref="A82:F82"/>
    <mergeCell ref="A92:F92"/>
    <mergeCell ref="A97:F97"/>
    <mergeCell ref="A98:F98"/>
    <mergeCell ref="A84:F84"/>
    <mergeCell ref="A85:F85"/>
    <mergeCell ref="A86:F86"/>
    <mergeCell ref="A87:F87"/>
    <mergeCell ref="A88:F88"/>
    <mergeCell ref="A89:F89"/>
  </mergeCells>
  <pageMargins left="0.25" right="0" top="0.4" bottom="0" header="0.3" footer="0"/>
  <pageSetup scale="84" fitToWidth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64"/>
  <sheetViews>
    <sheetView zoomScale="145" zoomScaleNormal="145" workbookViewId="0">
      <pane ySplit="2" topLeftCell="A29" activePane="bottomLeft" state="frozen"/>
      <selection pane="bottomLeft" activeCell="M1" sqref="M1:M1048576"/>
    </sheetView>
  </sheetViews>
  <sheetFormatPr defaultColWidth="28" defaultRowHeight="15" x14ac:dyDescent="0.25"/>
  <cols>
    <col min="1" max="1" width="33.140625" style="1" bestFit="1" customWidth="1"/>
    <col min="2" max="2" width="18.7109375" style="1" bestFit="1" customWidth="1"/>
    <col min="3" max="3" width="10.42578125" style="77" customWidth="1"/>
    <col min="4" max="4" width="8.140625" style="2" bestFit="1" customWidth="1"/>
    <col min="5" max="5" width="6.28515625" style="2" bestFit="1" customWidth="1"/>
    <col min="6" max="6" width="8.28515625" style="2" bestFit="1" customWidth="1"/>
    <col min="7" max="7" width="8.7109375" style="2" bestFit="1" customWidth="1"/>
    <col min="8" max="8" width="9.28515625" style="2" bestFit="1" customWidth="1"/>
    <col min="9" max="9" width="10.7109375" style="2" bestFit="1" customWidth="1"/>
    <col min="10" max="10" width="9.7109375" style="2" bestFit="1" customWidth="1"/>
    <col min="11" max="11" width="11.140625" style="2" customWidth="1"/>
    <col min="12" max="12" width="13.42578125" style="2" bestFit="1" customWidth="1"/>
    <col min="13" max="16384" width="28" style="1"/>
  </cols>
  <sheetData>
    <row r="1" spans="1:13" ht="11.25" customHeight="1" x14ac:dyDescent="0.25">
      <c r="A1" s="68"/>
      <c r="B1" s="67"/>
      <c r="C1" s="76"/>
      <c r="D1" s="66"/>
      <c r="E1" s="66"/>
      <c r="F1" s="66"/>
      <c r="G1" s="66"/>
      <c r="H1" s="66"/>
      <c r="I1" s="66"/>
      <c r="J1" s="66"/>
      <c r="K1" s="66"/>
      <c r="L1" s="65" t="s">
        <v>79</v>
      </c>
    </row>
    <row r="2" spans="1:13" s="61" customFormat="1" ht="34.5" x14ac:dyDescent="0.25">
      <c r="A2" s="64" t="s">
        <v>53</v>
      </c>
      <c r="B2" s="64" t="s">
        <v>52</v>
      </c>
      <c r="C2" s="63" t="s">
        <v>51</v>
      </c>
      <c r="D2" s="63" t="s">
        <v>50</v>
      </c>
      <c r="E2" s="63" t="s">
        <v>48</v>
      </c>
      <c r="F2" s="63" t="s">
        <v>49</v>
      </c>
      <c r="G2" s="63" t="s">
        <v>48</v>
      </c>
      <c r="H2" s="62" t="s">
        <v>47</v>
      </c>
      <c r="I2" s="62" t="s">
        <v>46</v>
      </c>
      <c r="J2" s="62" t="s">
        <v>45</v>
      </c>
      <c r="K2" s="62" t="s">
        <v>44</v>
      </c>
      <c r="L2" s="62" t="s">
        <v>43</v>
      </c>
    </row>
    <row r="3" spans="1:13" s="60" customFormat="1" ht="11.25" customHeight="1" x14ac:dyDescent="0.25">
      <c r="A3" s="22" t="s">
        <v>42</v>
      </c>
      <c r="B3" s="21">
        <v>55010300</v>
      </c>
      <c r="C3" s="11">
        <v>0</v>
      </c>
      <c r="D3" s="9">
        <v>0</v>
      </c>
      <c r="E3" s="9">
        <v>0</v>
      </c>
      <c r="F3" s="9">
        <v>0</v>
      </c>
      <c r="G3" s="9">
        <v>0</v>
      </c>
      <c r="H3" s="9">
        <f>D3+F3+'07-23-20'!H3</f>
        <v>0</v>
      </c>
      <c r="I3" s="9">
        <f>E3+G3+'07-23-20'!I3</f>
        <v>0</v>
      </c>
      <c r="J3" s="9">
        <f t="shared" ref="J3:J13" si="0">H3+I3</f>
        <v>0</v>
      </c>
      <c r="K3" s="9">
        <f>C3-J3</f>
        <v>0</v>
      </c>
      <c r="L3" s="9">
        <f>C3-((J3/3)*26.0714285714285)</f>
        <v>0</v>
      </c>
    </row>
    <row r="4" spans="1:13" s="59" customFormat="1" ht="11.25" customHeight="1" x14ac:dyDescent="0.25">
      <c r="A4" s="22" t="s">
        <v>41</v>
      </c>
      <c r="B4" s="21">
        <v>55010500</v>
      </c>
      <c r="C4" s="11">
        <v>3229</v>
      </c>
      <c r="D4" s="10">
        <v>0</v>
      </c>
      <c r="E4" s="10">
        <v>0</v>
      </c>
      <c r="F4" s="10">
        <v>0</v>
      </c>
      <c r="G4" s="10">
        <v>0</v>
      </c>
      <c r="H4" s="9">
        <f>D4+F4+'07-23-20'!H4</f>
        <v>0</v>
      </c>
      <c r="I4" s="9">
        <f>E4+G4+'07-23-20'!I4</f>
        <v>0</v>
      </c>
      <c r="J4" s="9">
        <f t="shared" si="0"/>
        <v>0</v>
      </c>
      <c r="K4" s="9">
        <f t="shared" ref="K4:K13" si="1">C4-J4</f>
        <v>3229</v>
      </c>
      <c r="L4" s="9">
        <f t="shared" ref="L4:L13" si="2">C4-((J4/3)*26.0714285714285)</f>
        <v>3229</v>
      </c>
    </row>
    <row r="5" spans="1:13" s="8" customFormat="1" ht="11.25" customHeight="1" x14ac:dyDescent="0.25">
      <c r="A5" s="58" t="s">
        <v>40</v>
      </c>
      <c r="B5" s="57">
        <v>55020200</v>
      </c>
      <c r="C5" s="56">
        <v>24649</v>
      </c>
      <c r="D5" s="55">
        <v>1074.68</v>
      </c>
      <c r="E5" s="55">
        <v>20.41</v>
      </c>
      <c r="F5" s="55">
        <v>0</v>
      </c>
      <c r="G5" s="55">
        <v>0</v>
      </c>
      <c r="H5" s="9">
        <f>D5+F5+'07-23-20'!H5</f>
        <v>4626.68</v>
      </c>
      <c r="I5" s="9">
        <f>E5+G5+'07-23-20'!I5</f>
        <v>87.88</v>
      </c>
      <c r="J5" s="9">
        <f t="shared" si="0"/>
        <v>4714.5600000000004</v>
      </c>
      <c r="K5" s="9">
        <f t="shared" si="1"/>
        <v>19934.439999999999</v>
      </c>
      <c r="L5" s="9">
        <f t="shared" si="2"/>
        <v>-16322.771428571323</v>
      </c>
    </row>
    <row r="6" spans="1:13" s="8" customFormat="1" ht="11.25" customHeight="1" x14ac:dyDescent="0.25">
      <c r="A6" s="22" t="s">
        <v>39</v>
      </c>
      <c r="B6" s="21">
        <v>55020300</v>
      </c>
      <c r="C6" s="11">
        <v>17974</v>
      </c>
      <c r="D6" s="10">
        <v>0</v>
      </c>
      <c r="E6" s="10">
        <v>0</v>
      </c>
      <c r="F6" s="10">
        <v>0</v>
      </c>
      <c r="G6" s="10">
        <v>0</v>
      </c>
      <c r="H6" s="9">
        <f>D6+F6+'07-23-20'!H6</f>
        <v>0</v>
      </c>
      <c r="I6" s="9">
        <f>E6+G6+'07-23-20'!I6</f>
        <v>0</v>
      </c>
      <c r="J6" s="9">
        <f t="shared" si="0"/>
        <v>0</v>
      </c>
      <c r="K6" s="9">
        <f t="shared" si="1"/>
        <v>17974</v>
      </c>
      <c r="L6" s="9">
        <f t="shared" si="2"/>
        <v>17974</v>
      </c>
    </row>
    <row r="7" spans="1:13" s="8" customFormat="1" ht="11.25" customHeight="1" x14ac:dyDescent="0.25">
      <c r="A7" s="22" t="s">
        <v>38</v>
      </c>
      <c r="B7" s="21">
        <v>55020400</v>
      </c>
      <c r="C7" s="11">
        <v>17974</v>
      </c>
      <c r="D7" s="10">
        <v>0</v>
      </c>
      <c r="E7" s="10">
        <v>0</v>
      </c>
      <c r="F7" s="10">
        <v>0</v>
      </c>
      <c r="G7" s="10">
        <v>0</v>
      </c>
      <c r="H7" s="9">
        <f>D7+F7+'07-23-20'!H7</f>
        <v>0</v>
      </c>
      <c r="I7" s="9">
        <f>E7+G7+'07-23-20'!I7</f>
        <v>0</v>
      </c>
      <c r="J7" s="9">
        <f t="shared" si="0"/>
        <v>0</v>
      </c>
      <c r="K7" s="9">
        <f t="shared" si="1"/>
        <v>17974</v>
      </c>
      <c r="L7" s="9">
        <f t="shared" si="2"/>
        <v>17974</v>
      </c>
    </row>
    <row r="8" spans="1:13" s="8" customFormat="1" ht="11.25" customHeight="1" x14ac:dyDescent="0.25">
      <c r="A8" s="54" t="s">
        <v>37</v>
      </c>
      <c r="B8" s="21">
        <v>55030200</v>
      </c>
      <c r="C8" s="11">
        <v>24330</v>
      </c>
      <c r="D8" s="10">
        <v>523.19000000000005</v>
      </c>
      <c r="E8" s="10">
        <v>9.94</v>
      </c>
      <c r="F8" s="10">
        <v>0</v>
      </c>
      <c r="G8" s="10">
        <v>0</v>
      </c>
      <c r="H8" s="9">
        <f>D8+F8+'07-23-20'!H8</f>
        <v>1630.1100000000001</v>
      </c>
      <c r="I8" s="9">
        <f>E8+G8+'07-23-20'!I8</f>
        <v>30.96</v>
      </c>
      <c r="J8" s="9">
        <f t="shared" si="0"/>
        <v>1661.0700000000002</v>
      </c>
      <c r="K8" s="9">
        <f t="shared" si="1"/>
        <v>22668.93</v>
      </c>
      <c r="L8" s="9">
        <f t="shared" si="2"/>
        <v>9894.5107142857541</v>
      </c>
    </row>
    <row r="9" spans="1:13" s="8" customFormat="1" ht="11.25" customHeight="1" x14ac:dyDescent="0.25">
      <c r="A9" s="22" t="s">
        <v>36</v>
      </c>
      <c r="B9" s="21">
        <v>55050200</v>
      </c>
      <c r="C9" s="11">
        <v>34000</v>
      </c>
      <c r="D9" s="10">
        <v>186.2</v>
      </c>
      <c r="E9" s="10">
        <v>3.53</v>
      </c>
      <c r="F9" s="10">
        <v>0</v>
      </c>
      <c r="G9" s="10">
        <v>0</v>
      </c>
      <c r="H9" s="9">
        <f>D9+F9+'07-23-20'!H9</f>
        <v>966.34000000000015</v>
      </c>
      <c r="I9" s="9">
        <f>E9+G9+'07-23-20'!I9</f>
        <v>18.34</v>
      </c>
      <c r="J9" s="9">
        <f t="shared" si="0"/>
        <v>984.68000000000018</v>
      </c>
      <c r="K9" s="9">
        <f t="shared" si="1"/>
        <v>33015.32</v>
      </c>
      <c r="L9" s="9">
        <f t="shared" si="2"/>
        <v>25442.661904761924</v>
      </c>
    </row>
    <row r="10" spans="1:13" s="8" customFormat="1" ht="11.25" customHeight="1" x14ac:dyDescent="0.25">
      <c r="A10" s="87" t="s">
        <v>80</v>
      </c>
      <c r="B10" s="88">
        <v>55050300</v>
      </c>
      <c r="C10" s="71"/>
      <c r="D10" s="89">
        <v>1240</v>
      </c>
      <c r="E10" s="89">
        <v>23.56</v>
      </c>
      <c r="F10" s="89">
        <v>0</v>
      </c>
      <c r="G10" s="89">
        <v>0</v>
      </c>
      <c r="H10" s="89">
        <f>D10+F10</f>
        <v>1240</v>
      </c>
      <c r="I10" s="89">
        <f>E10+G10</f>
        <v>23.56</v>
      </c>
      <c r="J10" s="89">
        <f t="shared" ref="J10" si="3">H10+I10</f>
        <v>1263.56</v>
      </c>
      <c r="K10" s="89">
        <f t="shared" ref="K10" si="4">C10-J10</f>
        <v>-1263.56</v>
      </c>
      <c r="L10" s="89">
        <f t="shared" ref="L10" si="5">C10-((J10/3)*26.0714285714285)</f>
        <v>-10980.938095238065</v>
      </c>
      <c r="M10" s="23"/>
    </row>
    <row r="11" spans="1:13" s="23" customFormat="1" ht="11.25" customHeight="1" x14ac:dyDescent="0.25">
      <c r="A11" s="22" t="s">
        <v>35</v>
      </c>
      <c r="B11" s="21">
        <v>55070100</v>
      </c>
      <c r="C11" s="11">
        <v>42741</v>
      </c>
      <c r="D11" s="10">
        <f>-69.69+836.44</f>
        <v>766.75</v>
      </c>
      <c r="E11" s="10">
        <f>-1.32+15.89</f>
        <v>14.57</v>
      </c>
      <c r="F11" s="10">
        <v>0</v>
      </c>
      <c r="G11" s="10">
        <v>0</v>
      </c>
      <c r="H11" s="9">
        <f>D11+F11+'07-23-20'!H10</f>
        <v>2270.17</v>
      </c>
      <c r="I11" s="9">
        <f>E11+G11+'07-23-20'!I10</f>
        <v>43.13</v>
      </c>
      <c r="J11" s="9">
        <f t="shared" si="0"/>
        <v>2313.3000000000002</v>
      </c>
      <c r="K11" s="9">
        <f t="shared" si="1"/>
        <v>40427.699999999997</v>
      </c>
      <c r="L11" s="9">
        <f t="shared" si="2"/>
        <v>22637.321428571486</v>
      </c>
    </row>
    <row r="12" spans="1:13" s="8" customFormat="1" ht="11.25" customHeight="1" x14ac:dyDescent="0.25">
      <c r="A12" s="22" t="s">
        <v>34</v>
      </c>
      <c r="B12" s="21">
        <v>55080100</v>
      </c>
      <c r="C12" s="11">
        <v>23173</v>
      </c>
      <c r="D12" s="10">
        <v>340.02</v>
      </c>
      <c r="E12" s="10">
        <v>6.45</v>
      </c>
      <c r="F12" s="10">
        <v>0</v>
      </c>
      <c r="G12" s="10">
        <v>0</v>
      </c>
      <c r="H12" s="9">
        <f>D12+F12+'07-23-20'!H11</f>
        <v>1101.26</v>
      </c>
      <c r="I12" s="9">
        <f>E12+G12+'07-23-20'!I11</f>
        <v>20.91</v>
      </c>
      <c r="J12" s="9">
        <f t="shared" si="0"/>
        <v>1122.17</v>
      </c>
      <c r="K12" s="9">
        <f t="shared" si="1"/>
        <v>22050.83</v>
      </c>
      <c r="L12" s="9">
        <f t="shared" si="2"/>
        <v>13420.80833333336</v>
      </c>
    </row>
    <row r="13" spans="1:13" s="44" customFormat="1" ht="11.25" customHeight="1" x14ac:dyDescent="0.25">
      <c r="A13" s="53" t="s">
        <v>33</v>
      </c>
      <c r="B13" s="12">
        <v>55190000</v>
      </c>
      <c r="C13" s="11">
        <v>6000</v>
      </c>
      <c r="D13" s="10">
        <v>0</v>
      </c>
      <c r="E13" s="10">
        <v>0</v>
      </c>
      <c r="F13" s="10">
        <v>0</v>
      </c>
      <c r="G13" s="10">
        <v>0</v>
      </c>
      <c r="H13" s="9">
        <f>D13+F13+'07-23-20'!H12</f>
        <v>0</v>
      </c>
      <c r="I13" s="9">
        <f>E13+G13+'07-23-20'!I12</f>
        <v>0</v>
      </c>
      <c r="J13" s="9">
        <f t="shared" si="0"/>
        <v>0</v>
      </c>
      <c r="K13" s="9">
        <f t="shared" si="1"/>
        <v>6000</v>
      </c>
      <c r="L13" s="9">
        <f t="shared" si="2"/>
        <v>6000</v>
      </c>
    </row>
    <row r="14" spans="1:13" ht="21.6" customHeight="1" thickBot="1" x14ac:dyDescent="0.3">
      <c r="A14" s="155" t="s">
        <v>32</v>
      </c>
      <c r="B14" s="156"/>
      <c r="C14" s="49">
        <f t="shared" ref="C14:L14" si="6">SUM(C3:C13)</f>
        <v>194070</v>
      </c>
      <c r="D14" s="7">
        <f t="shared" si="6"/>
        <v>4130.84</v>
      </c>
      <c r="E14" s="7">
        <f t="shared" si="6"/>
        <v>78.459999999999994</v>
      </c>
      <c r="F14" s="7">
        <f t="shared" si="6"/>
        <v>0</v>
      </c>
      <c r="G14" s="7">
        <f t="shared" si="6"/>
        <v>0</v>
      </c>
      <c r="H14" s="7">
        <f t="shared" si="6"/>
        <v>11834.560000000001</v>
      </c>
      <c r="I14" s="7">
        <f t="shared" si="6"/>
        <v>224.78</v>
      </c>
      <c r="J14" s="49">
        <f t="shared" si="6"/>
        <v>12059.340000000002</v>
      </c>
      <c r="K14" s="49">
        <f t="shared" si="6"/>
        <v>182010.66000000003</v>
      </c>
      <c r="L14" s="7">
        <f t="shared" si="6"/>
        <v>89268.592857143129</v>
      </c>
    </row>
    <row r="15" spans="1:13" ht="11.25" customHeight="1" x14ac:dyDescent="0.25">
      <c r="A15" s="52"/>
      <c r="B15" s="41"/>
      <c r="C15" s="40"/>
      <c r="D15" s="40"/>
      <c r="E15" s="40"/>
      <c r="F15" s="40"/>
      <c r="G15" s="40"/>
      <c r="H15" s="39"/>
      <c r="I15" s="39"/>
      <c r="J15" s="39"/>
      <c r="K15" s="39"/>
      <c r="L15" s="51"/>
    </row>
    <row r="16" spans="1:13" ht="11.25" customHeight="1" thickBot="1" x14ac:dyDescent="0.3">
      <c r="A16" s="38"/>
      <c r="B16" s="37"/>
      <c r="C16" s="36"/>
      <c r="D16" s="36"/>
      <c r="E16" s="36"/>
      <c r="F16" s="36"/>
      <c r="G16" s="36"/>
      <c r="H16" s="35"/>
      <c r="I16" s="35"/>
      <c r="J16" s="35"/>
      <c r="K16" s="35"/>
      <c r="L16" s="50"/>
    </row>
    <row r="17" spans="1:13" s="8" customFormat="1" ht="11.45" customHeight="1" x14ac:dyDescent="0.25">
      <c r="A17" s="13" t="s">
        <v>31</v>
      </c>
      <c r="B17" s="12">
        <v>55090100</v>
      </c>
      <c r="C17" s="11">
        <v>26923</v>
      </c>
      <c r="D17" s="10">
        <v>0</v>
      </c>
      <c r="E17" s="10">
        <v>0</v>
      </c>
      <c r="F17" s="10">
        <v>1095</v>
      </c>
      <c r="G17" s="10">
        <v>56.93</v>
      </c>
      <c r="H17" s="9">
        <f>D17+F17+'07-23-20'!H16</f>
        <v>3015</v>
      </c>
      <c r="I17" s="9">
        <f>E17+G17+'07-23-20'!I16</f>
        <v>156.77000000000001</v>
      </c>
      <c r="J17" s="9">
        <f t="shared" ref="J17:J19" si="7">H17+I17</f>
        <v>3171.77</v>
      </c>
      <c r="K17" s="9">
        <f>C17-J17</f>
        <v>23751.23</v>
      </c>
      <c r="L17" s="9">
        <f t="shared" ref="L17:L19" si="8">C17-((J17/3)*26.0714285714285)</f>
        <v>-641.1916666665893</v>
      </c>
    </row>
    <row r="18" spans="1:13" s="8" customFormat="1" ht="11.45" customHeight="1" x14ac:dyDescent="0.25">
      <c r="A18" s="22" t="s">
        <v>30</v>
      </c>
      <c r="B18" s="21">
        <v>55160100</v>
      </c>
      <c r="C18" s="11">
        <v>16062</v>
      </c>
      <c r="D18" s="9">
        <v>0</v>
      </c>
      <c r="E18" s="9">
        <v>0</v>
      </c>
      <c r="F18" s="10">
        <v>0</v>
      </c>
      <c r="G18" s="10">
        <v>0</v>
      </c>
      <c r="H18" s="9">
        <f>D18+F18+'07-23-20'!H17</f>
        <v>0</v>
      </c>
      <c r="I18" s="9">
        <f>E18+G18+'07-23-20'!I17</f>
        <v>0</v>
      </c>
      <c r="J18" s="9">
        <f t="shared" si="7"/>
        <v>0</v>
      </c>
      <c r="K18" s="9">
        <f t="shared" ref="K18:K19" si="9">C18-J18</f>
        <v>16062</v>
      </c>
      <c r="L18" s="9">
        <f t="shared" si="8"/>
        <v>16062</v>
      </c>
    </row>
    <row r="19" spans="1:13" s="8" customFormat="1" ht="11.45" customHeight="1" x14ac:dyDescent="0.25">
      <c r="A19" s="13" t="s">
        <v>29</v>
      </c>
      <c r="B19" s="12">
        <v>55100100</v>
      </c>
      <c r="C19" s="11">
        <v>2026</v>
      </c>
      <c r="D19" s="10">
        <v>8.56</v>
      </c>
      <c r="E19" s="10">
        <v>0.16</v>
      </c>
      <c r="F19" s="10">
        <v>0</v>
      </c>
      <c r="G19" s="10">
        <v>0</v>
      </c>
      <c r="H19" s="9">
        <f>D19+F19+'07-23-20'!H18</f>
        <v>131.82</v>
      </c>
      <c r="I19" s="9">
        <f>E19+G19+'07-23-20'!I18</f>
        <v>1.6349999999999998</v>
      </c>
      <c r="J19" s="9">
        <f t="shared" si="7"/>
        <v>133.45499999999998</v>
      </c>
      <c r="K19" s="9">
        <f t="shared" si="9"/>
        <v>1892.5450000000001</v>
      </c>
      <c r="L19" s="9">
        <f t="shared" si="8"/>
        <v>866.2125000000035</v>
      </c>
    </row>
    <row r="20" spans="1:13" ht="21.6" customHeight="1" thickBot="1" x14ac:dyDescent="0.3">
      <c r="A20" s="155" t="s">
        <v>28</v>
      </c>
      <c r="B20" s="156"/>
      <c r="C20" s="7">
        <f t="shared" ref="C20:L20" si="10">SUM(C17:C19)</f>
        <v>45011</v>
      </c>
      <c r="D20" s="7">
        <f t="shared" si="10"/>
        <v>8.56</v>
      </c>
      <c r="E20" s="7">
        <f t="shared" si="10"/>
        <v>0.16</v>
      </c>
      <c r="F20" s="7">
        <f t="shared" si="10"/>
        <v>1095</v>
      </c>
      <c r="G20" s="7">
        <f t="shared" si="10"/>
        <v>56.93</v>
      </c>
      <c r="H20" s="7">
        <f t="shared" si="10"/>
        <v>3146.82</v>
      </c>
      <c r="I20" s="7">
        <f t="shared" si="10"/>
        <v>158.405</v>
      </c>
      <c r="J20" s="49">
        <f t="shared" si="10"/>
        <v>3305.2249999999999</v>
      </c>
      <c r="K20" s="7">
        <f t="shared" si="10"/>
        <v>41705.774999999994</v>
      </c>
      <c r="L20" s="7">
        <f t="shared" si="10"/>
        <v>16287.020833333414</v>
      </c>
    </row>
    <row r="21" spans="1:13" ht="11.25" customHeight="1" x14ac:dyDescent="0.25">
      <c r="A21" s="42"/>
      <c r="B21" s="41"/>
      <c r="C21" s="40"/>
      <c r="D21" s="39"/>
      <c r="E21" s="39"/>
      <c r="F21" s="39"/>
      <c r="G21" s="39"/>
      <c r="H21" s="39"/>
      <c r="I21" s="39"/>
      <c r="J21" s="39"/>
      <c r="K21" s="39"/>
      <c r="L21" s="51"/>
    </row>
    <row r="22" spans="1:13" ht="11.25" customHeight="1" thickBot="1" x14ac:dyDescent="0.3">
      <c r="A22" s="38"/>
      <c r="B22" s="37"/>
      <c r="C22" s="36"/>
      <c r="D22" s="35"/>
      <c r="E22" s="35"/>
      <c r="F22" s="35"/>
      <c r="G22" s="35"/>
      <c r="H22" s="35"/>
      <c r="I22" s="35"/>
      <c r="J22" s="35"/>
      <c r="K22" s="35"/>
      <c r="L22" s="50"/>
    </row>
    <row r="23" spans="1:13" s="44" customFormat="1" ht="11.45" customHeight="1" x14ac:dyDescent="0.25">
      <c r="A23" s="13" t="s">
        <v>27</v>
      </c>
      <c r="B23" s="12">
        <v>55200000</v>
      </c>
      <c r="C23" s="11">
        <v>25000</v>
      </c>
      <c r="D23" s="10">
        <v>573.75</v>
      </c>
      <c r="E23" s="10">
        <v>10.9</v>
      </c>
      <c r="F23" s="10">
        <v>0</v>
      </c>
      <c r="G23" s="10">
        <v>0</v>
      </c>
      <c r="H23" s="9">
        <f>D23+F23+'07-23-20'!H22</f>
        <v>1732.5</v>
      </c>
      <c r="I23" s="9">
        <f>E23+G23+'07-23-20'!I22</f>
        <v>32.9</v>
      </c>
      <c r="J23" s="9">
        <f t="shared" ref="J23:J25" si="11">H23+I23</f>
        <v>1765.4</v>
      </c>
      <c r="K23" s="9">
        <f>C23-J23</f>
        <v>23234.6</v>
      </c>
      <c r="L23" s="9">
        <f t="shared" ref="L23:L25" si="12">C23-((J23/3)*26.0714285714285)</f>
        <v>9657.8333333333758</v>
      </c>
      <c r="M23" s="31"/>
    </row>
    <row r="24" spans="1:13" s="44" customFormat="1" ht="11.45" hidden="1" customHeight="1" x14ac:dyDescent="0.25">
      <c r="A24" s="13" t="s">
        <v>26</v>
      </c>
      <c r="B24" s="48" t="s">
        <v>25</v>
      </c>
      <c r="C24" s="84">
        <v>0</v>
      </c>
      <c r="D24" s="45">
        <v>-446.88</v>
      </c>
      <c r="E24" s="45">
        <v>-8.49</v>
      </c>
      <c r="F24" s="45">
        <v>0</v>
      </c>
      <c r="G24" s="45">
        <v>0</v>
      </c>
      <c r="H24" s="9">
        <f>D24+F24+'07-23-20'!H23</f>
        <v>0</v>
      </c>
      <c r="I24" s="9">
        <f>E24+G24+'07-23-20'!I23</f>
        <v>-9.9999999999997868E-3</v>
      </c>
      <c r="J24" s="9">
        <f t="shared" si="11"/>
        <v>-9.9999999999997868E-3</v>
      </c>
      <c r="K24" s="75">
        <f t="shared" ref="K24:K25" si="13">C24-J24</f>
        <v>9.9999999999997868E-3</v>
      </c>
      <c r="L24" s="9">
        <f t="shared" si="12"/>
        <v>8.6904761904759806E-2</v>
      </c>
      <c r="M24" s="31"/>
    </row>
    <row r="25" spans="1:13" s="44" customFormat="1" ht="10.9" customHeight="1" x14ac:dyDescent="0.25">
      <c r="A25" s="28" t="s">
        <v>24</v>
      </c>
      <c r="B25" s="47" t="s">
        <v>23</v>
      </c>
      <c r="C25" s="46">
        <v>0</v>
      </c>
      <c r="D25" s="45">
        <v>0</v>
      </c>
      <c r="E25" s="45">
        <v>0</v>
      </c>
      <c r="F25" s="45">
        <v>0</v>
      </c>
      <c r="G25" s="45">
        <v>0</v>
      </c>
      <c r="H25" s="9">
        <f>D25+F25+'07-23-20'!H24</f>
        <v>0</v>
      </c>
      <c r="I25" s="9">
        <f>E25+G25+'07-23-20'!I24</f>
        <v>0</v>
      </c>
      <c r="J25" s="9">
        <f t="shared" si="11"/>
        <v>0</v>
      </c>
      <c r="K25" s="9">
        <f t="shared" si="13"/>
        <v>0</v>
      </c>
      <c r="L25" s="9">
        <f t="shared" si="12"/>
        <v>0</v>
      </c>
    </row>
    <row r="26" spans="1:13" ht="24.75" customHeight="1" thickBot="1" x14ac:dyDescent="0.3">
      <c r="A26" s="157" t="s">
        <v>22</v>
      </c>
      <c r="B26" s="158"/>
      <c r="C26" s="43">
        <f>SUM(C23:C24)</f>
        <v>25000</v>
      </c>
      <c r="D26" s="43">
        <f t="shared" ref="D26:L26" si="14">SUM(D23:D25)</f>
        <v>126.87</v>
      </c>
      <c r="E26" s="43">
        <f t="shared" si="14"/>
        <v>2.41</v>
      </c>
      <c r="F26" s="43">
        <f t="shared" si="14"/>
        <v>0</v>
      </c>
      <c r="G26" s="43">
        <f t="shared" si="14"/>
        <v>0</v>
      </c>
      <c r="H26" s="43">
        <f t="shared" si="14"/>
        <v>1732.5</v>
      </c>
      <c r="I26" s="43">
        <f t="shared" si="14"/>
        <v>32.89</v>
      </c>
      <c r="J26" s="43">
        <f t="shared" si="14"/>
        <v>1765.39</v>
      </c>
      <c r="K26" s="43">
        <f t="shared" si="14"/>
        <v>23234.609999999997</v>
      </c>
      <c r="L26" s="34">
        <f t="shared" si="14"/>
        <v>9657.9202380952811</v>
      </c>
    </row>
    <row r="27" spans="1:13" ht="11.25" customHeight="1" x14ac:dyDescent="0.25">
      <c r="A27" s="42"/>
      <c r="B27" s="41"/>
      <c r="C27" s="40"/>
      <c r="D27" s="40"/>
      <c r="E27" s="40"/>
      <c r="F27" s="40"/>
      <c r="G27" s="40"/>
      <c r="H27" s="39"/>
      <c r="I27" s="39"/>
      <c r="J27" s="39"/>
      <c r="K27" s="39"/>
      <c r="L27" s="39"/>
    </row>
    <row r="28" spans="1:13" ht="11.25" customHeight="1" thickBot="1" x14ac:dyDescent="0.3">
      <c r="A28" s="38"/>
      <c r="B28" s="37"/>
      <c r="C28" s="36"/>
      <c r="D28" s="36"/>
      <c r="E28" s="36"/>
      <c r="F28" s="36"/>
      <c r="G28" s="36"/>
      <c r="H28" s="35"/>
      <c r="I28" s="35"/>
      <c r="J28" s="35"/>
      <c r="K28" s="35"/>
      <c r="L28" s="35"/>
    </row>
    <row r="29" spans="1:13" ht="21.6" customHeight="1" x14ac:dyDescent="0.25">
      <c r="A29" s="159" t="s">
        <v>21</v>
      </c>
      <c r="B29" s="159"/>
      <c r="C29" s="34">
        <f t="shared" ref="C29:L29" si="15">C14+C20+C26</f>
        <v>264081</v>
      </c>
      <c r="D29" s="34">
        <f t="shared" si="15"/>
        <v>4266.2700000000004</v>
      </c>
      <c r="E29" s="34">
        <f t="shared" si="15"/>
        <v>81.029999999999987</v>
      </c>
      <c r="F29" s="34">
        <f t="shared" si="15"/>
        <v>1095</v>
      </c>
      <c r="G29" s="34">
        <f t="shared" si="15"/>
        <v>56.93</v>
      </c>
      <c r="H29" s="34">
        <f t="shared" si="15"/>
        <v>16713.88</v>
      </c>
      <c r="I29" s="34">
        <f t="shared" si="15"/>
        <v>416.07499999999999</v>
      </c>
      <c r="J29" s="34">
        <f t="shared" si="15"/>
        <v>17129.955000000002</v>
      </c>
      <c r="K29" s="34">
        <f t="shared" si="15"/>
        <v>246951.04500000001</v>
      </c>
      <c r="L29" s="34">
        <f t="shared" si="15"/>
        <v>115213.53392857182</v>
      </c>
    </row>
    <row r="30" spans="1:13" ht="10.9" customHeight="1" x14ac:dyDescent="0.25">
      <c r="A30" s="17"/>
      <c r="B30" s="16"/>
      <c r="C30" s="14"/>
      <c r="D30" s="15"/>
      <c r="E30" s="15"/>
      <c r="F30" s="15"/>
      <c r="G30" s="15"/>
      <c r="H30" s="14"/>
      <c r="I30" s="14"/>
      <c r="J30" s="14"/>
      <c r="K30" s="14"/>
      <c r="L30" s="14"/>
    </row>
    <row r="31" spans="1:13" ht="11.25" customHeight="1" x14ac:dyDescent="0.25">
      <c r="A31" s="17"/>
      <c r="B31" s="16"/>
      <c r="C31" s="14"/>
      <c r="D31" s="15"/>
      <c r="E31" s="15"/>
      <c r="F31" s="15"/>
      <c r="G31" s="15"/>
      <c r="H31" s="14"/>
      <c r="I31" s="14"/>
      <c r="J31" s="14"/>
      <c r="K31" s="14"/>
      <c r="L31" s="14"/>
    </row>
    <row r="32" spans="1:13" s="30" customFormat="1" ht="11.25" customHeight="1" x14ac:dyDescent="0.25">
      <c r="A32" s="28" t="s">
        <v>20</v>
      </c>
      <c r="B32" s="90" t="s">
        <v>19</v>
      </c>
      <c r="C32" s="11">
        <v>0</v>
      </c>
      <c r="D32" s="91">
        <v>0</v>
      </c>
      <c r="E32" s="91">
        <v>0</v>
      </c>
      <c r="F32" s="91">
        <v>0</v>
      </c>
      <c r="G32" s="91">
        <v>0</v>
      </c>
      <c r="H32" s="11">
        <f>D32+F32+'07-23-20'!H31</f>
        <v>0</v>
      </c>
      <c r="I32" s="11">
        <f>E32+G32+'07-23-20'!I31</f>
        <v>0</v>
      </c>
      <c r="J32" s="11">
        <f t="shared" ref="J32:J46" si="16">H32+I32</f>
        <v>0</v>
      </c>
      <c r="K32" s="11">
        <f>C32-J32</f>
        <v>0</v>
      </c>
      <c r="L32" s="11">
        <f t="shared" ref="L32:L47" si="17">C32-((J32/3)*26.0714285714285)</f>
        <v>0</v>
      </c>
    </row>
    <row r="33" spans="1:13" s="30" customFormat="1" ht="12" customHeight="1" x14ac:dyDescent="0.25">
      <c r="A33" s="32" t="s">
        <v>123</v>
      </c>
      <c r="B33" s="12" t="s">
        <v>55</v>
      </c>
      <c r="C33" s="11">
        <f>2795.22+12000</f>
        <v>14795.22</v>
      </c>
      <c r="D33" s="131">
        <v>1358</v>
      </c>
      <c r="E33" s="131">
        <v>25.8</v>
      </c>
      <c r="F33" s="131">
        <v>900</v>
      </c>
      <c r="G33" s="131">
        <v>46.79</v>
      </c>
      <c r="H33" s="11">
        <f>D33+F33+'07-23-20'!H32</f>
        <v>2258</v>
      </c>
      <c r="I33" s="11">
        <f>E33+G33+'07-23-20'!I32</f>
        <v>72.59</v>
      </c>
      <c r="J33" s="11">
        <f>H33+I33</f>
        <v>2330.59</v>
      </c>
      <c r="K33" s="11">
        <f>C33-J33</f>
        <v>12464.63</v>
      </c>
      <c r="L33" s="11">
        <f t="shared" si="17"/>
        <v>-5458.7169047618499</v>
      </c>
    </row>
    <row r="34" spans="1:13" s="30" customFormat="1" ht="11.25" hidden="1" customHeight="1" x14ac:dyDescent="0.25">
      <c r="A34" s="32" t="s">
        <v>18</v>
      </c>
      <c r="B34" s="90" t="s">
        <v>17</v>
      </c>
      <c r="C34" s="85">
        <v>0</v>
      </c>
      <c r="D34" s="91">
        <v>-938</v>
      </c>
      <c r="E34" s="91">
        <v>-17.82</v>
      </c>
      <c r="F34" s="91">
        <v>-612</v>
      </c>
      <c r="G34" s="91">
        <v>-31.82</v>
      </c>
      <c r="H34" s="11">
        <f>D34+F34+'07-23-20'!H33</f>
        <v>0</v>
      </c>
      <c r="I34" s="11">
        <f>E34+G34+'07-23-20'!I33</f>
        <v>-1.0000000000005116E-2</v>
      </c>
      <c r="J34" s="11">
        <f t="shared" si="16"/>
        <v>-1.0000000000005116E-2</v>
      </c>
      <c r="K34" s="11">
        <f t="shared" ref="K34:K46" si="18">C34-J34</f>
        <v>1.0000000000005116E-2</v>
      </c>
      <c r="L34" s="11">
        <f t="shared" si="17"/>
        <v>8.690476190480613E-2</v>
      </c>
    </row>
    <row r="35" spans="1:13" s="26" customFormat="1" ht="11.25" customHeight="1" x14ac:dyDescent="0.25">
      <c r="A35" s="28" t="s">
        <v>16</v>
      </c>
      <c r="B35" s="21" t="s">
        <v>15</v>
      </c>
      <c r="C35" s="11">
        <v>0</v>
      </c>
      <c r="D35" s="11">
        <v>0</v>
      </c>
      <c r="E35" s="11">
        <v>0</v>
      </c>
      <c r="F35" s="11">
        <v>0</v>
      </c>
      <c r="G35" s="11">
        <v>0</v>
      </c>
      <c r="H35" s="11">
        <f>D35+F35+'07-23-20'!H34</f>
        <v>0</v>
      </c>
      <c r="I35" s="11">
        <f>E35+G35+'07-23-20'!I34</f>
        <v>0</v>
      </c>
      <c r="J35" s="11">
        <f t="shared" si="16"/>
        <v>0</v>
      </c>
      <c r="K35" s="11">
        <f t="shared" si="18"/>
        <v>0</v>
      </c>
      <c r="L35" s="11">
        <f t="shared" si="17"/>
        <v>0</v>
      </c>
    </row>
    <row r="36" spans="1:13" s="26" customFormat="1" ht="11.25" customHeight="1" x14ac:dyDescent="0.25">
      <c r="A36" s="28" t="s">
        <v>14</v>
      </c>
      <c r="B36" s="21" t="s">
        <v>13</v>
      </c>
      <c r="C36" s="11">
        <v>0</v>
      </c>
      <c r="D36" s="131">
        <v>177.61</v>
      </c>
      <c r="E36" s="131">
        <v>3.37</v>
      </c>
      <c r="F36" s="11">
        <v>0</v>
      </c>
      <c r="G36" s="11">
        <v>0</v>
      </c>
      <c r="H36" s="11">
        <f>D36+F36+'07-23-20'!H35</f>
        <v>177.61</v>
      </c>
      <c r="I36" s="11">
        <f>E36+G36+'07-23-20'!I35</f>
        <v>3.37</v>
      </c>
      <c r="J36" s="11">
        <f t="shared" si="16"/>
        <v>180.98000000000002</v>
      </c>
      <c r="K36" s="86">
        <f t="shared" si="18"/>
        <v>-180.98000000000002</v>
      </c>
      <c r="L36" s="11">
        <f t="shared" si="17"/>
        <v>-1572.8023809523768</v>
      </c>
      <c r="M36" s="23"/>
    </row>
    <row r="37" spans="1:13" s="26" customFormat="1" ht="11.25" customHeight="1" x14ac:dyDescent="0.25">
      <c r="A37" s="28" t="s">
        <v>12</v>
      </c>
      <c r="B37" s="21">
        <v>55110000</v>
      </c>
      <c r="C37" s="11">
        <v>2659</v>
      </c>
      <c r="D37" s="11">
        <v>0</v>
      </c>
      <c r="E37" s="11">
        <v>0</v>
      </c>
      <c r="F37" s="11">
        <v>0</v>
      </c>
      <c r="G37" s="11">
        <v>0</v>
      </c>
      <c r="H37" s="11">
        <f>D37+F37+'07-23-20'!H36</f>
        <v>0</v>
      </c>
      <c r="I37" s="11">
        <f>E37+G37+'07-23-20'!I36</f>
        <v>0</v>
      </c>
      <c r="J37" s="11">
        <f t="shared" si="16"/>
        <v>0</v>
      </c>
      <c r="K37" s="11">
        <f t="shared" si="18"/>
        <v>2659</v>
      </c>
      <c r="L37" s="11">
        <f t="shared" si="17"/>
        <v>2659</v>
      </c>
      <c r="M37" s="23"/>
    </row>
    <row r="38" spans="1:13" s="26" customFormat="1" ht="11.45" customHeight="1" x14ac:dyDescent="0.25">
      <c r="A38" s="28" t="s">
        <v>11</v>
      </c>
      <c r="B38" s="90" t="s">
        <v>10</v>
      </c>
      <c r="C38" s="11">
        <v>0</v>
      </c>
      <c r="D38" s="91">
        <v>0</v>
      </c>
      <c r="E38" s="91">
        <v>0</v>
      </c>
      <c r="F38" s="91">
        <v>0</v>
      </c>
      <c r="G38" s="91">
        <v>0</v>
      </c>
      <c r="H38" s="11">
        <f>D38+F38+'07-23-20'!H37</f>
        <v>0</v>
      </c>
      <c r="I38" s="11">
        <f>E38+G38+'07-23-20'!I37</f>
        <v>0</v>
      </c>
      <c r="J38" s="11">
        <f t="shared" si="16"/>
        <v>0</v>
      </c>
      <c r="K38" s="11">
        <f t="shared" si="18"/>
        <v>0</v>
      </c>
      <c r="L38" s="11">
        <f t="shared" si="17"/>
        <v>0</v>
      </c>
    </row>
    <row r="39" spans="1:13" s="26" customFormat="1" ht="11.45" customHeight="1" x14ac:dyDescent="0.25">
      <c r="A39" s="25" t="s">
        <v>68</v>
      </c>
      <c r="B39" s="24" t="s">
        <v>69</v>
      </c>
      <c r="C39" s="11">
        <v>1500</v>
      </c>
      <c r="D39" s="11">
        <f>69.69+9.05</f>
        <v>78.739999999999995</v>
      </c>
      <c r="E39" s="11">
        <f>1.32+0.017</f>
        <v>1.337</v>
      </c>
      <c r="F39" s="11">
        <v>0</v>
      </c>
      <c r="G39" s="11">
        <v>0</v>
      </c>
      <c r="H39" s="11">
        <f>D39+F39+'07-23-20'!H38</f>
        <v>205.44</v>
      </c>
      <c r="I39" s="11">
        <f>E39+G39+'07-23-20'!I38</f>
        <v>3.7370000000000001</v>
      </c>
      <c r="J39" s="11">
        <f t="shared" si="16"/>
        <v>209.17699999999999</v>
      </c>
      <c r="K39" s="11">
        <f t="shared" si="18"/>
        <v>1290.8230000000001</v>
      </c>
      <c r="L39" s="11">
        <f t="shared" si="17"/>
        <v>-317.84773809523313</v>
      </c>
    </row>
    <row r="40" spans="1:13" s="23" customFormat="1" ht="11.45" customHeight="1" x14ac:dyDescent="0.25">
      <c r="A40" s="25" t="s">
        <v>61</v>
      </c>
      <c r="B40" s="24" t="s">
        <v>62</v>
      </c>
      <c r="C40" s="11">
        <v>9800</v>
      </c>
      <c r="D40" s="11">
        <v>0</v>
      </c>
      <c r="E40" s="11">
        <v>0</v>
      </c>
      <c r="F40" s="11">
        <v>682.5</v>
      </c>
      <c r="G40" s="11">
        <v>35.479999999999997</v>
      </c>
      <c r="H40" s="11">
        <f>D40+F40+'07-23-20'!H39</f>
        <v>2014.5</v>
      </c>
      <c r="I40" s="11">
        <f>E40+G40+'07-23-20'!I39</f>
        <v>104.73999999999998</v>
      </c>
      <c r="J40" s="11">
        <f>H40+I40</f>
        <v>2119.2399999999998</v>
      </c>
      <c r="K40" s="11">
        <f>C40-J40</f>
        <v>7680.76</v>
      </c>
      <c r="L40" s="11">
        <f t="shared" si="17"/>
        <v>-8617.204761904708</v>
      </c>
    </row>
    <row r="41" spans="1:13" s="23" customFormat="1" ht="11.45" customHeight="1" x14ac:dyDescent="0.25">
      <c r="A41" s="25" t="s">
        <v>59</v>
      </c>
      <c r="B41" s="24" t="s">
        <v>60</v>
      </c>
      <c r="C41" s="11">
        <v>2453.12</v>
      </c>
      <c r="D41" s="11">
        <v>150</v>
      </c>
      <c r="E41" s="11">
        <v>2.85</v>
      </c>
      <c r="F41" s="11">
        <v>0</v>
      </c>
      <c r="G41" s="11">
        <v>0</v>
      </c>
      <c r="H41" s="11">
        <f>D41+F41+'07-23-20'!H40</f>
        <v>405</v>
      </c>
      <c r="I41" s="11">
        <f>E41+G41+'07-23-20'!I40</f>
        <v>7.6899999999999995</v>
      </c>
      <c r="J41" s="11">
        <f>H41+I41</f>
        <v>412.69</v>
      </c>
      <c r="K41" s="11">
        <f>C41-J41</f>
        <v>2040.4299999999998</v>
      </c>
      <c r="L41" s="11">
        <f t="shared" si="17"/>
        <v>-1133.3526190476091</v>
      </c>
    </row>
    <row r="42" spans="1:13" s="23" customFormat="1" ht="11.45" customHeight="1" x14ac:dyDescent="0.25">
      <c r="A42" s="25" t="s">
        <v>70</v>
      </c>
      <c r="B42" s="24" t="s">
        <v>71</v>
      </c>
      <c r="C42" s="11">
        <v>5600</v>
      </c>
      <c r="D42" s="11">
        <v>716.87</v>
      </c>
      <c r="E42" s="11">
        <v>13.61</v>
      </c>
      <c r="F42" s="11">
        <v>0</v>
      </c>
      <c r="G42" s="11">
        <v>0</v>
      </c>
      <c r="H42" s="11">
        <f>D42+F42+'07-23-20'!H41</f>
        <v>716.87</v>
      </c>
      <c r="I42" s="11">
        <f>E42+G42+'07-23-20'!I41</f>
        <v>13.61</v>
      </c>
      <c r="J42" s="11">
        <f t="shared" ref="J42" si="19">H42+I42</f>
        <v>730.48</v>
      </c>
      <c r="K42" s="11">
        <f t="shared" ref="K42" si="20">C42-J42</f>
        <v>4869.5200000000004</v>
      </c>
      <c r="L42" s="11">
        <f t="shared" si="17"/>
        <v>-748.21904761902988</v>
      </c>
    </row>
    <row r="43" spans="1:13" s="23" customFormat="1" ht="11.45" customHeight="1" x14ac:dyDescent="0.25">
      <c r="A43" s="25" t="s">
        <v>7</v>
      </c>
      <c r="B43" s="24" t="s">
        <v>6</v>
      </c>
      <c r="C43" s="11">
        <v>0</v>
      </c>
      <c r="D43" s="11">
        <v>0</v>
      </c>
      <c r="E43" s="11">
        <v>0</v>
      </c>
      <c r="F43" s="11">
        <v>0</v>
      </c>
      <c r="G43" s="11">
        <v>0</v>
      </c>
      <c r="H43" s="11">
        <f>D43+F43+'07-23-20'!H42</f>
        <v>0</v>
      </c>
      <c r="I43" s="11">
        <f>E43+G43+'07-23-20'!I42</f>
        <v>0</v>
      </c>
      <c r="J43" s="11">
        <f>H43+I43</f>
        <v>0</v>
      </c>
      <c r="K43" s="11">
        <f>C43-J43</f>
        <v>0</v>
      </c>
      <c r="L43" s="11">
        <f t="shared" si="17"/>
        <v>0</v>
      </c>
    </row>
    <row r="44" spans="1:13" s="23" customFormat="1" ht="11.45" customHeight="1" x14ac:dyDescent="0.25">
      <c r="A44" s="25" t="s">
        <v>9</v>
      </c>
      <c r="B44" s="24" t="s">
        <v>8</v>
      </c>
      <c r="C44" s="11">
        <v>0</v>
      </c>
      <c r="D44" s="91">
        <v>0</v>
      </c>
      <c r="E44" s="91">
        <v>0</v>
      </c>
      <c r="F44" s="91">
        <v>0</v>
      </c>
      <c r="G44" s="91">
        <v>0</v>
      </c>
      <c r="H44" s="11">
        <f>D44+F44+'07-23-20'!H43</f>
        <v>0</v>
      </c>
      <c r="I44" s="11">
        <f>E44+G44+'07-23-20'!I43</f>
        <v>0</v>
      </c>
      <c r="J44" s="11">
        <f t="shared" si="16"/>
        <v>0</v>
      </c>
      <c r="K44" s="11">
        <f t="shared" si="18"/>
        <v>0</v>
      </c>
      <c r="L44" s="11">
        <f t="shared" si="17"/>
        <v>0</v>
      </c>
    </row>
    <row r="45" spans="1:13" s="23" customFormat="1" ht="11.45" customHeight="1" x14ac:dyDescent="0.25">
      <c r="A45" s="25" t="s">
        <v>63</v>
      </c>
      <c r="B45" s="24" t="s">
        <v>66</v>
      </c>
      <c r="C45" s="11">
        <v>1784.19</v>
      </c>
      <c r="D45" s="91">
        <v>0</v>
      </c>
      <c r="E45" s="91">
        <v>0</v>
      </c>
      <c r="F45" s="91">
        <v>240</v>
      </c>
      <c r="G45" s="91">
        <v>12.47</v>
      </c>
      <c r="H45" s="11">
        <f>D45+F45+'07-23-20'!H44</f>
        <v>784</v>
      </c>
      <c r="I45" s="11">
        <f>E45+G45+'07-23-20'!I44</f>
        <v>40.75</v>
      </c>
      <c r="J45" s="11">
        <f t="shared" si="16"/>
        <v>824.75</v>
      </c>
      <c r="K45" s="11">
        <f t="shared" si="18"/>
        <v>959.44</v>
      </c>
      <c r="L45" s="11">
        <f t="shared" si="17"/>
        <v>-5383.280238095218</v>
      </c>
    </row>
    <row r="46" spans="1:13" s="23" customFormat="1" ht="11.45" hidden="1" customHeight="1" x14ac:dyDescent="0.25">
      <c r="A46" s="25" t="s">
        <v>64</v>
      </c>
      <c r="B46" s="24" t="s">
        <v>65</v>
      </c>
      <c r="C46" s="71"/>
      <c r="D46" s="91"/>
      <c r="E46" s="91"/>
      <c r="F46" s="91"/>
      <c r="G46" s="91"/>
      <c r="H46" s="11">
        <f>D46+F46+'07-23-20'!H45</f>
        <v>0</v>
      </c>
      <c r="I46" s="11">
        <f>E46+G46+'07-23-20'!I45</f>
        <v>0</v>
      </c>
      <c r="J46" s="11">
        <f t="shared" si="16"/>
        <v>0</v>
      </c>
      <c r="K46" s="11">
        <f t="shared" si="18"/>
        <v>0</v>
      </c>
      <c r="L46" s="11">
        <f t="shared" si="17"/>
        <v>0</v>
      </c>
    </row>
    <row r="47" spans="1:13" ht="11.25" customHeight="1" x14ac:dyDescent="0.25">
      <c r="A47" s="25" t="s">
        <v>57</v>
      </c>
      <c r="B47" s="24" t="s">
        <v>58</v>
      </c>
      <c r="C47" s="70">
        <v>843.44</v>
      </c>
      <c r="D47" s="70">
        <v>100</v>
      </c>
      <c r="E47" s="70">
        <v>1.89</v>
      </c>
      <c r="F47" s="70">
        <v>0</v>
      </c>
      <c r="G47" s="70">
        <v>0</v>
      </c>
      <c r="H47" s="11">
        <f>D47+F47+'07-23-20'!H46</f>
        <v>437.34000000000003</v>
      </c>
      <c r="I47" s="11">
        <f>E47+G47+'07-23-20'!I46</f>
        <v>8.2900000000000009</v>
      </c>
      <c r="J47" s="11">
        <f>H47+I47</f>
        <v>445.63000000000005</v>
      </c>
      <c r="K47" s="11">
        <f>C47-J47</f>
        <v>397.81</v>
      </c>
      <c r="L47" s="11">
        <f t="shared" si="17"/>
        <v>-3029.2969047618944</v>
      </c>
    </row>
    <row r="48" spans="1:13" ht="21.6" customHeight="1" x14ac:dyDescent="0.25">
      <c r="A48" s="153" t="s">
        <v>5</v>
      </c>
      <c r="B48" s="154"/>
      <c r="C48" s="7">
        <f t="shared" ref="C48:L48" si="21">SUM(C32:C47)</f>
        <v>39434.97</v>
      </c>
      <c r="D48" s="7">
        <f t="shared" si="21"/>
        <v>1643.22</v>
      </c>
      <c r="E48" s="7">
        <f t="shared" si="21"/>
        <v>31.036999999999999</v>
      </c>
      <c r="F48" s="7">
        <f t="shared" si="21"/>
        <v>1210.5</v>
      </c>
      <c r="G48" s="7">
        <f t="shared" si="21"/>
        <v>62.919999999999995</v>
      </c>
      <c r="H48" s="7">
        <f t="shared" si="21"/>
        <v>6998.76</v>
      </c>
      <c r="I48" s="7">
        <f t="shared" si="21"/>
        <v>254.76699999999997</v>
      </c>
      <c r="J48" s="7">
        <f t="shared" si="21"/>
        <v>7253.5269999999991</v>
      </c>
      <c r="K48" s="7">
        <f t="shared" si="21"/>
        <v>32181.443000000003</v>
      </c>
      <c r="L48" s="7">
        <f t="shared" si="21"/>
        <v>-23601.633690476014</v>
      </c>
    </row>
    <row r="49" spans="1:12" ht="10.9" customHeight="1" x14ac:dyDescent="0.25">
      <c r="A49" s="17"/>
      <c r="B49" s="16"/>
      <c r="C49" s="14"/>
      <c r="D49" s="15"/>
      <c r="E49" s="15"/>
      <c r="F49" s="15"/>
      <c r="G49" s="15"/>
      <c r="H49" s="14"/>
      <c r="I49" s="14"/>
      <c r="J49" s="14"/>
      <c r="K49" s="14"/>
      <c r="L49" s="14"/>
    </row>
    <row r="50" spans="1:12" ht="10.9" customHeight="1" x14ac:dyDescent="0.25">
      <c r="A50" s="17"/>
      <c r="B50" s="16"/>
      <c r="C50" s="14"/>
      <c r="D50" s="15"/>
      <c r="E50" s="15"/>
      <c r="F50" s="15"/>
      <c r="G50" s="15"/>
      <c r="H50" s="14"/>
      <c r="I50" s="14"/>
      <c r="J50" s="14"/>
      <c r="K50" s="14"/>
      <c r="L50" s="14"/>
    </row>
    <row r="51" spans="1:12" s="92" customFormat="1" ht="10.9" customHeight="1" x14ac:dyDescent="0.25">
      <c r="A51" s="22" t="s">
        <v>4</v>
      </c>
      <c r="B51" s="29" t="s">
        <v>3</v>
      </c>
      <c r="C51" s="9">
        <v>62583</v>
      </c>
      <c r="D51" s="10">
        <v>977.8</v>
      </c>
      <c r="E51" s="10">
        <v>18.57</v>
      </c>
      <c r="F51" s="10">
        <v>220</v>
      </c>
      <c r="G51" s="10">
        <v>11.43</v>
      </c>
      <c r="H51" s="9">
        <f>D51+F51+'07-23-20'!H50</f>
        <v>3116.2799999999997</v>
      </c>
      <c r="I51" s="9">
        <f>E51+G51+'07-23-20'!I50</f>
        <v>78.77000000000001</v>
      </c>
      <c r="J51" s="9">
        <f t="shared" ref="J51" si="22">H51+I51</f>
        <v>3195.0499999999997</v>
      </c>
      <c r="K51" s="9">
        <f>C51-J51</f>
        <v>59387.95</v>
      </c>
      <c r="L51" s="9">
        <f>C51-((J51/3)*26.0714285714285)</f>
        <v>34816.494047619126</v>
      </c>
    </row>
    <row r="52" spans="1:12" ht="21.6" customHeight="1" x14ac:dyDescent="0.25">
      <c r="A52" s="20" t="s">
        <v>2</v>
      </c>
      <c r="B52" s="19"/>
      <c r="C52" s="18">
        <f t="shared" ref="C52:L52" si="23">C51</f>
        <v>62583</v>
      </c>
      <c r="D52" s="18">
        <f t="shared" si="23"/>
        <v>977.8</v>
      </c>
      <c r="E52" s="18">
        <f t="shared" si="23"/>
        <v>18.57</v>
      </c>
      <c r="F52" s="18">
        <f t="shared" si="23"/>
        <v>220</v>
      </c>
      <c r="G52" s="18">
        <f t="shared" si="23"/>
        <v>11.43</v>
      </c>
      <c r="H52" s="18">
        <f t="shared" si="23"/>
        <v>3116.2799999999997</v>
      </c>
      <c r="I52" s="18">
        <f t="shared" si="23"/>
        <v>78.77000000000001</v>
      </c>
      <c r="J52" s="18">
        <f t="shared" si="23"/>
        <v>3195.0499999999997</v>
      </c>
      <c r="K52" s="18">
        <f t="shared" si="23"/>
        <v>59387.95</v>
      </c>
      <c r="L52" s="18">
        <f t="shared" si="23"/>
        <v>34816.494047619126</v>
      </c>
    </row>
    <row r="53" spans="1:12" ht="10.9" customHeight="1" x14ac:dyDescent="0.25">
      <c r="A53" s="17"/>
      <c r="B53" s="16"/>
      <c r="C53" s="14"/>
      <c r="D53" s="15"/>
      <c r="E53" s="15"/>
      <c r="F53" s="15"/>
      <c r="G53" s="15"/>
      <c r="H53" s="14"/>
      <c r="I53" s="14"/>
      <c r="J53" s="14"/>
      <c r="K53" s="14"/>
      <c r="L53" s="14"/>
    </row>
    <row r="54" spans="1:12" ht="10.9" customHeight="1" x14ac:dyDescent="0.25">
      <c r="A54" s="17"/>
      <c r="B54" s="16"/>
      <c r="C54" s="14"/>
      <c r="D54" s="15"/>
      <c r="E54" s="15"/>
      <c r="F54" s="15"/>
      <c r="G54" s="15"/>
      <c r="H54" s="14"/>
      <c r="I54" s="14"/>
      <c r="J54" s="14"/>
      <c r="K54" s="14"/>
      <c r="L54" s="14"/>
    </row>
    <row r="55" spans="1:12" s="92" customFormat="1" ht="10.9" customHeight="1" x14ac:dyDescent="0.25">
      <c r="A55" s="13" t="s">
        <v>1</v>
      </c>
      <c r="B55" s="33">
        <v>55180000</v>
      </c>
      <c r="C55" s="9">
        <v>37736</v>
      </c>
      <c r="D55" s="10">
        <v>0</v>
      </c>
      <c r="E55" s="10">
        <v>0</v>
      </c>
      <c r="F55" s="10">
        <v>438.6</v>
      </c>
      <c r="G55" s="10">
        <v>22.8</v>
      </c>
      <c r="H55" s="9">
        <f>D55+F55+'07-23-20'!H54</f>
        <v>1198.8400000000001</v>
      </c>
      <c r="I55" s="9">
        <f>E55+G55+'07-23-20'!I54</f>
        <v>62.319999999999993</v>
      </c>
      <c r="J55" s="9">
        <f t="shared" ref="J55" si="24">H55+I55</f>
        <v>1261.1600000000001</v>
      </c>
      <c r="K55" s="9">
        <f>C55-J55</f>
        <v>36474.839999999997</v>
      </c>
      <c r="L55" s="9">
        <f>C55-((J55/3)*26.0714285714285)</f>
        <v>26775.919047619078</v>
      </c>
    </row>
    <row r="56" spans="1:12" s="3" customFormat="1" ht="21.6" customHeight="1" x14ac:dyDescent="0.25">
      <c r="A56" s="153" t="s">
        <v>0</v>
      </c>
      <c r="B56" s="154"/>
      <c r="C56" s="7">
        <f t="shared" ref="C56:L56" si="25">SUM(C55)</f>
        <v>37736</v>
      </c>
      <c r="D56" s="7">
        <f t="shared" si="25"/>
        <v>0</v>
      </c>
      <c r="E56" s="7">
        <f t="shared" si="25"/>
        <v>0</v>
      </c>
      <c r="F56" s="7">
        <f t="shared" si="25"/>
        <v>438.6</v>
      </c>
      <c r="G56" s="7">
        <f t="shared" si="25"/>
        <v>22.8</v>
      </c>
      <c r="H56" s="7">
        <f t="shared" si="25"/>
        <v>1198.8400000000001</v>
      </c>
      <c r="I56" s="7">
        <f t="shared" si="25"/>
        <v>62.319999999999993</v>
      </c>
      <c r="J56" s="7">
        <f t="shared" si="25"/>
        <v>1261.1600000000001</v>
      </c>
      <c r="K56" s="7">
        <f t="shared" si="25"/>
        <v>36474.839999999997</v>
      </c>
      <c r="L56" s="7">
        <f t="shared" si="25"/>
        <v>26775.919047619078</v>
      </c>
    </row>
    <row r="57" spans="1:12" s="3" customFormat="1" ht="11.25" customHeight="1" x14ac:dyDescent="0.25">
      <c r="A57" s="6"/>
      <c r="B57" s="5"/>
      <c r="C57" s="4"/>
      <c r="D57" s="4"/>
      <c r="E57" s="4"/>
      <c r="F57" s="4"/>
      <c r="G57" s="4"/>
      <c r="H57" s="4"/>
      <c r="I57" s="4"/>
      <c r="J57" s="4"/>
      <c r="K57" s="4"/>
      <c r="L57" s="4"/>
    </row>
    <row r="58" spans="1:12" s="2" customFormat="1" ht="10.5" customHeight="1" x14ac:dyDescent="0.25">
      <c r="A58" s="160" t="s">
        <v>72</v>
      </c>
      <c r="B58" s="160"/>
      <c r="C58" s="160"/>
      <c r="D58" s="160"/>
      <c r="E58" s="160"/>
      <c r="F58" s="160"/>
      <c r="G58" s="82">
        <v>12000</v>
      </c>
    </row>
    <row r="59" spans="1:12" s="2" customFormat="1" ht="10.5" customHeight="1" x14ac:dyDescent="0.25">
      <c r="A59" s="160" t="s">
        <v>73</v>
      </c>
      <c r="B59" s="160"/>
      <c r="C59" s="160"/>
      <c r="D59" s="160"/>
      <c r="E59" s="160"/>
      <c r="F59" s="160"/>
      <c r="G59" s="82">
        <v>5600</v>
      </c>
    </row>
    <row r="60" spans="1:12" ht="10.5" customHeight="1" x14ac:dyDescent="0.25">
      <c r="A60" s="160" t="s">
        <v>76</v>
      </c>
      <c r="B60" s="160"/>
      <c r="C60" s="160"/>
      <c r="D60" s="160"/>
      <c r="E60" s="160"/>
      <c r="F60" s="160"/>
      <c r="G60" s="82">
        <v>9800</v>
      </c>
    </row>
    <row r="61" spans="1:12" ht="10.5" customHeight="1" x14ac:dyDescent="0.25">
      <c r="A61" s="160" t="s">
        <v>75</v>
      </c>
      <c r="B61" s="160"/>
      <c r="C61" s="160"/>
      <c r="D61" s="160"/>
      <c r="E61" s="160"/>
      <c r="F61" s="160"/>
      <c r="G61" s="82">
        <v>1500</v>
      </c>
    </row>
    <row r="62" spans="1:12" ht="10.5" customHeight="1" x14ac:dyDescent="0.25">
      <c r="A62" s="160" t="s">
        <v>74</v>
      </c>
      <c r="B62" s="160"/>
      <c r="C62" s="160"/>
      <c r="D62" s="160"/>
      <c r="E62" s="160"/>
      <c r="F62" s="160"/>
      <c r="G62" s="82">
        <v>843.44</v>
      </c>
    </row>
    <row r="63" spans="1:12" ht="10.5" customHeight="1" x14ac:dyDescent="0.25">
      <c r="A63" s="160" t="s">
        <v>77</v>
      </c>
      <c r="B63" s="160"/>
      <c r="C63" s="160"/>
      <c r="D63" s="160"/>
      <c r="E63" s="160"/>
      <c r="F63" s="160"/>
      <c r="G63" s="82">
        <v>1784.19</v>
      </c>
    </row>
    <row r="64" spans="1:12" ht="10.5" customHeight="1" x14ac:dyDescent="0.25">
      <c r="A64" s="160" t="s">
        <v>78</v>
      </c>
      <c r="B64" s="160"/>
      <c r="C64" s="160"/>
      <c r="D64" s="160"/>
      <c r="E64" s="160"/>
      <c r="F64" s="160"/>
      <c r="G64" s="82">
        <v>2453.12</v>
      </c>
    </row>
  </sheetData>
  <mergeCells count="13">
    <mergeCell ref="A64:F64"/>
    <mergeCell ref="A58:F58"/>
    <mergeCell ref="A59:F59"/>
    <mergeCell ref="A60:F60"/>
    <mergeCell ref="A61:F61"/>
    <mergeCell ref="A62:F62"/>
    <mergeCell ref="A63:F63"/>
    <mergeCell ref="A56:B56"/>
    <mergeCell ref="A14:B14"/>
    <mergeCell ref="A20:B20"/>
    <mergeCell ref="A26:B26"/>
    <mergeCell ref="A29:B29"/>
    <mergeCell ref="A48:B48"/>
  </mergeCells>
  <pageMargins left="0.25" right="0" top="0.4" bottom="0" header="0.3" footer="0"/>
  <pageSetup scale="91" fitToWidth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M64"/>
  <sheetViews>
    <sheetView zoomScale="145" zoomScaleNormal="145" workbookViewId="0">
      <pane ySplit="2" topLeftCell="A25" activePane="bottomLeft" state="frozen"/>
      <selection pane="bottomLeft" activeCell="M36" sqref="M36"/>
    </sheetView>
  </sheetViews>
  <sheetFormatPr defaultColWidth="28" defaultRowHeight="15" x14ac:dyDescent="0.25"/>
  <cols>
    <col min="1" max="1" width="33.140625" style="1" bestFit="1" customWidth="1"/>
    <col min="2" max="2" width="18.7109375" style="1" bestFit="1" customWidth="1"/>
    <col min="3" max="3" width="10.42578125" style="77" customWidth="1"/>
    <col min="4" max="4" width="8.140625" style="2" bestFit="1" customWidth="1"/>
    <col min="5" max="5" width="6.28515625" style="2" bestFit="1" customWidth="1"/>
    <col min="6" max="6" width="8.28515625" style="2" bestFit="1" customWidth="1"/>
    <col min="7" max="7" width="8.7109375" style="2" bestFit="1" customWidth="1"/>
    <col min="8" max="8" width="9.28515625" style="2" bestFit="1" customWidth="1"/>
    <col min="9" max="9" width="10.7109375" style="2" bestFit="1" customWidth="1"/>
    <col min="10" max="10" width="9.7109375" style="2" bestFit="1" customWidth="1"/>
    <col min="11" max="11" width="11.140625" style="2" customWidth="1"/>
    <col min="12" max="12" width="13.42578125" style="2" bestFit="1" customWidth="1"/>
    <col min="13" max="16384" width="28" style="1"/>
  </cols>
  <sheetData>
    <row r="1" spans="1:13" ht="11.25" customHeight="1" x14ac:dyDescent="0.25">
      <c r="A1" s="68"/>
      <c r="B1" s="67"/>
      <c r="C1" s="76"/>
      <c r="D1" s="66"/>
      <c r="E1" s="66"/>
      <c r="F1" s="66"/>
      <c r="G1" s="66"/>
      <c r="H1" s="66"/>
      <c r="I1" s="66"/>
      <c r="J1" s="66"/>
      <c r="K1" s="66"/>
      <c r="L1" s="65" t="s">
        <v>81</v>
      </c>
    </row>
    <row r="2" spans="1:13" s="61" customFormat="1" ht="34.5" x14ac:dyDescent="0.25">
      <c r="A2" s="64" t="s">
        <v>53</v>
      </c>
      <c r="B2" s="64" t="s">
        <v>52</v>
      </c>
      <c r="C2" s="63" t="s">
        <v>51</v>
      </c>
      <c r="D2" s="63" t="s">
        <v>50</v>
      </c>
      <c r="E2" s="63" t="s">
        <v>48</v>
      </c>
      <c r="F2" s="63" t="s">
        <v>49</v>
      </c>
      <c r="G2" s="63" t="s">
        <v>48</v>
      </c>
      <c r="H2" s="62" t="s">
        <v>47</v>
      </c>
      <c r="I2" s="62" t="s">
        <v>46</v>
      </c>
      <c r="J2" s="62" t="s">
        <v>45</v>
      </c>
      <c r="K2" s="62" t="s">
        <v>44</v>
      </c>
      <c r="L2" s="62" t="s">
        <v>43</v>
      </c>
    </row>
    <row r="3" spans="1:13" s="60" customFormat="1" ht="11.25" customHeight="1" x14ac:dyDescent="0.25">
      <c r="A3" s="22" t="s">
        <v>42</v>
      </c>
      <c r="B3" s="21">
        <v>55010300</v>
      </c>
      <c r="C3" s="11">
        <v>0</v>
      </c>
      <c r="D3" s="9">
        <v>0</v>
      </c>
      <c r="E3" s="9">
        <v>0</v>
      </c>
      <c r="F3" s="9">
        <v>0</v>
      </c>
      <c r="G3" s="9">
        <v>0</v>
      </c>
      <c r="H3" s="9">
        <f>D3+F3+'08-06-20'!H3</f>
        <v>0</v>
      </c>
      <c r="I3" s="9">
        <f>E3+G3+'08-06-20'!I3</f>
        <v>0</v>
      </c>
      <c r="J3" s="9">
        <f t="shared" ref="J3:J13" si="0">H3+I3</f>
        <v>0</v>
      </c>
      <c r="K3" s="9">
        <f>C3-J3</f>
        <v>0</v>
      </c>
      <c r="L3" s="9">
        <f>C3-((J3/4)*26.0714285714285)</f>
        <v>0</v>
      </c>
    </row>
    <row r="4" spans="1:13" s="59" customFormat="1" ht="11.25" customHeight="1" x14ac:dyDescent="0.25">
      <c r="A4" s="22" t="s">
        <v>41</v>
      </c>
      <c r="B4" s="21">
        <v>55010500</v>
      </c>
      <c r="C4" s="11">
        <v>3229</v>
      </c>
      <c r="D4" s="10">
        <v>0</v>
      </c>
      <c r="E4" s="10">
        <v>0</v>
      </c>
      <c r="F4" s="10">
        <v>0</v>
      </c>
      <c r="G4" s="10">
        <v>0</v>
      </c>
      <c r="H4" s="9">
        <f>D4+F4+'08-06-20'!H4</f>
        <v>0</v>
      </c>
      <c r="I4" s="9">
        <f>E4+G4+'08-06-20'!I4</f>
        <v>0</v>
      </c>
      <c r="J4" s="9">
        <f t="shared" si="0"/>
        <v>0</v>
      </c>
      <c r="K4" s="9">
        <f t="shared" ref="K4:K13" si="1">C4-J4</f>
        <v>3229</v>
      </c>
      <c r="L4" s="9">
        <f t="shared" ref="L4:L13" si="2">C4-((J4/4)*26.0714285714285)</f>
        <v>3229</v>
      </c>
    </row>
    <row r="5" spans="1:13" s="8" customFormat="1" ht="11.25" customHeight="1" x14ac:dyDescent="0.25">
      <c r="A5" s="58" t="s">
        <v>40</v>
      </c>
      <c r="B5" s="57">
        <v>55020200</v>
      </c>
      <c r="C5" s="56">
        <v>24649</v>
      </c>
      <c r="D5" s="55">
        <v>1000.02</v>
      </c>
      <c r="E5" s="55">
        <v>19</v>
      </c>
      <c r="F5" s="55">
        <v>0</v>
      </c>
      <c r="G5" s="55">
        <v>0</v>
      </c>
      <c r="H5" s="9">
        <f>D5+F5+'08-06-20'!H5</f>
        <v>5626.7000000000007</v>
      </c>
      <c r="I5" s="9">
        <f>E5+G5+'08-06-20'!I5</f>
        <v>106.88</v>
      </c>
      <c r="J5" s="9">
        <f t="shared" si="0"/>
        <v>5733.5800000000008</v>
      </c>
      <c r="K5" s="9">
        <f t="shared" si="1"/>
        <v>18915.419999999998</v>
      </c>
      <c r="L5" s="9">
        <f t="shared" si="2"/>
        <v>-12721.655357142758</v>
      </c>
    </row>
    <row r="6" spans="1:13" s="8" customFormat="1" ht="11.25" customHeight="1" x14ac:dyDescent="0.25">
      <c r="A6" s="22" t="s">
        <v>39</v>
      </c>
      <c r="B6" s="21">
        <v>55020300</v>
      </c>
      <c r="C6" s="11">
        <v>17974</v>
      </c>
      <c r="D6" s="10">
        <v>0</v>
      </c>
      <c r="E6" s="10">
        <v>0</v>
      </c>
      <c r="F6" s="10">
        <v>0</v>
      </c>
      <c r="G6" s="10">
        <v>0</v>
      </c>
      <c r="H6" s="9">
        <f>D6+F6+'08-06-20'!H6</f>
        <v>0</v>
      </c>
      <c r="I6" s="9">
        <f>E6+G6+'08-06-20'!I6</f>
        <v>0</v>
      </c>
      <c r="J6" s="9">
        <f t="shared" si="0"/>
        <v>0</v>
      </c>
      <c r="K6" s="9">
        <f t="shared" si="1"/>
        <v>17974</v>
      </c>
      <c r="L6" s="9">
        <f t="shared" si="2"/>
        <v>17974</v>
      </c>
    </row>
    <row r="7" spans="1:13" s="8" customFormat="1" ht="11.25" customHeight="1" x14ac:dyDescent="0.25">
      <c r="A7" s="22" t="s">
        <v>38</v>
      </c>
      <c r="B7" s="21">
        <v>55020400</v>
      </c>
      <c r="C7" s="11">
        <v>17974</v>
      </c>
      <c r="D7" s="10">
        <v>0</v>
      </c>
      <c r="E7" s="10">
        <v>0</v>
      </c>
      <c r="F7" s="10">
        <v>0</v>
      </c>
      <c r="G7" s="10">
        <v>0</v>
      </c>
      <c r="H7" s="9">
        <f>D7+F7+'08-06-20'!H7</f>
        <v>0</v>
      </c>
      <c r="I7" s="9">
        <f>E7+G7+'08-06-20'!I7</f>
        <v>0</v>
      </c>
      <c r="J7" s="9">
        <f t="shared" si="0"/>
        <v>0</v>
      </c>
      <c r="K7" s="9">
        <f t="shared" si="1"/>
        <v>17974</v>
      </c>
      <c r="L7" s="9">
        <f t="shared" si="2"/>
        <v>17974</v>
      </c>
    </row>
    <row r="8" spans="1:13" s="8" customFormat="1" ht="11.25" customHeight="1" x14ac:dyDescent="0.25">
      <c r="A8" s="54" t="s">
        <v>37</v>
      </c>
      <c r="B8" s="21">
        <v>55030200</v>
      </c>
      <c r="C8" s="11">
        <v>24330</v>
      </c>
      <c r="D8" s="10">
        <v>494.69</v>
      </c>
      <c r="E8" s="10">
        <v>9.39</v>
      </c>
      <c r="F8" s="10">
        <v>0</v>
      </c>
      <c r="G8" s="10">
        <v>0</v>
      </c>
      <c r="H8" s="9">
        <f>D8+F8+'08-06-20'!H8</f>
        <v>2124.8000000000002</v>
      </c>
      <c r="I8" s="9">
        <f>E8+G8+'08-06-20'!I8</f>
        <v>40.35</v>
      </c>
      <c r="J8" s="9">
        <f t="shared" si="0"/>
        <v>2165.15</v>
      </c>
      <c r="K8" s="9">
        <f t="shared" si="1"/>
        <v>22164.85</v>
      </c>
      <c r="L8" s="9">
        <f t="shared" si="2"/>
        <v>10217.861607142897</v>
      </c>
    </row>
    <row r="9" spans="1:13" s="8" customFormat="1" ht="11.25" customHeight="1" x14ac:dyDescent="0.25">
      <c r="A9" s="22" t="s">
        <v>36</v>
      </c>
      <c r="B9" s="21">
        <v>55050200</v>
      </c>
      <c r="C9" s="11">
        <v>34000</v>
      </c>
      <c r="D9" s="10">
        <v>272.7</v>
      </c>
      <c r="E9" s="10">
        <v>5.18</v>
      </c>
      <c r="F9" s="10">
        <v>0</v>
      </c>
      <c r="G9" s="10">
        <v>0</v>
      </c>
      <c r="H9" s="9">
        <f>D9+F9+'08-06-20'!H9</f>
        <v>1239.0400000000002</v>
      </c>
      <c r="I9" s="9">
        <f>E9+G9+'08-06-20'!I9</f>
        <v>23.52</v>
      </c>
      <c r="J9" s="9">
        <f t="shared" si="0"/>
        <v>1262.5600000000002</v>
      </c>
      <c r="K9" s="9">
        <f t="shared" si="1"/>
        <v>32737.439999999999</v>
      </c>
      <c r="L9" s="9">
        <f t="shared" si="2"/>
        <v>25770.81428571431</v>
      </c>
    </row>
    <row r="10" spans="1:13" s="8" customFormat="1" ht="11.25" customHeight="1" x14ac:dyDescent="0.25">
      <c r="A10" s="22" t="s">
        <v>80</v>
      </c>
      <c r="B10" s="21">
        <v>55050300</v>
      </c>
      <c r="C10" s="71"/>
      <c r="D10" s="9">
        <v>744</v>
      </c>
      <c r="E10" s="9">
        <v>14.13</v>
      </c>
      <c r="F10" s="9">
        <v>0</v>
      </c>
      <c r="G10" s="9">
        <v>0</v>
      </c>
      <c r="H10" s="9">
        <f>D10+F10+'08-06-20'!H10</f>
        <v>1984</v>
      </c>
      <c r="I10" s="9">
        <f>E10+G10+'08-06-20'!I10</f>
        <v>37.69</v>
      </c>
      <c r="J10" s="9">
        <f t="shared" si="0"/>
        <v>2021.69</v>
      </c>
      <c r="K10" s="75">
        <f t="shared" si="1"/>
        <v>-2021.69</v>
      </c>
      <c r="L10" s="9">
        <f t="shared" si="2"/>
        <v>-13177.086607142821</v>
      </c>
      <c r="M10" s="23"/>
    </row>
    <row r="11" spans="1:13" s="23" customFormat="1" ht="11.25" customHeight="1" x14ac:dyDescent="0.25">
      <c r="A11" s="22" t="s">
        <v>35</v>
      </c>
      <c r="B11" s="21">
        <v>55070100</v>
      </c>
      <c r="C11" s="11">
        <v>42741</v>
      </c>
      <c r="D11" s="10">
        <v>932.52</v>
      </c>
      <c r="E11" s="10">
        <v>17.71</v>
      </c>
      <c r="F11" s="10">
        <v>0</v>
      </c>
      <c r="G11" s="10">
        <v>0</v>
      </c>
      <c r="H11" s="9">
        <f>D11+F11+'08-06-20'!H11</f>
        <v>3202.69</v>
      </c>
      <c r="I11" s="9">
        <f>E11+G11+'08-06-20'!I11</f>
        <v>60.84</v>
      </c>
      <c r="J11" s="9">
        <f t="shared" si="0"/>
        <v>3263.53</v>
      </c>
      <c r="K11" s="9">
        <f t="shared" si="1"/>
        <v>39477.47</v>
      </c>
      <c r="L11" s="9">
        <f t="shared" si="2"/>
        <v>21469.777678571489</v>
      </c>
    </row>
    <row r="12" spans="1:13" s="8" customFormat="1" ht="11.25" customHeight="1" x14ac:dyDescent="0.25">
      <c r="A12" s="22" t="s">
        <v>34</v>
      </c>
      <c r="B12" s="21">
        <v>55080100</v>
      </c>
      <c r="C12" s="11">
        <v>23173</v>
      </c>
      <c r="D12" s="10">
        <v>669.9</v>
      </c>
      <c r="E12" s="10">
        <v>12.72</v>
      </c>
      <c r="F12" s="10">
        <v>0</v>
      </c>
      <c r="G12" s="10">
        <v>0</v>
      </c>
      <c r="H12" s="9">
        <f>D12+F12+'08-06-20'!H12</f>
        <v>1771.1599999999999</v>
      </c>
      <c r="I12" s="9">
        <f>E12+G12+'08-06-20'!I12</f>
        <v>33.630000000000003</v>
      </c>
      <c r="J12" s="9">
        <f t="shared" si="0"/>
        <v>1804.79</v>
      </c>
      <c r="K12" s="9">
        <f t="shared" si="1"/>
        <v>21368.21</v>
      </c>
      <c r="L12" s="9">
        <f t="shared" si="2"/>
        <v>11409.636607142891</v>
      </c>
    </row>
    <row r="13" spans="1:13" s="44" customFormat="1" ht="11.25" customHeight="1" x14ac:dyDescent="0.25">
      <c r="A13" s="53" t="s">
        <v>33</v>
      </c>
      <c r="B13" s="12">
        <v>55190000</v>
      </c>
      <c r="C13" s="11">
        <v>6000</v>
      </c>
      <c r="D13" s="10">
        <v>0</v>
      </c>
      <c r="E13" s="10">
        <v>0</v>
      </c>
      <c r="F13" s="10">
        <v>0</v>
      </c>
      <c r="G13" s="10">
        <v>0</v>
      </c>
      <c r="H13" s="9">
        <f>D13+F13+'08-06-20'!H13</f>
        <v>0</v>
      </c>
      <c r="I13" s="9">
        <f>E13+G13+'08-06-20'!I13</f>
        <v>0</v>
      </c>
      <c r="J13" s="9">
        <f t="shared" si="0"/>
        <v>0</v>
      </c>
      <c r="K13" s="9">
        <f t="shared" si="1"/>
        <v>6000</v>
      </c>
      <c r="L13" s="9">
        <f t="shared" si="2"/>
        <v>6000</v>
      </c>
    </row>
    <row r="14" spans="1:13" ht="21.6" customHeight="1" thickBot="1" x14ac:dyDescent="0.3">
      <c r="A14" s="155" t="s">
        <v>32</v>
      </c>
      <c r="B14" s="156"/>
      <c r="C14" s="49">
        <f t="shared" ref="C14:L14" si="3">SUM(C3:C13)</f>
        <v>194070</v>
      </c>
      <c r="D14" s="7">
        <f t="shared" si="3"/>
        <v>4113.83</v>
      </c>
      <c r="E14" s="7">
        <f t="shared" si="3"/>
        <v>78.13</v>
      </c>
      <c r="F14" s="7">
        <f t="shared" si="3"/>
        <v>0</v>
      </c>
      <c r="G14" s="7">
        <f t="shared" si="3"/>
        <v>0</v>
      </c>
      <c r="H14" s="7">
        <f t="shared" si="3"/>
        <v>15948.390000000001</v>
      </c>
      <c r="I14" s="7">
        <f t="shared" si="3"/>
        <v>302.90999999999997</v>
      </c>
      <c r="J14" s="49">
        <f t="shared" si="3"/>
        <v>16251.300000000003</v>
      </c>
      <c r="K14" s="49">
        <f t="shared" si="3"/>
        <v>177818.69999999998</v>
      </c>
      <c r="L14" s="7">
        <f t="shared" si="3"/>
        <v>88146.348214286001</v>
      </c>
    </row>
    <row r="15" spans="1:13" ht="11.25" customHeight="1" x14ac:dyDescent="0.25">
      <c r="A15" s="52"/>
      <c r="B15" s="41"/>
      <c r="C15" s="40"/>
      <c r="D15" s="40"/>
      <c r="E15" s="40"/>
      <c r="F15" s="40"/>
      <c r="G15" s="40"/>
      <c r="H15" s="39"/>
      <c r="I15" s="39"/>
      <c r="J15" s="39"/>
      <c r="K15" s="39"/>
      <c r="L15" s="51"/>
    </row>
    <row r="16" spans="1:13" ht="11.25" customHeight="1" thickBot="1" x14ac:dyDescent="0.3">
      <c r="A16" s="38"/>
      <c r="B16" s="37"/>
      <c r="C16" s="36"/>
      <c r="D16" s="36"/>
      <c r="E16" s="36"/>
      <c r="F16" s="36"/>
      <c r="G16" s="36"/>
      <c r="H16" s="35"/>
      <c r="I16" s="35"/>
      <c r="J16" s="35"/>
      <c r="K16" s="35"/>
      <c r="L16" s="50"/>
    </row>
    <row r="17" spans="1:13" s="8" customFormat="1" ht="11.45" customHeight="1" x14ac:dyDescent="0.25">
      <c r="A17" s="13" t="s">
        <v>31</v>
      </c>
      <c r="B17" s="12">
        <v>55090100</v>
      </c>
      <c r="C17" s="11">
        <v>26923</v>
      </c>
      <c r="D17" s="10">
        <v>0</v>
      </c>
      <c r="E17" s="10">
        <v>0</v>
      </c>
      <c r="F17" s="10">
        <v>1200</v>
      </c>
      <c r="G17" s="10">
        <v>62.4</v>
      </c>
      <c r="H17" s="9">
        <f>D17+F17+'08-06-20'!H17</f>
        <v>4215</v>
      </c>
      <c r="I17" s="9">
        <f>E17+G17+'08-06-20'!I17</f>
        <v>219.17000000000002</v>
      </c>
      <c r="J17" s="9">
        <f t="shared" ref="J17:J19" si="4">H17+I17</f>
        <v>4434.17</v>
      </c>
      <c r="K17" s="9">
        <f>C17-J17</f>
        <v>22488.83</v>
      </c>
      <c r="L17" s="9">
        <f t="shared" ref="L17:L19" si="5">C17-((J17/4)*26.0714285714285)</f>
        <v>-1978.2866071427779</v>
      </c>
    </row>
    <row r="18" spans="1:13" s="8" customFormat="1" ht="11.45" customHeight="1" x14ac:dyDescent="0.25">
      <c r="A18" s="22" t="s">
        <v>30</v>
      </c>
      <c r="B18" s="21">
        <v>55160100</v>
      </c>
      <c r="C18" s="11">
        <v>16062</v>
      </c>
      <c r="D18" s="9">
        <v>0</v>
      </c>
      <c r="E18" s="9">
        <v>0</v>
      </c>
      <c r="F18" s="10">
        <v>0</v>
      </c>
      <c r="G18" s="10">
        <v>0</v>
      </c>
      <c r="H18" s="9">
        <f>D18+F18+'08-06-20'!H18</f>
        <v>0</v>
      </c>
      <c r="I18" s="9">
        <f>E18+G18+'08-06-20'!I18</f>
        <v>0</v>
      </c>
      <c r="J18" s="9">
        <f t="shared" si="4"/>
        <v>0</v>
      </c>
      <c r="K18" s="9">
        <f t="shared" ref="K18:K19" si="6">C18-J18</f>
        <v>16062</v>
      </c>
      <c r="L18" s="9">
        <f t="shared" si="5"/>
        <v>16062</v>
      </c>
    </row>
    <row r="19" spans="1:13" s="8" customFormat="1" ht="11.45" customHeight="1" x14ac:dyDescent="0.25">
      <c r="A19" s="13" t="s">
        <v>29</v>
      </c>
      <c r="B19" s="12">
        <v>55100100</v>
      </c>
      <c r="C19" s="11">
        <v>2026</v>
      </c>
      <c r="D19" s="10">
        <v>8.56</v>
      </c>
      <c r="E19" s="10">
        <v>0.16</v>
      </c>
      <c r="F19" s="10">
        <v>0</v>
      </c>
      <c r="G19" s="10">
        <v>0</v>
      </c>
      <c r="H19" s="9">
        <f>D19+F19+'08-06-20'!H19</f>
        <v>140.38</v>
      </c>
      <c r="I19" s="9">
        <f>E19+G19+'08-06-20'!I19</f>
        <v>1.7949999999999997</v>
      </c>
      <c r="J19" s="9">
        <f t="shared" si="4"/>
        <v>142.17499999999998</v>
      </c>
      <c r="K19" s="9">
        <f t="shared" si="6"/>
        <v>1883.825</v>
      </c>
      <c r="L19" s="9">
        <f t="shared" si="5"/>
        <v>1099.3236607142885</v>
      </c>
    </row>
    <row r="20" spans="1:13" ht="21.6" customHeight="1" thickBot="1" x14ac:dyDescent="0.3">
      <c r="A20" s="155" t="s">
        <v>28</v>
      </c>
      <c r="B20" s="156"/>
      <c r="C20" s="7">
        <f t="shared" ref="C20:L20" si="7">SUM(C17:C19)</f>
        <v>45011</v>
      </c>
      <c r="D20" s="7">
        <f t="shared" si="7"/>
        <v>8.56</v>
      </c>
      <c r="E20" s="7">
        <f t="shared" si="7"/>
        <v>0.16</v>
      </c>
      <c r="F20" s="7">
        <f t="shared" si="7"/>
        <v>1200</v>
      </c>
      <c r="G20" s="7">
        <f t="shared" si="7"/>
        <v>62.4</v>
      </c>
      <c r="H20" s="7">
        <f t="shared" si="7"/>
        <v>4355.38</v>
      </c>
      <c r="I20" s="7">
        <f t="shared" si="7"/>
        <v>220.965</v>
      </c>
      <c r="J20" s="49">
        <f t="shared" si="7"/>
        <v>4576.3450000000003</v>
      </c>
      <c r="K20" s="7">
        <f t="shared" si="7"/>
        <v>40434.654999999999</v>
      </c>
      <c r="L20" s="7">
        <f t="shared" si="7"/>
        <v>15183.03705357151</v>
      </c>
    </row>
    <row r="21" spans="1:13" ht="11.25" customHeight="1" x14ac:dyDescent="0.25">
      <c r="A21" s="42"/>
      <c r="B21" s="41"/>
      <c r="C21" s="40"/>
      <c r="D21" s="39"/>
      <c r="E21" s="39"/>
      <c r="F21" s="39"/>
      <c r="G21" s="39"/>
      <c r="H21" s="39"/>
      <c r="I21" s="39"/>
      <c r="J21" s="39"/>
      <c r="K21" s="39"/>
      <c r="L21" s="51"/>
    </row>
    <row r="22" spans="1:13" ht="11.25" customHeight="1" thickBot="1" x14ac:dyDescent="0.3">
      <c r="A22" s="38"/>
      <c r="B22" s="37"/>
      <c r="C22" s="36"/>
      <c r="D22" s="35"/>
      <c r="E22" s="35"/>
      <c r="F22" s="35"/>
      <c r="G22" s="35"/>
      <c r="H22" s="35"/>
      <c r="I22" s="35"/>
      <c r="J22" s="35"/>
      <c r="K22" s="35"/>
      <c r="L22" s="50"/>
    </row>
    <row r="23" spans="1:13" s="44" customFormat="1" ht="11.45" customHeight="1" x14ac:dyDescent="0.25">
      <c r="A23" s="13" t="s">
        <v>27</v>
      </c>
      <c r="B23" s="12">
        <v>55200000</v>
      </c>
      <c r="C23" s="11">
        <v>25000</v>
      </c>
      <c r="D23" s="10">
        <v>420</v>
      </c>
      <c r="E23" s="10">
        <v>7.98</v>
      </c>
      <c r="F23" s="10">
        <v>0</v>
      </c>
      <c r="G23" s="10">
        <v>0</v>
      </c>
      <c r="H23" s="9">
        <f>D23+F23+'08-06-20'!H23</f>
        <v>2152.5</v>
      </c>
      <c r="I23" s="9">
        <f>E23+G23+'08-06-20'!I23</f>
        <v>40.879999999999995</v>
      </c>
      <c r="J23" s="9">
        <f t="shared" ref="J23:J25" si="8">H23+I23</f>
        <v>2193.38</v>
      </c>
      <c r="K23" s="9">
        <f>C23-J23</f>
        <v>22806.62</v>
      </c>
      <c r="L23" s="9">
        <f t="shared" ref="L23:L25" si="9">C23-((J23/4)*26.0714285714285)</f>
        <v>10703.862500000039</v>
      </c>
      <c r="M23" s="31"/>
    </row>
    <row r="24" spans="1:13" s="44" customFormat="1" ht="11.45" hidden="1" customHeight="1" x14ac:dyDescent="0.25">
      <c r="A24" s="13" t="s">
        <v>26</v>
      </c>
      <c r="B24" s="48" t="s">
        <v>25</v>
      </c>
      <c r="C24" s="84">
        <v>0</v>
      </c>
      <c r="D24" s="45"/>
      <c r="E24" s="45"/>
      <c r="F24" s="45"/>
      <c r="G24" s="45"/>
      <c r="H24" s="9">
        <f>D24+F24+'08-06-20'!H24</f>
        <v>0</v>
      </c>
      <c r="I24" s="9">
        <f>E24+G24+'08-06-20'!I24</f>
        <v>-9.9999999999997868E-3</v>
      </c>
      <c r="J24" s="9">
        <f t="shared" si="8"/>
        <v>-9.9999999999997868E-3</v>
      </c>
      <c r="K24" s="75">
        <f t="shared" ref="K24:K25" si="10">C24-J24</f>
        <v>9.9999999999997868E-3</v>
      </c>
      <c r="L24" s="9">
        <f t="shared" si="9"/>
        <v>6.5178571428569851E-2</v>
      </c>
      <c r="M24" s="31"/>
    </row>
    <row r="25" spans="1:13" s="44" customFormat="1" ht="10.9" customHeight="1" x14ac:dyDescent="0.25">
      <c r="A25" s="28" t="s">
        <v>24</v>
      </c>
      <c r="B25" s="47" t="s">
        <v>23</v>
      </c>
      <c r="C25" s="46">
        <v>0</v>
      </c>
      <c r="D25" s="45">
        <v>0</v>
      </c>
      <c r="E25" s="45">
        <v>0</v>
      </c>
      <c r="F25" s="45">
        <v>0</v>
      </c>
      <c r="G25" s="45">
        <v>0</v>
      </c>
      <c r="H25" s="9">
        <f>D25+F25+'08-06-20'!H25</f>
        <v>0</v>
      </c>
      <c r="I25" s="9">
        <f>E25+G25+'08-06-20'!I25</f>
        <v>0</v>
      </c>
      <c r="J25" s="9">
        <f t="shared" si="8"/>
        <v>0</v>
      </c>
      <c r="K25" s="9">
        <f t="shared" si="10"/>
        <v>0</v>
      </c>
      <c r="L25" s="9">
        <f t="shared" si="9"/>
        <v>0</v>
      </c>
    </row>
    <row r="26" spans="1:13" ht="24.75" customHeight="1" thickBot="1" x14ac:dyDescent="0.3">
      <c r="A26" s="157" t="s">
        <v>22</v>
      </c>
      <c r="B26" s="158"/>
      <c r="C26" s="43">
        <f>SUM(C23:C24)</f>
        <v>25000</v>
      </c>
      <c r="D26" s="43">
        <f t="shared" ref="D26:L26" si="11">SUM(D23:D25)</f>
        <v>420</v>
      </c>
      <c r="E26" s="43">
        <f t="shared" si="11"/>
        <v>7.98</v>
      </c>
      <c r="F26" s="43">
        <f t="shared" si="11"/>
        <v>0</v>
      </c>
      <c r="G26" s="43">
        <f t="shared" si="11"/>
        <v>0</v>
      </c>
      <c r="H26" s="43">
        <f t="shared" si="11"/>
        <v>2152.5</v>
      </c>
      <c r="I26" s="43">
        <f t="shared" si="11"/>
        <v>40.869999999999997</v>
      </c>
      <c r="J26" s="43">
        <f t="shared" si="11"/>
        <v>2193.37</v>
      </c>
      <c r="K26" s="43">
        <f t="shared" si="11"/>
        <v>22806.629999999997</v>
      </c>
      <c r="L26" s="34">
        <f t="shared" si="11"/>
        <v>10703.927678571468</v>
      </c>
    </row>
    <row r="27" spans="1:13" ht="11.25" customHeight="1" x14ac:dyDescent="0.25">
      <c r="A27" s="42"/>
      <c r="B27" s="41"/>
      <c r="C27" s="40"/>
      <c r="D27" s="40"/>
      <c r="E27" s="40"/>
      <c r="F27" s="40"/>
      <c r="G27" s="40"/>
      <c r="H27" s="39"/>
      <c r="I27" s="39"/>
      <c r="J27" s="39"/>
      <c r="K27" s="39"/>
      <c r="L27" s="39"/>
    </row>
    <row r="28" spans="1:13" ht="11.25" customHeight="1" thickBot="1" x14ac:dyDescent="0.3">
      <c r="A28" s="38"/>
      <c r="B28" s="37"/>
      <c r="C28" s="36"/>
      <c r="D28" s="36"/>
      <c r="E28" s="36"/>
      <c r="F28" s="36"/>
      <c r="G28" s="36"/>
      <c r="H28" s="35"/>
      <c r="I28" s="35"/>
      <c r="J28" s="35"/>
      <c r="K28" s="35"/>
      <c r="L28" s="35"/>
    </row>
    <row r="29" spans="1:13" ht="21.6" customHeight="1" x14ac:dyDescent="0.25">
      <c r="A29" s="159" t="s">
        <v>21</v>
      </c>
      <c r="B29" s="159"/>
      <c r="C29" s="34">
        <f t="shared" ref="C29:L29" si="12">C14+C20+C26</f>
        <v>264081</v>
      </c>
      <c r="D29" s="34">
        <f t="shared" si="12"/>
        <v>4542.3900000000003</v>
      </c>
      <c r="E29" s="34">
        <f t="shared" si="12"/>
        <v>86.27</v>
      </c>
      <c r="F29" s="34">
        <f t="shared" si="12"/>
        <v>1200</v>
      </c>
      <c r="G29" s="34">
        <f t="shared" si="12"/>
        <v>62.4</v>
      </c>
      <c r="H29" s="34">
        <f t="shared" si="12"/>
        <v>22456.27</v>
      </c>
      <c r="I29" s="34">
        <f t="shared" si="12"/>
        <v>564.745</v>
      </c>
      <c r="J29" s="34">
        <f t="shared" si="12"/>
        <v>23021.015000000003</v>
      </c>
      <c r="K29" s="34">
        <f t="shared" si="12"/>
        <v>241059.98499999999</v>
      </c>
      <c r="L29" s="34">
        <f t="shared" si="12"/>
        <v>114033.31294642898</v>
      </c>
    </row>
    <row r="30" spans="1:13" ht="10.9" customHeight="1" x14ac:dyDescent="0.25">
      <c r="A30" s="17"/>
      <c r="B30" s="16"/>
      <c r="C30" s="14"/>
      <c r="D30" s="15"/>
      <c r="E30" s="15"/>
      <c r="F30" s="15"/>
      <c r="G30" s="15"/>
      <c r="H30" s="14"/>
      <c r="I30" s="14"/>
      <c r="J30" s="14"/>
      <c r="K30" s="14"/>
      <c r="L30" s="14"/>
    </row>
    <row r="31" spans="1:13" ht="11.25" customHeight="1" x14ac:dyDescent="0.25">
      <c r="A31" s="17"/>
      <c r="B31" s="16"/>
      <c r="C31" s="14"/>
      <c r="D31" s="15"/>
      <c r="E31" s="15"/>
      <c r="F31" s="15"/>
      <c r="G31" s="15"/>
      <c r="H31" s="14"/>
      <c r="I31" s="14"/>
      <c r="J31" s="14"/>
      <c r="K31" s="14"/>
      <c r="L31" s="14"/>
    </row>
    <row r="32" spans="1:13" s="30" customFormat="1" ht="11.25" customHeight="1" x14ac:dyDescent="0.25">
      <c r="A32" s="28" t="s">
        <v>20</v>
      </c>
      <c r="B32" s="90" t="s">
        <v>19</v>
      </c>
      <c r="C32" s="11">
        <v>0</v>
      </c>
      <c r="D32" s="91">
        <v>0</v>
      </c>
      <c r="E32" s="91">
        <v>0</v>
      </c>
      <c r="F32" s="91">
        <v>0</v>
      </c>
      <c r="G32" s="91">
        <v>0</v>
      </c>
      <c r="H32" s="9">
        <f>D32+F32+'08-06-20'!H32</f>
        <v>0</v>
      </c>
      <c r="I32" s="9">
        <f>E32+G32+'08-06-20'!I32</f>
        <v>0</v>
      </c>
      <c r="J32" s="11">
        <f t="shared" ref="J32:J46" si="13">H32+I32</f>
        <v>0</v>
      </c>
      <c r="K32" s="11">
        <f>C32-J32</f>
        <v>0</v>
      </c>
      <c r="L32" s="9">
        <f t="shared" ref="L32:L47" si="14">C32-((J32/4)*26.0714285714285)</f>
        <v>0</v>
      </c>
    </row>
    <row r="33" spans="1:13" s="30" customFormat="1" ht="12" customHeight="1" x14ac:dyDescent="0.25">
      <c r="A33" s="32" t="s">
        <v>123</v>
      </c>
      <c r="B33" s="12" t="s">
        <v>55</v>
      </c>
      <c r="C33" s="11">
        <f>2795.22+12000</f>
        <v>14795.22</v>
      </c>
      <c r="D33" s="131">
        <v>210</v>
      </c>
      <c r="E33" s="131">
        <v>3.99</v>
      </c>
      <c r="F33" s="131">
        <v>144</v>
      </c>
      <c r="G33" s="131">
        <v>7.48</v>
      </c>
      <c r="H33" s="9">
        <f>D33+F33+'08-06-20'!H33</f>
        <v>2612</v>
      </c>
      <c r="I33" s="9">
        <f>E33+G33+'08-06-20'!I33</f>
        <v>84.06</v>
      </c>
      <c r="J33" s="11">
        <f t="shared" si="13"/>
        <v>2696.06</v>
      </c>
      <c r="K33" s="11">
        <f>C33-J33</f>
        <v>12099.16</v>
      </c>
      <c r="L33" s="9">
        <f t="shared" si="14"/>
        <v>-2777.3139285713787</v>
      </c>
    </row>
    <row r="34" spans="1:13" s="30" customFormat="1" ht="11.25" hidden="1" customHeight="1" x14ac:dyDescent="0.25">
      <c r="A34" s="32" t="s">
        <v>18</v>
      </c>
      <c r="B34" s="90" t="s">
        <v>17</v>
      </c>
      <c r="C34" s="85">
        <v>0</v>
      </c>
      <c r="D34" s="91"/>
      <c r="E34" s="91"/>
      <c r="F34" s="91"/>
      <c r="G34" s="91"/>
      <c r="H34" s="9">
        <f>D34+F34+'08-06-20'!H34</f>
        <v>0</v>
      </c>
      <c r="I34" s="9">
        <f>E34+G34+'08-06-20'!I34</f>
        <v>-1.0000000000005116E-2</v>
      </c>
      <c r="J34" s="11">
        <f t="shared" si="13"/>
        <v>-1.0000000000005116E-2</v>
      </c>
      <c r="K34" s="11">
        <f t="shared" ref="K34:K46" si="15">C34-J34</f>
        <v>1.0000000000005116E-2</v>
      </c>
      <c r="L34" s="9">
        <f t="shared" si="14"/>
        <v>6.5178571428604587E-2</v>
      </c>
    </row>
    <row r="35" spans="1:13" s="26" customFormat="1" ht="11.25" customHeight="1" x14ac:dyDescent="0.25">
      <c r="A35" s="28" t="s">
        <v>16</v>
      </c>
      <c r="B35" s="21" t="s">
        <v>15</v>
      </c>
      <c r="C35" s="11">
        <v>0</v>
      </c>
      <c r="D35" s="11">
        <v>0</v>
      </c>
      <c r="E35" s="11">
        <v>0</v>
      </c>
      <c r="F35" s="11">
        <v>0</v>
      </c>
      <c r="G35" s="11">
        <v>0</v>
      </c>
      <c r="H35" s="9">
        <f>D35+F35+'08-06-20'!H35</f>
        <v>0</v>
      </c>
      <c r="I35" s="9">
        <f>E35+G35+'08-06-20'!I35</f>
        <v>0</v>
      </c>
      <c r="J35" s="11">
        <f t="shared" si="13"/>
        <v>0</v>
      </c>
      <c r="K35" s="11">
        <f t="shared" si="15"/>
        <v>0</v>
      </c>
      <c r="L35" s="9">
        <f t="shared" si="14"/>
        <v>0</v>
      </c>
    </row>
    <row r="36" spans="1:13" s="26" customFormat="1" ht="11.25" customHeight="1" x14ac:dyDescent="0.25">
      <c r="A36" s="28" t="s">
        <v>14</v>
      </c>
      <c r="B36" s="21" t="s">
        <v>13</v>
      </c>
      <c r="C36" s="11">
        <v>0</v>
      </c>
      <c r="D36" s="131">
        <v>35.81</v>
      </c>
      <c r="E36" s="131">
        <v>0.68</v>
      </c>
      <c r="F36" s="11">
        <v>0</v>
      </c>
      <c r="G36" s="11">
        <v>0</v>
      </c>
      <c r="H36" s="9">
        <f>D36+F36+'08-06-20'!H36</f>
        <v>213.42000000000002</v>
      </c>
      <c r="I36" s="9">
        <f>E36+G36+'08-06-20'!I36</f>
        <v>4.05</v>
      </c>
      <c r="J36" s="11">
        <f t="shared" si="13"/>
        <v>217.47000000000003</v>
      </c>
      <c r="K36" s="86">
        <f t="shared" si="15"/>
        <v>-217.47000000000003</v>
      </c>
      <c r="L36" s="9">
        <f t="shared" si="14"/>
        <v>-1417.438392857139</v>
      </c>
    </row>
    <row r="37" spans="1:13" s="26" customFormat="1" ht="11.25" customHeight="1" x14ac:dyDescent="0.25">
      <c r="A37" s="28" t="s">
        <v>12</v>
      </c>
      <c r="B37" s="21">
        <v>55110000</v>
      </c>
      <c r="C37" s="11">
        <v>2659</v>
      </c>
      <c r="D37" s="11">
        <v>0</v>
      </c>
      <c r="E37" s="11">
        <v>0</v>
      </c>
      <c r="F37" s="11">
        <v>0</v>
      </c>
      <c r="G37" s="11">
        <v>0</v>
      </c>
      <c r="H37" s="9">
        <f>D37+F37+'08-06-20'!H37</f>
        <v>0</v>
      </c>
      <c r="I37" s="9">
        <f>E37+G37+'08-06-20'!I37</f>
        <v>0</v>
      </c>
      <c r="J37" s="11">
        <f t="shared" si="13"/>
        <v>0</v>
      </c>
      <c r="K37" s="11">
        <f t="shared" si="15"/>
        <v>2659</v>
      </c>
      <c r="L37" s="9">
        <f t="shared" si="14"/>
        <v>2659</v>
      </c>
      <c r="M37" s="23"/>
    </row>
    <row r="38" spans="1:13" s="26" customFormat="1" ht="11.45" customHeight="1" x14ac:dyDescent="0.25">
      <c r="A38" s="28" t="s">
        <v>11</v>
      </c>
      <c r="B38" s="90" t="s">
        <v>10</v>
      </c>
      <c r="C38" s="11">
        <v>0</v>
      </c>
      <c r="D38" s="91">
        <v>0</v>
      </c>
      <c r="E38" s="91">
        <v>0</v>
      </c>
      <c r="F38" s="91">
        <v>0</v>
      </c>
      <c r="G38" s="91">
        <v>0</v>
      </c>
      <c r="H38" s="9">
        <f>D38+F38+'08-06-20'!H38</f>
        <v>0</v>
      </c>
      <c r="I38" s="9">
        <f>E38+G38+'08-06-20'!I38</f>
        <v>0</v>
      </c>
      <c r="J38" s="11">
        <f t="shared" si="13"/>
        <v>0</v>
      </c>
      <c r="K38" s="11">
        <f t="shared" si="15"/>
        <v>0</v>
      </c>
      <c r="L38" s="9">
        <f t="shared" si="14"/>
        <v>0</v>
      </c>
    </row>
    <row r="39" spans="1:13" s="26" customFormat="1" ht="11.45" customHeight="1" x14ac:dyDescent="0.25">
      <c r="A39" s="25" t="s">
        <v>68</v>
      </c>
      <c r="B39" s="24" t="s">
        <v>69</v>
      </c>
      <c r="C39" s="11">
        <v>1500</v>
      </c>
      <c r="D39" s="11">
        <v>67.88</v>
      </c>
      <c r="E39" s="11">
        <v>1.28</v>
      </c>
      <c r="F39" s="11">
        <v>0</v>
      </c>
      <c r="G39" s="11">
        <v>0</v>
      </c>
      <c r="H39" s="9">
        <f>D39+F39+'08-06-20'!H39</f>
        <v>273.32</v>
      </c>
      <c r="I39" s="9">
        <f>E39+G39+'08-06-20'!I39</f>
        <v>5.0170000000000003</v>
      </c>
      <c r="J39" s="11">
        <f t="shared" si="13"/>
        <v>278.33699999999999</v>
      </c>
      <c r="K39" s="11">
        <f t="shared" si="15"/>
        <v>1221.663</v>
      </c>
      <c r="L39" s="9">
        <f t="shared" si="14"/>
        <v>-314.16080357142346</v>
      </c>
    </row>
    <row r="40" spans="1:13" s="23" customFormat="1" ht="11.45" customHeight="1" x14ac:dyDescent="0.25">
      <c r="A40" s="25" t="s">
        <v>61</v>
      </c>
      <c r="B40" s="24" t="s">
        <v>62</v>
      </c>
      <c r="C40" s="11">
        <v>9800</v>
      </c>
      <c r="D40" s="11">
        <v>0</v>
      </c>
      <c r="E40" s="11">
        <v>0</v>
      </c>
      <c r="F40" s="11">
        <v>817.5</v>
      </c>
      <c r="G40" s="11">
        <v>42.51</v>
      </c>
      <c r="H40" s="9">
        <f>D40+F40+'08-06-20'!H40</f>
        <v>2832</v>
      </c>
      <c r="I40" s="9">
        <f>E40+G40+'08-06-20'!I40</f>
        <v>147.24999999999997</v>
      </c>
      <c r="J40" s="11">
        <f>H40+I40</f>
        <v>2979.25</v>
      </c>
      <c r="K40" s="11">
        <f>C40-J40</f>
        <v>6820.75</v>
      </c>
      <c r="L40" s="9">
        <f t="shared" si="14"/>
        <v>-9618.3258928570867</v>
      </c>
    </row>
    <row r="41" spans="1:13" s="23" customFormat="1" ht="11.45" customHeight="1" x14ac:dyDescent="0.25">
      <c r="A41" s="25" t="s">
        <v>59</v>
      </c>
      <c r="B41" s="24" t="s">
        <v>60</v>
      </c>
      <c r="C41" s="11">
        <v>2453.12</v>
      </c>
      <c r="D41" s="11">
        <f>235.33</f>
        <v>235.33</v>
      </c>
      <c r="E41" s="11">
        <f>4.47</f>
        <v>4.47</v>
      </c>
      <c r="F41" s="11">
        <v>0</v>
      </c>
      <c r="G41" s="11">
        <v>0</v>
      </c>
      <c r="H41" s="9">
        <f>D41+F41+'08-06-20'!H41</f>
        <v>640.33000000000004</v>
      </c>
      <c r="I41" s="9">
        <f>E41+G41+'08-06-20'!I41</f>
        <v>12.16</v>
      </c>
      <c r="J41" s="11">
        <f>H41+I41</f>
        <v>652.49</v>
      </c>
      <c r="K41" s="11">
        <f>C41-J41</f>
        <v>1800.6299999999999</v>
      </c>
      <c r="L41" s="9">
        <f t="shared" si="14"/>
        <v>-1799.7166071428455</v>
      </c>
    </row>
    <row r="42" spans="1:13" s="23" customFormat="1" ht="11.45" customHeight="1" x14ac:dyDescent="0.25">
      <c r="A42" s="25" t="s">
        <v>70</v>
      </c>
      <c r="B42" s="24" t="s">
        <v>71</v>
      </c>
      <c r="C42" s="11">
        <v>5600</v>
      </c>
      <c r="D42" s="11">
        <v>235.33</v>
      </c>
      <c r="E42" s="11">
        <v>4.47</v>
      </c>
      <c r="F42" s="11">
        <v>0</v>
      </c>
      <c r="G42" s="11">
        <v>0</v>
      </c>
      <c r="H42" s="9">
        <f>D42+F42+'08-06-20'!H42</f>
        <v>952.2</v>
      </c>
      <c r="I42" s="9">
        <f>E42+G42+'08-06-20'!I42</f>
        <v>18.079999999999998</v>
      </c>
      <c r="J42" s="11">
        <f t="shared" ref="J42" si="16">H42+I42</f>
        <v>970.28000000000009</v>
      </c>
      <c r="K42" s="11">
        <f t="shared" ref="K42" si="17">C42-J42</f>
        <v>4629.72</v>
      </c>
      <c r="L42" s="9">
        <f t="shared" si="14"/>
        <v>-724.14642857141098</v>
      </c>
    </row>
    <row r="43" spans="1:13" s="23" customFormat="1" ht="11.45" customHeight="1" x14ac:dyDescent="0.25">
      <c r="A43" s="25" t="s">
        <v>7</v>
      </c>
      <c r="B43" s="24" t="s">
        <v>6</v>
      </c>
      <c r="C43" s="11">
        <v>0</v>
      </c>
      <c r="D43" s="11">
        <v>0</v>
      </c>
      <c r="E43" s="11">
        <v>0</v>
      </c>
      <c r="F43" s="11">
        <v>0</v>
      </c>
      <c r="G43" s="11">
        <v>0</v>
      </c>
      <c r="H43" s="9">
        <f>D43+F43+'08-06-20'!H43</f>
        <v>0</v>
      </c>
      <c r="I43" s="9">
        <f>E43+G43+'08-06-20'!I43</f>
        <v>0</v>
      </c>
      <c r="J43" s="11">
        <f>H43+I43</f>
        <v>0</v>
      </c>
      <c r="K43" s="11">
        <f>C43-J43</f>
        <v>0</v>
      </c>
      <c r="L43" s="9">
        <f t="shared" si="14"/>
        <v>0</v>
      </c>
    </row>
    <row r="44" spans="1:13" s="23" customFormat="1" ht="11.45" customHeight="1" x14ac:dyDescent="0.25">
      <c r="A44" s="25" t="s">
        <v>9</v>
      </c>
      <c r="B44" s="24" t="s">
        <v>8</v>
      </c>
      <c r="C44" s="11">
        <v>0</v>
      </c>
      <c r="D44" s="91">
        <v>0</v>
      </c>
      <c r="E44" s="91">
        <v>0</v>
      </c>
      <c r="F44" s="91">
        <v>0</v>
      </c>
      <c r="G44" s="91">
        <v>0</v>
      </c>
      <c r="H44" s="9">
        <f>D44+F44+'08-06-20'!H44</f>
        <v>0</v>
      </c>
      <c r="I44" s="9">
        <f>E44+G44+'08-06-20'!I44</f>
        <v>0</v>
      </c>
      <c r="J44" s="11">
        <f t="shared" si="13"/>
        <v>0</v>
      </c>
      <c r="K44" s="11">
        <f t="shared" si="15"/>
        <v>0</v>
      </c>
      <c r="L44" s="9">
        <f t="shared" si="14"/>
        <v>0</v>
      </c>
    </row>
    <row r="45" spans="1:13" s="23" customFormat="1" ht="11.45" customHeight="1" x14ac:dyDescent="0.25">
      <c r="A45" s="25" t="s">
        <v>63</v>
      </c>
      <c r="B45" s="24" t="s">
        <v>66</v>
      </c>
      <c r="C45" s="11">
        <v>1784.19</v>
      </c>
      <c r="D45" s="91">
        <v>0</v>
      </c>
      <c r="E45" s="91">
        <v>0</v>
      </c>
      <c r="F45" s="91">
        <v>400</v>
      </c>
      <c r="G45" s="91">
        <v>20.8</v>
      </c>
      <c r="H45" s="9">
        <f>D45+F45+'08-06-20'!H45</f>
        <v>1184</v>
      </c>
      <c r="I45" s="9">
        <f>E45+G45+'08-06-20'!I45</f>
        <v>61.55</v>
      </c>
      <c r="J45" s="11">
        <f t="shared" si="13"/>
        <v>1245.55</v>
      </c>
      <c r="K45" s="11">
        <f t="shared" si="15"/>
        <v>538.6400000000001</v>
      </c>
      <c r="L45" s="9">
        <f t="shared" si="14"/>
        <v>-6334.1269642856914</v>
      </c>
    </row>
    <row r="46" spans="1:13" s="23" customFormat="1" ht="11.45" hidden="1" customHeight="1" x14ac:dyDescent="0.25">
      <c r="A46" s="25" t="s">
        <v>64</v>
      </c>
      <c r="B46" s="24" t="s">
        <v>65</v>
      </c>
      <c r="C46" s="71"/>
      <c r="D46" s="91"/>
      <c r="E46" s="91"/>
      <c r="F46" s="91"/>
      <c r="G46" s="91"/>
      <c r="H46" s="9">
        <f>D46+F46+'08-06-20'!H46</f>
        <v>0</v>
      </c>
      <c r="I46" s="9">
        <f>E46+G46+'08-06-20'!I46</f>
        <v>0</v>
      </c>
      <c r="J46" s="11">
        <f t="shared" si="13"/>
        <v>0</v>
      </c>
      <c r="K46" s="11">
        <f t="shared" si="15"/>
        <v>0</v>
      </c>
      <c r="L46" s="9">
        <f t="shared" si="14"/>
        <v>0</v>
      </c>
    </row>
    <row r="47" spans="1:13" ht="11.25" customHeight="1" x14ac:dyDescent="0.25">
      <c r="A47" s="25" t="s">
        <v>57</v>
      </c>
      <c r="B47" s="24" t="s">
        <v>58</v>
      </c>
      <c r="C47" s="70">
        <v>843.44</v>
      </c>
      <c r="D47" s="70">
        <v>0</v>
      </c>
      <c r="E47" s="70">
        <v>0</v>
      </c>
      <c r="F47" s="70">
        <v>0</v>
      </c>
      <c r="G47" s="70">
        <v>0</v>
      </c>
      <c r="H47" s="9">
        <f>D47+F47+'08-06-20'!H47</f>
        <v>437.34000000000003</v>
      </c>
      <c r="I47" s="9">
        <f>E47+G47+'08-06-20'!I47</f>
        <v>8.2900000000000009</v>
      </c>
      <c r="J47" s="11">
        <f>H47+I47</f>
        <v>445.63000000000005</v>
      </c>
      <c r="K47" s="11">
        <f>C47-J47</f>
        <v>397.81</v>
      </c>
      <c r="L47" s="9">
        <f t="shared" si="14"/>
        <v>-2061.1126785714209</v>
      </c>
    </row>
    <row r="48" spans="1:13" ht="21.6" customHeight="1" x14ac:dyDescent="0.25">
      <c r="A48" s="153" t="s">
        <v>5</v>
      </c>
      <c r="B48" s="154"/>
      <c r="C48" s="7">
        <f t="shared" ref="C48:L48" si="18">SUM(C32:C47)</f>
        <v>39434.97</v>
      </c>
      <c r="D48" s="7">
        <f t="shared" si="18"/>
        <v>784.35</v>
      </c>
      <c r="E48" s="7">
        <f t="shared" si="18"/>
        <v>14.89</v>
      </c>
      <c r="F48" s="7">
        <f t="shared" si="18"/>
        <v>1361.5</v>
      </c>
      <c r="G48" s="7">
        <f t="shared" si="18"/>
        <v>70.789999999999992</v>
      </c>
      <c r="H48" s="7">
        <f t="shared" si="18"/>
        <v>9144.61</v>
      </c>
      <c r="I48" s="7">
        <f t="shared" si="18"/>
        <v>340.447</v>
      </c>
      <c r="J48" s="7">
        <f t="shared" si="18"/>
        <v>9485.0569999999989</v>
      </c>
      <c r="K48" s="7">
        <f t="shared" si="18"/>
        <v>29949.913000000004</v>
      </c>
      <c r="L48" s="7">
        <f t="shared" si="18"/>
        <v>-22387.276517856968</v>
      </c>
    </row>
    <row r="49" spans="1:12" ht="10.9" customHeight="1" x14ac:dyDescent="0.25">
      <c r="A49" s="17"/>
      <c r="B49" s="16"/>
      <c r="C49" s="14"/>
      <c r="D49" s="15"/>
      <c r="E49" s="15"/>
      <c r="F49" s="15"/>
      <c r="G49" s="15"/>
      <c r="H49" s="14"/>
      <c r="I49" s="14"/>
      <c r="J49" s="14"/>
      <c r="K49" s="14"/>
      <c r="L49" s="14"/>
    </row>
    <row r="50" spans="1:12" ht="10.9" customHeight="1" x14ac:dyDescent="0.25">
      <c r="A50" s="17"/>
      <c r="B50" s="16"/>
      <c r="C50" s="14"/>
      <c r="D50" s="15"/>
      <c r="E50" s="15"/>
      <c r="F50" s="15"/>
      <c r="G50" s="15"/>
      <c r="H50" s="14"/>
      <c r="I50" s="14"/>
      <c r="J50" s="14"/>
      <c r="K50" s="14"/>
      <c r="L50" s="14"/>
    </row>
    <row r="51" spans="1:12" s="92" customFormat="1" ht="10.9" customHeight="1" x14ac:dyDescent="0.25">
      <c r="A51" s="22" t="s">
        <v>4</v>
      </c>
      <c r="B51" s="29" t="s">
        <v>3</v>
      </c>
      <c r="C51" s="9">
        <v>62583</v>
      </c>
      <c r="D51" s="10">
        <v>1059.8599999999999</v>
      </c>
      <c r="E51" s="10">
        <v>20.13</v>
      </c>
      <c r="F51" s="10">
        <v>214.5</v>
      </c>
      <c r="G51" s="10">
        <v>11.151999999999999</v>
      </c>
      <c r="H51" s="9">
        <f>D51+F51+'08-06-20'!H51</f>
        <v>4390.6399999999994</v>
      </c>
      <c r="I51" s="9">
        <f>E51+G51+'08-06-20'!I51</f>
        <v>110.05200000000001</v>
      </c>
      <c r="J51" s="9">
        <f t="shared" ref="J51" si="19">H51+I51</f>
        <v>4500.6919999999991</v>
      </c>
      <c r="K51" s="9">
        <f>C51-J51</f>
        <v>58082.308000000005</v>
      </c>
      <c r="L51" s="9">
        <f>C51-((J51/4)*26.0714285714285)</f>
        <v>33248.132500000087</v>
      </c>
    </row>
    <row r="52" spans="1:12" ht="21.6" customHeight="1" x14ac:dyDescent="0.25">
      <c r="A52" s="20" t="s">
        <v>2</v>
      </c>
      <c r="B52" s="19"/>
      <c r="C52" s="18">
        <f t="shared" ref="C52:L52" si="20">C51</f>
        <v>62583</v>
      </c>
      <c r="D52" s="18">
        <f t="shared" si="20"/>
        <v>1059.8599999999999</v>
      </c>
      <c r="E52" s="18">
        <f t="shared" si="20"/>
        <v>20.13</v>
      </c>
      <c r="F52" s="18">
        <f t="shared" si="20"/>
        <v>214.5</v>
      </c>
      <c r="G52" s="18">
        <f t="shared" si="20"/>
        <v>11.151999999999999</v>
      </c>
      <c r="H52" s="18">
        <f t="shared" si="20"/>
        <v>4390.6399999999994</v>
      </c>
      <c r="I52" s="18">
        <f t="shared" si="20"/>
        <v>110.05200000000001</v>
      </c>
      <c r="J52" s="18">
        <f t="shared" si="20"/>
        <v>4500.6919999999991</v>
      </c>
      <c r="K52" s="18">
        <f t="shared" si="20"/>
        <v>58082.308000000005</v>
      </c>
      <c r="L52" s="18">
        <f t="shared" si="20"/>
        <v>33248.132500000087</v>
      </c>
    </row>
    <row r="53" spans="1:12" ht="10.9" customHeight="1" x14ac:dyDescent="0.25">
      <c r="A53" s="17"/>
      <c r="B53" s="16"/>
      <c r="C53" s="14"/>
      <c r="D53" s="15"/>
      <c r="E53" s="15"/>
      <c r="F53" s="15"/>
      <c r="G53" s="15"/>
      <c r="H53" s="14"/>
      <c r="I53" s="14"/>
      <c r="J53" s="14"/>
      <c r="K53" s="14"/>
      <c r="L53" s="14"/>
    </row>
    <row r="54" spans="1:12" ht="10.9" customHeight="1" x14ac:dyDescent="0.25">
      <c r="A54" s="17"/>
      <c r="B54" s="16"/>
      <c r="C54" s="14"/>
      <c r="D54" s="15"/>
      <c r="E54" s="15"/>
      <c r="F54" s="15"/>
      <c r="G54" s="15"/>
      <c r="H54" s="14"/>
      <c r="I54" s="14"/>
      <c r="J54" s="14"/>
      <c r="K54" s="14"/>
      <c r="L54" s="14"/>
    </row>
    <row r="55" spans="1:12" s="92" customFormat="1" ht="10.9" customHeight="1" x14ac:dyDescent="0.25">
      <c r="A55" s="13" t="s">
        <v>1</v>
      </c>
      <c r="B55" s="33">
        <v>55180000</v>
      </c>
      <c r="C55" s="9">
        <v>37736</v>
      </c>
      <c r="D55" s="10">
        <v>0</v>
      </c>
      <c r="E55" s="10">
        <v>0</v>
      </c>
      <c r="F55" s="10">
        <v>438.6</v>
      </c>
      <c r="G55" s="10">
        <v>22.8</v>
      </c>
      <c r="H55" s="9">
        <f>D55+F55+'08-06-20'!H55</f>
        <v>1637.44</v>
      </c>
      <c r="I55" s="9">
        <f>E55+G55+'08-06-20'!I55</f>
        <v>85.11999999999999</v>
      </c>
      <c r="J55" s="9">
        <f t="shared" ref="J55" si="21">H55+I55</f>
        <v>1722.56</v>
      </c>
      <c r="K55" s="9">
        <f>C55-J55</f>
        <v>36013.440000000002</v>
      </c>
      <c r="L55" s="9">
        <f>C55-((J55/4)*26.0714285714285)</f>
        <v>26508.600000000031</v>
      </c>
    </row>
    <row r="56" spans="1:12" s="3" customFormat="1" ht="21.6" customHeight="1" x14ac:dyDescent="0.25">
      <c r="A56" s="153" t="s">
        <v>0</v>
      </c>
      <c r="B56" s="154"/>
      <c r="C56" s="7">
        <f t="shared" ref="C56:L56" si="22">SUM(C55)</f>
        <v>37736</v>
      </c>
      <c r="D56" s="7">
        <f t="shared" si="22"/>
        <v>0</v>
      </c>
      <c r="E56" s="7">
        <f t="shared" si="22"/>
        <v>0</v>
      </c>
      <c r="F56" s="7">
        <f t="shared" si="22"/>
        <v>438.6</v>
      </c>
      <c r="G56" s="7">
        <f t="shared" si="22"/>
        <v>22.8</v>
      </c>
      <c r="H56" s="7">
        <f t="shared" si="22"/>
        <v>1637.44</v>
      </c>
      <c r="I56" s="7">
        <f t="shared" si="22"/>
        <v>85.11999999999999</v>
      </c>
      <c r="J56" s="7">
        <f t="shared" si="22"/>
        <v>1722.56</v>
      </c>
      <c r="K56" s="7">
        <f t="shared" si="22"/>
        <v>36013.440000000002</v>
      </c>
      <c r="L56" s="7">
        <f t="shared" si="22"/>
        <v>26508.600000000031</v>
      </c>
    </row>
    <row r="57" spans="1:12" s="3" customFormat="1" ht="11.25" customHeight="1" x14ac:dyDescent="0.25">
      <c r="A57" s="6"/>
      <c r="B57" s="5"/>
      <c r="C57" s="4"/>
      <c r="D57" s="4"/>
      <c r="E57" s="4"/>
      <c r="F57" s="4"/>
      <c r="G57" s="4"/>
      <c r="H57" s="4"/>
      <c r="I57" s="4"/>
      <c r="J57" s="4"/>
      <c r="K57" s="4"/>
      <c r="L57" s="4"/>
    </row>
    <row r="58" spans="1:12" s="2" customFormat="1" ht="10.5" customHeight="1" x14ac:dyDescent="0.25">
      <c r="A58" s="160" t="s">
        <v>72</v>
      </c>
      <c r="B58" s="160"/>
      <c r="C58" s="160"/>
      <c r="D58" s="160"/>
      <c r="E58" s="160"/>
      <c r="F58" s="160"/>
      <c r="G58" s="82">
        <v>12000</v>
      </c>
    </row>
    <row r="59" spans="1:12" s="2" customFormat="1" ht="10.5" customHeight="1" x14ac:dyDescent="0.25">
      <c r="A59" s="160" t="s">
        <v>73</v>
      </c>
      <c r="B59" s="160"/>
      <c r="C59" s="160"/>
      <c r="D59" s="160"/>
      <c r="E59" s="160"/>
      <c r="F59" s="160"/>
      <c r="G59" s="82">
        <v>5600</v>
      </c>
    </row>
    <row r="60" spans="1:12" ht="10.5" customHeight="1" x14ac:dyDescent="0.25">
      <c r="A60" s="160" t="s">
        <v>76</v>
      </c>
      <c r="B60" s="160"/>
      <c r="C60" s="160"/>
      <c r="D60" s="160"/>
      <c r="E60" s="160"/>
      <c r="F60" s="160"/>
      <c r="G60" s="82">
        <v>9800</v>
      </c>
    </row>
    <row r="61" spans="1:12" ht="10.5" customHeight="1" x14ac:dyDescent="0.25">
      <c r="A61" s="160" t="s">
        <v>75</v>
      </c>
      <c r="B61" s="160"/>
      <c r="C61" s="160"/>
      <c r="D61" s="160"/>
      <c r="E61" s="160"/>
      <c r="F61" s="160"/>
      <c r="G61" s="82">
        <v>1500</v>
      </c>
    </row>
    <row r="62" spans="1:12" ht="10.5" customHeight="1" x14ac:dyDescent="0.25">
      <c r="A62" s="160" t="s">
        <v>74</v>
      </c>
      <c r="B62" s="160"/>
      <c r="C62" s="160"/>
      <c r="D62" s="160"/>
      <c r="E62" s="160"/>
      <c r="F62" s="160"/>
      <c r="G62" s="82">
        <v>843.44</v>
      </c>
    </row>
    <row r="63" spans="1:12" ht="10.5" customHeight="1" x14ac:dyDescent="0.25">
      <c r="A63" s="160" t="s">
        <v>77</v>
      </c>
      <c r="B63" s="160"/>
      <c r="C63" s="160"/>
      <c r="D63" s="160"/>
      <c r="E63" s="160"/>
      <c r="F63" s="160"/>
      <c r="G63" s="82">
        <v>1784.19</v>
      </c>
    </row>
    <row r="64" spans="1:12" ht="10.5" customHeight="1" x14ac:dyDescent="0.25">
      <c r="A64" s="160" t="s">
        <v>78</v>
      </c>
      <c r="B64" s="160"/>
      <c r="C64" s="160"/>
      <c r="D64" s="160"/>
      <c r="E64" s="160"/>
      <c r="F64" s="160"/>
      <c r="G64" s="82">
        <v>2453.12</v>
      </c>
    </row>
  </sheetData>
  <mergeCells count="13">
    <mergeCell ref="A64:F64"/>
    <mergeCell ref="A58:F58"/>
    <mergeCell ref="A59:F59"/>
    <mergeCell ref="A60:F60"/>
    <mergeCell ref="A61:F61"/>
    <mergeCell ref="A62:F62"/>
    <mergeCell ref="A63:F63"/>
    <mergeCell ref="A56:B56"/>
    <mergeCell ref="A14:B14"/>
    <mergeCell ref="A20:B20"/>
    <mergeCell ref="A26:B26"/>
    <mergeCell ref="A29:B29"/>
    <mergeCell ref="A48:B48"/>
  </mergeCells>
  <pageMargins left="0.25" right="0" top="0.4" bottom="0" header="0.3" footer="0"/>
  <pageSetup scale="85" fitToWidth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M64"/>
  <sheetViews>
    <sheetView zoomScale="160" zoomScaleNormal="160" workbookViewId="0">
      <pane ySplit="2" topLeftCell="A21" activePane="bottomLeft" state="frozen"/>
      <selection pane="bottomLeft" activeCell="J36" sqref="J36"/>
    </sheetView>
  </sheetViews>
  <sheetFormatPr defaultColWidth="28" defaultRowHeight="15" x14ac:dyDescent="0.25"/>
  <cols>
    <col min="1" max="1" width="33.140625" style="1" bestFit="1" customWidth="1"/>
    <col min="2" max="2" width="18.7109375" style="1" bestFit="1" customWidth="1"/>
    <col min="3" max="3" width="10.42578125" style="77" customWidth="1"/>
    <col min="4" max="4" width="8.140625" style="2" bestFit="1" customWidth="1"/>
    <col min="5" max="5" width="6.28515625" style="2" bestFit="1" customWidth="1"/>
    <col min="6" max="6" width="8.28515625" style="2" bestFit="1" customWidth="1"/>
    <col min="7" max="7" width="8.7109375" style="2" bestFit="1" customWidth="1"/>
    <col min="8" max="8" width="9.28515625" style="2" bestFit="1" customWidth="1"/>
    <col min="9" max="9" width="10.7109375" style="2" bestFit="1" customWidth="1"/>
    <col min="10" max="10" width="9.7109375" style="2" bestFit="1" customWidth="1"/>
    <col min="11" max="11" width="11.140625" style="2" customWidth="1"/>
    <col min="12" max="12" width="13.42578125" style="2" bestFit="1" customWidth="1"/>
    <col min="13" max="16384" width="28" style="1"/>
  </cols>
  <sheetData>
    <row r="1" spans="1:13" ht="11.25" customHeight="1" x14ac:dyDescent="0.25">
      <c r="A1" s="68"/>
      <c r="B1" s="67"/>
      <c r="C1" s="76"/>
      <c r="D1" s="66"/>
      <c r="E1" s="66"/>
      <c r="F1" s="66"/>
      <c r="G1" s="66"/>
      <c r="H1" s="66"/>
      <c r="I1" s="66"/>
      <c r="J1" s="66"/>
      <c r="K1" s="66"/>
      <c r="L1" s="65" t="s">
        <v>82</v>
      </c>
    </row>
    <row r="2" spans="1:13" s="61" customFormat="1" ht="34.5" x14ac:dyDescent="0.25">
      <c r="A2" s="64" t="s">
        <v>53</v>
      </c>
      <c r="B2" s="64" t="s">
        <v>52</v>
      </c>
      <c r="C2" s="63" t="s">
        <v>51</v>
      </c>
      <c r="D2" s="63" t="s">
        <v>50</v>
      </c>
      <c r="E2" s="63" t="s">
        <v>48</v>
      </c>
      <c r="F2" s="63" t="s">
        <v>49</v>
      </c>
      <c r="G2" s="63" t="s">
        <v>48</v>
      </c>
      <c r="H2" s="62" t="s">
        <v>47</v>
      </c>
      <c r="I2" s="62" t="s">
        <v>46</v>
      </c>
      <c r="J2" s="62" t="s">
        <v>45</v>
      </c>
      <c r="K2" s="62" t="s">
        <v>44</v>
      </c>
      <c r="L2" s="62" t="s">
        <v>43</v>
      </c>
    </row>
    <row r="3" spans="1:13" s="60" customFormat="1" ht="11.25" customHeight="1" x14ac:dyDescent="0.25">
      <c r="A3" s="22" t="s">
        <v>42</v>
      </c>
      <c r="B3" s="21">
        <v>55010300</v>
      </c>
      <c r="C3" s="11">
        <v>0</v>
      </c>
      <c r="D3" s="9">
        <v>0</v>
      </c>
      <c r="E3" s="9">
        <v>0</v>
      </c>
      <c r="F3" s="9">
        <v>0</v>
      </c>
      <c r="G3" s="9">
        <v>0</v>
      </c>
      <c r="H3" s="9">
        <f>D3+F3+'08-20-20'!H3</f>
        <v>0</v>
      </c>
      <c r="I3" s="9">
        <f>E3+G3+'08-20-20'!I3</f>
        <v>0</v>
      </c>
      <c r="J3" s="9">
        <f t="shared" ref="J3:J13" si="0">H3+I3</f>
        <v>0</v>
      </c>
      <c r="K3" s="9">
        <f>C3-J3</f>
        <v>0</v>
      </c>
      <c r="L3" s="9">
        <f>C3-((J3/5)*26.0714285714285)</f>
        <v>0</v>
      </c>
    </row>
    <row r="4" spans="1:13" s="59" customFormat="1" ht="11.25" customHeight="1" x14ac:dyDescent="0.25">
      <c r="A4" s="22" t="s">
        <v>41</v>
      </c>
      <c r="B4" s="21">
        <v>55010500</v>
      </c>
      <c r="C4" s="11">
        <v>3229</v>
      </c>
      <c r="D4" s="10">
        <v>0</v>
      </c>
      <c r="E4" s="10">
        <v>0</v>
      </c>
      <c r="F4" s="10">
        <v>0</v>
      </c>
      <c r="G4" s="10">
        <v>0</v>
      </c>
      <c r="H4" s="9">
        <f>D4+F4+'08-20-20'!H4</f>
        <v>0</v>
      </c>
      <c r="I4" s="9">
        <f>E4+G4+'08-20-20'!I4</f>
        <v>0</v>
      </c>
      <c r="J4" s="9">
        <f t="shared" si="0"/>
        <v>0</v>
      </c>
      <c r="K4" s="9">
        <f t="shared" ref="K4:K13" si="1">C4-J4</f>
        <v>3229</v>
      </c>
      <c r="L4" s="9">
        <f t="shared" ref="L4:L13" si="2">C4-((J4/5)*26.0714285714285)</f>
        <v>3229</v>
      </c>
    </row>
    <row r="5" spans="1:13" s="8" customFormat="1" ht="11.25" customHeight="1" x14ac:dyDescent="0.25">
      <c r="A5" s="58" t="s">
        <v>40</v>
      </c>
      <c r="B5" s="57">
        <v>55020200</v>
      </c>
      <c r="C5" s="56">
        <v>24649</v>
      </c>
      <c r="D5" s="55">
        <v>951.37</v>
      </c>
      <c r="E5" s="55">
        <v>18.059999999999999</v>
      </c>
      <c r="F5" s="55">
        <v>0</v>
      </c>
      <c r="G5" s="55">
        <v>0</v>
      </c>
      <c r="H5" s="9">
        <f>D5+F5+'08-20-20'!H5</f>
        <v>6578.0700000000006</v>
      </c>
      <c r="I5" s="9">
        <f>E5+G5+'08-20-20'!I5</f>
        <v>124.94</v>
      </c>
      <c r="J5" s="9">
        <f t="shared" si="0"/>
        <v>6703.01</v>
      </c>
      <c r="K5" s="9">
        <f t="shared" si="1"/>
        <v>17945.989999999998</v>
      </c>
      <c r="L5" s="9">
        <f t="shared" si="2"/>
        <v>-10302.409285714188</v>
      </c>
    </row>
    <row r="6" spans="1:13" s="8" customFormat="1" ht="11.25" customHeight="1" x14ac:dyDescent="0.25">
      <c r="A6" s="22" t="s">
        <v>39</v>
      </c>
      <c r="B6" s="21">
        <v>55020300</v>
      </c>
      <c r="C6" s="11">
        <v>17974</v>
      </c>
      <c r="D6" s="10">
        <v>185.43</v>
      </c>
      <c r="E6" s="10">
        <v>3.51</v>
      </c>
      <c r="F6" s="10">
        <v>0</v>
      </c>
      <c r="G6" s="10">
        <v>0</v>
      </c>
      <c r="H6" s="9">
        <f>D6+F6+'08-20-20'!H6</f>
        <v>185.43</v>
      </c>
      <c r="I6" s="9">
        <f>E6+G6+'08-20-20'!I6</f>
        <v>3.51</v>
      </c>
      <c r="J6" s="9">
        <f t="shared" si="0"/>
        <v>188.94</v>
      </c>
      <c r="K6" s="9">
        <f t="shared" si="1"/>
        <v>17785.060000000001</v>
      </c>
      <c r="L6" s="9">
        <f t="shared" si="2"/>
        <v>16988.812857142861</v>
      </c>
    </row>
    <row r="7" spans="1:13" s="8" customFormat="1" ht="11.25" customHeight="1" x14ac:dyDescent="0.25">
      <c r="A7" s="22" t="s">
        <v>38</v>
      </c>
      <c r="B7" s="21">
        <v>55020400</v>
      </c>
      <c r="C7" s="11">
        <v>17974</v>
      </c>
      <c r="D7" s="10">
        <v>542.76</v>
      </c>
      <c r="E7" s="10">
        <v>10.3</v>
      </c>
      <c r="F7" s="10">
        <v>0</v>
      </c>
      <c r="G7" s="10">
        <v>0</v>
      </c>
      <c r="H7" s="9">
        <f>D7+F7+'08-20-20'!H7</f>
        <v>542.76</v>
      </c>
      <c r="I7" s="9">
        <f>E7+G7+'08-20-20'!I7</f>
        <v>10.3</v>
      </c>
      <c r="J7" s="9">
        <f t="shared" si="0"/>
        <v>553.05999999999995</v>
      </c>
      <c r="K7" s="9">
        <f t="shared" si="1"/>
        <v>17420.939999999999</v>
      </c>
      <c r="L7" s="9">
        <f t="shared" si="2"/>
        <v>15090.18714285715</v>
      </c>
    </row>
    <row r="8" spans="1:13" s="8" customFormat="1" ht="11.25" customHeight="1" x14ac:dyDescent="0.25">
      <c r="A8" s="54" t="s">
        <v>37</v>
      </c>
      <c r="B8" s="21">
        <v>55030200</v>
      </c>
      <c r="C8" s="11">
        <v>24330</v>
      </c>
      <c r="D8" s="10">
        <v>794.08</v>
      </c>
      <c r="E8" s="10">
        <v>15.08</v>
      </c>
      <c r="F8" s="10">
        <v>0</v>
      </c>
      <c r="G8" s="10">
        <v>0</v>
      </c>
      <c r="H8" s="9">
        <f>D8+F8+'08-20-20'!H8</f>
        <v>2918.88</v>
      </c>
      <c r="I8" s="9">
        <f>E8+G8+'08-20-20'!I8</f>
        <v>55.43</v>
      </c>
      <c r="J8" s="9">
        <f t="shared" si="0"/>
        <v>2974.31</v>
      </c>
      <c r="K8" s="9">
        <f t="shared" si="1"/>
        <v>21355.69</v>
      </c>
      <c r="L8" s="9">
        <f t="shared" si="2"/>
        <v>8821.0978571429023</v>
      </c>
    </row>
    <row r="9" spans="1:13" s="8" customFormat="1" ht="11.25" customHeight="1" x14ac:dyDescent="0.25">
      <c r="A9" s="22" t="s">
        <v>36</v>
      </c>
      <c r="B9" s="21">
        <v>55050200</v>
      </c>
      <c r="C9" s="11">
        <v>34000</v>
      </c>
      <c r="D9" s="10">
        <v>883.51</v>
      </c>
      <c r="E9" s="10">
        <v>16.78</v>
      </c>
      <c r="F9" s="10">
        <v>0</v>
      </c>
      <c r="G9" s="10">
        <v>0</v>
      </c>
      <c r="H9" s="9">
        <f>D9+F9+'08-20-20'!H9</f>
        <v>2122.5500000000002</v>
      </c>
      <c r="I9" s="9">
        <f>E9+G9+'08-20-20'!I9</f>
        <v>40.299999999999997</v>
      </c>
      <c r="J9" s="9">
        <f t="shared" si="0"/>
        <v>2162.8500000000004</v>
      </c>
      <c r="K9" s="9">
        <f t="shared" si="1"/>
        <v>31837.15</v>
      </c>
      <c r="L9" s="9">
        <f t="shared" si="2"/>
        <v>22722.282142857173</v>
      </c>
    </row>
    <row r="10" spans="1:13" s="8" customFormat="1" ht="11.25" hidden="1" customHeight="1" x14ac:dyDescent="0.25">
      <c r="A10" s="22" t="s">
        <v>80</v>
      </c>
      <c r="B10" s="21">
        <v>55050300</v>
      </c>
      <c r="C10" s="71"/>
      <c r="D10" s="9">
        <v>-2294</v>
      </c>
      <c r="E10" s="9">
        <v>-43.58</v>
      </c>
      <c r="F10" s="9">
        <v>0</v>
      </c>
      <c r="G10" s="9">
        <v>0</v>
      </c>
      <c r="H10" s="9">
        <f>D10+F10+'08-20-20'!H10</f>
        <v>-310</v>
      </c>
      <c r="I10" s="9">
        <f>E10+G10+'08-20-20'!I10</f>
        <v>-5.8900000000000006</v>
      </c>
      <c r="J10" s="9">
        <f t="shared" si="0"/>
        <v>-315.89</v>
      </c>
      <c r="K10" s="9">
        <f t="shared" si="1"/>
        <v>315.89</v>
      </c>
      <c r="L10" s="9">
        <f t="shared" si="2"/>
        <v>1647.1407142857097</v>
      </c>
      <c r="M10" s="23"/>
    </row>
    <row r="11" spans="1:13" s="23" customFormat="1" ht="11.25" customHeight="1" x14ac:dyDescent="0.25">
      <c r="A11" s="22" t="s">
        <v>35</v>
      </c>
      <c r="B11" s="21">
        <v>55070100</v>
      </c>
      <c r="C11" s="11">
        <v>42741</v>
      </c>
      <c r="D11" s="10">
        <v>763.59</v>
      </c>
      <c r="E11" s="10">
        <v>14.49</v>
      </c>
      <c r="F11" s="10">
        <v>0</v>
      </c>
      <c r="G11" s="10">
        <v>0</v>
      </c>
      <c r="H11" s="9">
        <f>D11+F11+'08-20-20'!H11</f>
        <v>3966.28</v>
      </c>
      <c r="I11" s="9">
        <f>E11+G11+'08-20-20'!I11</f>
        <v>75.33</v>
      </c>
      <c r="J11" s="9">
        <f t="shared" si="0"/>
        <v>4041.61</v>
      </c>
      <c r="K11" s="9">
        <f t="shared" si="1"/>
        <v>38699.39</v>
      </c>
      <c r="L11" s="9">
        <f t="shared" si="2"/>
        <v>21666.890714285772</v>
      </c>
    </row>
    <row r="12" spans="1:13" s="8" customFormat="1" ht="11.25" customHeight="1" x14ac:dyDescent="0.25">
      <c r="A12" s="22" t="s">
        <v>34</v>
      </c>
      <c r="B12" s="21">
        <v>55080100</v>
      </c>
      <c r="C12" s="11">
        <v>23173</v>
      </c>
      <c r="D12" s="10">
        <v>301.95999999999998</v>
      </c>
      <c r="E12" s="10">
        <v>5.73</v>
      </c>
      <c r="F12" s="10">
        <v>0</v>
      </c>
      <c r="G12" s="10">
        <v>0</v>
      </c>
      <c r="H12" s="9">
        <f>D12+F12+'08-20-20'!H12</f>
        <v>2073.12</v>
      </c>
      <c r="I12" s="9">
        <f>E12+G12+'08-20-20'!I12</f>
        <v>39.36</v>
      </c>
      <c r="J12" s="9">
        <f t="shared" si="0"/>
        <v>2112.48</v>
      </c>
      <c r="K12" s="9">
        <f t="shared" si="1"/>
        <v>21060.52</v>
      </c>
      <c r="L12" s="9">
        <f t="shared" si="2"/>
        <v>12157.925714285746</v>
      </c>
    </row>
    <row r="13" spans="1:13" s="44" customFormat="1" ht="11.25" customHeight="1" x14ac:dyDescent="0.25">
      <c r="A13" s="53" t="s">
        <v>33</v>
      </c>
      <c r="B13" s="12">
        <v>55190000</v>
      </c>
      <c r="C13" s="11">
        <v>6000</v>
      </c>
      <c r="D13" s="10">
        <v>0</v>
      </c>
      <c r="E13" s="10">
        <v>0</v>
      </c>
      <c r="F13" s="10">
        <v>0</v>
      </c>
      <c r="G13" s="10">
        <v>0</v>
      </c>
      <c r="H13" s="9">
        <f>D13+F13+'08-20-20'!H13</f>
        <v>0</v>
      </c>
      <c r="I13" s="9">
        <f>E13+G13+'08-20-20'!I13</f>
        <v>0</v>
      </c>
      <c r="J13" s="9">
        <f t="shared" si="0"/>
        <v>0</v>
      </c>
      <c r="K13" s="9">
        <f t="shared" si="1"/>
        <v>6000</v>
      </c>
      <c r="L13" s="9">
        <f t="shared" si="2"/>
        <v>6000</v>
      </c>
    </row>
    <row r="14" spans="1:13" ht="21.6" customHeight="1" thickBot="1" x14ac:dyDescent="0.3">
      <c r="A14" s="155" t="s">
        <v>32</v>
      </c>
      <c r="B14" s="156"/>
      <c r="C14" s="49">
        <f t="shared" ref="C14:L14" si="3">SUM(C3:C13)</f>
        <v>194070</v>
      </c>
      <c r="D14" s="7">
        <f t="shared" si="3"/>
        <v>2128.6999999999998</v>
      </c>
      <c r="E14" s="7">
        <f t="shared" si="3"/>
        <v>40.370000000000005</v>
      </c>
      <c r="F14" s="7">
        <f t="shared" si="3"/>
        <v>0</v>
      </c>
      <c r="G14" s="7">
        <f t="shared" si="3"/>
        <v>0</v>
      </c>
      <c r="H14" s="7">
        <f t="shared" si="3"/>
        <v>18077.090000000004</v>
      </c>
      <c r="I14" s="7">
        <f t="shared" si="3"/>
        <v>343.28000000000003</v>
      </c>
      <c r="J14" s="49">
        <f t="shared" si="3"/>
        <v>18420.370000000003</v>
      </c>
      <c r="K14" s="49">
        <f t="shared" si="3"/>
        <v>175649.63</v>
      </c>
      <c r="L14" s="7">
        <f t="shared" si="3"/>
        <v>98020.927857143135</v>
      </c>
    </row>
    <row r="15" spans="1:13" ht="11.25" customHeight="1" x14ac:dyDescent="0.25">
      <c r="A15" s="52"/>
      <c r="B15" s="41"/>
      <c r="C15" s="40"/>
      <c r="D15" s="40"/>
      <c r="E15" s="40"/>
      <c r="F15" s="40"/>
      <c r="G15" s="40"/>
      <c r="H15" s="39"/>
      <c r="I15" s="39"/>
      <c r="J15" s="39"/>
      <c r="K15" s="39"/>
      <c r="L15" s="51"/>
    </row>
    <row r="16" spans="1:13" ht="11.25" customHeight="1" thickBot="1" x14ac:dyDescent="0.3">
      <c r="A16" s="38"/>
      <c r="B16" s="37"/>
      <c r="C16" s="36"/>
      <c r="D16" s="36"/>
      <c r="E16" s="36"/>
      <c r="F16" s="36"/>
      <c r="G16" s="36"/>
      <c r="H16" s="35"/>
      <c r="I16" s="35"/>
      <c r="J16" s="35"/>
      <c r="K16" s="35"/>
      <c r="L16" s="50"/>
    </row>
    <row r="17" spans="1:13" s="8" customFormat="1" ht="11.45" customHeight="1" x14ac:dyDescent="0.25">
      <c r="A17" s="13" t="s">
        <v>31</v>
      </c>
      <c r="B17" s="12">
        <v>55090100</v>
      </c>
      <c r="C17" s="11">
        <v>26923</v>
      </c>
      <c r="D17" s="10">
        <v>0</v>
      </c>
      <c r="E17" s="10">
        <v>0</v>
      </c>
      <c r="F17" s="10">
        <v>1200</v>
      </c>
      <c r="G17" s="10">
        <v>62.4</v>
      </c>
      <c r="H17" s="9">
        <f>D17+F17+'08-20-20'!H17</f>
        <v>5415</v>
      </c>
      <c r="I17" s="9">
        <f>E17+G17+'08-20-20'!I17</f>
        <v>281.57</v>
      </c>
      <c r="J17" s="9">
        <f t="shared" ref="J17:J19" si="4">H17+I17</f>
        <v>5696.57</v>
      </c>
      <c r="K17" s="9">
        <f>C17-J17</f>
        <v>21226.43</v>
      </c>
      <c r="L17" s="9">
        <f t="shared" ref="L17:L19" si="5">C17-((J17/5)*26.0714285714285)</f>
        <v>-2780.5435714284831</v>
      </c>
    </row>
    <row r="18" spans="1:13" s="8" customFormat="1" ht="11.45" customHeight="1" x14ac:dyDescent="0.25">
      <c r="A18" s="22" t="s">
        <v>30</v>
      </c>
      <c r="B18" s="21">
        <v>55160100</v>
      </c>
      <c r="C18" s="11">
        <v>16062</v>
      </c>
      <c r="D18" s="9">
        <v>0</v>
      </c>
      <c r="E18" s="9">
        <v>0</v>
      </c>
      <c r="F18" s="10">
        <v>0</v>
      </c>
      <c r="G18" s="10">
        <v>0</v>
      </c>
      <c r="H18" s="9">
        <f>D18+F18+'08-20-20'!H18</f>
        <v>0</v>
      </c>
      <c r="I18" s="9">
        <f>E18+G18+'08-20-20'!I18</f>
        <v>0</v>
      </c>
      <c r="J18" s="9">
        <f t="shared" si="4"/>
        <v>0</v>
      </c>
      <c r="K18" s="9">
        <f t="shared" ref="K18:K19" si="6">C18-J18</f>
        <v>16062</v>
      </c>
      <c r="L18" s="9">
        <f t="shared" si="5"/>
        <v>16062</v>
      </c>
    </row>
    <row r="19" spans="1:13" s="8" customFormat="1" ht="11.45" customHeight="1" x14ac:dyDescent="0.25">
      <c r="A19" s="13" t="s">
        <v>29</v>
      </c>
      <c r="B19" s="12">
        <v>55100100</v>
      </c>
      <c r="C19" s="11">
        <v>2026</v>
      </c>
      <c r="D19" s="10">
        <v>102.72</v>
      </c>
      <c r="E19" s="10">
        <v>1.94</v>
      </c>
      <c r="F19" s="10">
        <v>0</v>
      </c>
      <c r="G19" s="10">
        <v>0</v>
      </c>
      <c r="H19" s="9">
        <f>D19+F19+'08-20-20'!H19</f>
        <v>243.1</v>
      </c>
      <c r="I19" s="9">
        <f>E19+G19+'08-20-20'!I19</f>
        <v>3.7349999999999994</v>
      </c>
      <c r="J19" s="9">
        <f t="shared" si="4"/>
        <v>246.83499999999998</v>
      </c>
      <c r="K19" s="9">
        <f t="shared" si="6"/>
        <v>1779.165</v>
      </c>
      <c r="L19" s="9">
        <f t="shared" si="5"/>
        <v>738.93178571428939</v>
      </c>
    </row>
    <row r="20" spans="1:13" ht="21.6" customHeight="1" thickBot="1" x14ac:dyDescent="0.3">
      <c r="A20" s="155" t="s">
        <v>28</v>
      </c>
      <c r="B20" s="156"/>
      <c r="C20" s="7">
        <f t="shared" ref="C20:L20" si="7">SUM(C17:C19)</f>
        <v>45011</v>
      </c>
      <c r="D20" s="7">
        <f t="shared" si="7"/>
        <v>102.72</v>
      </c>
      <c r="E20" s="7">
        <f t="shared" si="7"/>
        <v>1.94</v>
      </c>
      <c r="F20" s="7">
        <f t="shared" si="7"/>
        <v>1200</v>
      </c>
      <c r="G20" s="7">
        <f t="shared" si="7"/>
        <v>62.4</v>
      </c>
      <c r="H20" s="7">
        <f t="shared" si="7"/>
        <v>5658.1</v>
      </c>
      <c r="I20" s="7">
        <f t="shared" si="7"/>
        <v>285.30500000000001</v>
      </c>
      <c r="J20" s="49">
        <f t="shared" si="7"/>
        <v>5943.4049999999997</v>
      </c>
      <c r="K20" s="7">
        <f t="shared" si="7"/>
        <v>39067.595000000001</v>
      </c>
      <c r="L20" s="7">
        <f t="shared" si="7"/>
        <v>14020.388214285806</v>
      </c>
    </row>
    <row r="21" spans="1:13" ht="11.25" customHeight="1" x14ac:dyDescent="0.25">
      <c r="A21" s="42"/>
      <c r="B21" s="41"/>
      <c r="C21" s="40"/>
      <c r="D21" s="39"/>
      <c r="E21" s="39"/>
      <c r="F21" s="39"/>
      <c r="G21" s="39"/>
      <c r="H21" s="39"/>
      <c r="I21" s="39"/>
      <c r="J21" s="39"/>
      <c r="K21" s="39"/>
      <c r="L21" s="51"/>
    </row>
    <row r="22" spans="1:13" ht="11.25" customHeight="1" thickBot="1" x14ac:dyDescent="0.3">
      <c r="A22" s="38"/>
      <c r="B22" s="37"/>
      <c r="C22" s="36"/>
      <c r="D22" s="35"/>
      <c r="E22" s="35"/>
      <c r="F22" s="35"/>
      <c r="G22" s="35"/>
      <c r="H22" s="35"/>
      <c r="I22" s="35"/>
      <c r="J22" s="35"/>
      <c r="K22" s="35"/>
      <c r="L22" s="50"/>
    </row>
    <row r="23" spans="1:13" s="44" customFormat="1" ht="11.45" customHeight="1" x14ac:dyDescent="0.25">
      <c r="A23" s="13" t="s">
        <v>27</v>
      </c>
      <c r="B23" s="12">
        <v>55200000</v>
      </c>
      <c r="C23" s="11">
        <v>25000</v>
      </c>
      <c r="D23" s="10">
        <v>446.25</v>
      </c>
      <c r="E23" s="10">
        <v>8.4700000000000006</v>
      </c>
      <c r="F23" s="10">
        <v>0</v>
      </c>
      <c r="G23" s="10">
        <v>0</v>
      </c>
      <c r="H23" s="9">
        <f>D23+F23+'08-20-20'!H23</f>
        <v>2598.75</v>
      </c>
      <c r="I23" s="9">
        <f>E23+G23+'08-20-20'!I23</f>
        <v>49.349999999999994</v>
      </c>
      <c r="J23" s="9">
        <f t="shared" ref="J23:J25" si="8">H23+I23</f>
        <v>2648.1</v>
      </c>
      <c r="K23" s="9">
        <f>C23-J23</f>
        <v>22351.9</v>
      </c>
      <c r="L23" s="9">
        <f t="shared" ref="L23:L25" si="9">C23-((J23/5)*26.0714285714285)</f>
        <v>11192.050000000039</v>
      </c>
      <c r="M23" s="31"/>
    </row>
    <row r="24" spans="1:13" s="44" customFormat="1" ht="11.45" hidden="1" customHeight="1" x14ac:dyDescent="0.25">
      <c r="A24" s="13" t="s">
        <v>26</v>
      </c>
      <c r="B24" s="48" t="s">
        <v>25</v>
      </c>
      <c r="C24" s="84">
        <v>0</v>
      </c>
      <c r="D24" s="45"/>
      <c r="E24" s="45"/>
      <c r="F24" s="45"/>
      <c r="G24" s="45"/>
      <c r="H24" s="9">
        <f>D24+F24+'08-20-20'!H24</f>
        <v>0</v>
      </c>
      <c r="I24" s="9">
        <f>E24+G24+'08-20-20'!I24</f>
        <v>-9.9999999999997868E-3</v>
      </c>
      <c r="J24" s="9">
        <f t="shared" si="8"/>
        <v>-9.9999999999997868E-3</v>
      </c>
      <c r="K24" s="75">
        <f t="shared" ref="K24:K25" si="10">C24-J24</f>
        <v>9.9999999999997868E-3</v>
      </c>
      <c r="L24" s="9">
        <f t="shared" si="9"/>
        <v>5.2142857142855888E-2</v>
      </c>
      <c r="M24" s="31"/>
    </row>
    <row r="25" spans="1:13" s="44" customFormat="1" ht="10.9" customHeight="1" x14ac:dyDescent="0.25">
      <c r="A25" s="28" t="s">
        <v>24</v>
      </c>
      <c r="B25" s="47" t="s">
        <v>23</v>
      </c>
      <c r="C25" s="46">
        <v>0</v>
      </c>
      <c r="D25" s="45">
        <v>0</v>
      </c>
      <c r="E25" s="45">
        <v>0</v>
      </c>
      <c r="F25" s="45">
        <v>0</v>
      </c>
      <c r="G25" s="45">
        <v>0</v>
      </c>
      <c r="H25" s="9">
        <f>D25+F25+'08-20-20'!H25</f>
        <v>0</v>
      </c>
      <c r="I25" s="9">
        <f>E25+G25+'08-20-20'!I25</f>
        <v>0</v>
      </c>
      <c r="J25" s="9">
        <f t="shared" si="8"/>
        <v>0</v>
      </c>
      <c r="K25" s="9">
        <f t="shared" si="10"/>
        <v>0</v>
      </c>
      <c r="L25" s="9">
        <f t="shared" si="9"/>
        <v>0</v>
      </c>
    </row>
    <row r="26" spans="1:13" ht="24.75" customHeight="1" thickBot="1" x14ac:dyDescent="0.3">
      <c r="A26" s="157" t="s">
        <v>22</v>
      </c>
      <c r="B26" s="158"/>
      <c r="C26" s="43">
        <f>SUM(C23:C24)</f>
        <v>25000</v>
      </c>
      <c r="D26" s="43">
        <f t="shared" ref="D26:L26" si="11">SUM(D23:D25)</f>
        <v>446.25</v>
      </c>
      <c r="E26" s="43">
        <f t="shared" si="11"/>
        <v>8.4700000000000006</v>
      </c>
      <c r="F26" s="43">
        <f t="shared" si="11"/>
        <v>0</v>
      </c>
      <c r="G26" s="43">
        <f t="shared" si="11"/>
        <v>0</v>
      </c>
      <c r="H26" s="43">
        <f t="shared" si="11"/>
        <v>2598.75</v>
      </c>
      <c r="I26" s="43">
        <f t="shared" si="11"/>
        <v>49.339999999999996</v>
      </c>
      <c r="J26" s="43">
        <f t="shared" si="11"/>
        <v>2648.0899999999997</v>
      </c>
      <c r="K26" s="43">
        <f t="shared" si="11"/>
        <v>22351.91</v>
      </c>
      <c r="L26" s="34">
        <f t="shared" si="11"/>
        <v>11192.102142857182</v>
      </c>
    </row>
    <row r="27" spans="1:13" ht="11.25" customHeight="1" x14ac:dyDescent="0.25">
      <c r="A27" s="42"/>
      <c r="B27" s="41"/>
      <c r="C27" s="40"/>
      <c r="D27" s="40"/>
      <c r="E27" s="40"/>
      <c r="F27" s="40"/>
      <c r="G27" s="40"/>
      <c r="H27" s="39"/>
      <c r="I27" s="39"/>
      <c r="J27" s="39"/>
      <c r="K27" s="39"/>
      <c r="L27" s="39"/>
    </row>
    <row r="28" spans="1:13" ht="11.25" customHeight="1" thickBot="1" x14ac:dyDescent="0.3">
      <c r="A28" s="38"/>
      <c r="B28" s="37"/>
      <c r="C28" s="36"/>
      <c r="D28" s="36"/>
      <c r="E28" s="36"/>
      <c r="F28" s="36"/>
      <c r="G28" s="36"/>
      <c r="H28" s="35"/>
      <c r="I28" s="35"/>
      <c r="J28" s="35"/>
      <c r="K28" s="35"/>
      <c r="L28" s="35"/>
    </row>
    <row r="29" spans="1:13" ht="21.6" customHeight="1" x14ac:dyDescent="0.25">
      <c r="A29" s="159" t="s">
        <v>21</v>
      </c>
      <c r="B29" s="159"/>
      <c r="C29" s="34">
        <f t="shared" ref="C29:L29" si="12">C14+C20+C26</f>
        <v>264081</v>
      </c>
      <c r="D29" s="34">
        <f t="shared" si="12"/>
        <v>2677.6699999999996</v>
      </c>
      <c r="E29" s="34">
        <f t="shared" si="12"/>
        <v>50.78</v>
      </c>
      <c r="F29" s="34">
        <f t="shared" si="12"/>
        <v>1200</v>
      </c>
      <c r="G29" s="34">
        <f t="shared" si="12"/>
        <v>62.4</v>
      </c>
      <c r="H29" s="34">
        <f t="shared" si="12"/>
        <v>26333.940000000002</v>
      </c>
      <c r="I29" s="34">
        <f t="shared" si="12"/>
        <v>677.92500000000007</v>
      </c>
      <c r="J29" s="34">
        <f t="shared" si="12"/>
        <v>27011.865000000002</v>
      </c>
      <c r="K29" s="34">
        <f t="shared" si="12"/>
        <v>237069.13500000001</v>
      </c>
      <c r="L29" s="34">
        <f t="shared" si="12"/>
        <v>123233.41821428612</v>
      </c>
    </row>
    <row r="30" spans="1:13" ht="10.9" customHeight="1" x14ac:dyDescent="0.25">
      <c r="A30" s="17"/>
      <c r="B30" s="16"/>
      <c r="C30" s="14"/>
      <c r="D30" s="15"/>
      <c r="E30" s="15"/>
      <c r="F30" s="15"/>
      <c r="G30" s="15"/>
      <c r="H30" s="14"/>
      <c r="I30" s="14"/>
      <c r="J30" s="14"/>
      <c r="K30" s="14"/>
      <c r="L30" s="14"/>
    </row>
    <row r="31" spans="1:13" ht="11.25" customHeight="1" x14ac:dyDescent="0.25">
      <c r="A31" s="17"/>
      <c r="B31" s="16"/>
      <c r="C31" s="14"/>
      <c r="D31" s="15"/>
      <c r="E31" s="15"/>
      <c r="F31" s="15"/>
      <c r="G31" s="15"/>
      <c r="H31" s="14"/>
      <c r="I31" s="14"/>
      <c r="J31" s="14"/>
      <c r="K31" s="14"/>
      <c r="L31" s="14"/>
    </row>
    <row r="32" spans="1:13" s="30" customFormat="1" ht="11.25" customHeight="1" x14ac:dyDescent="0.25">
      <c r="A32" s="28" t="s">
        <v>20</v>
      </c>
      <c r="B32" s="90" t="s">
        <v>19</v>
      </c>
      <c r="C32" s="11">
        <v>0</v>
      </c>
      <c r="D32" s="91">
        <v>0</v>
      </c>
      <c r="E32" s="91">
        <v>0</v>
      </c>
      <c r="F32" s="91">
        <v>0</v>
      </c>
      <c r="G32" s="91">
        <v>0</v>
      </c>
      <c r="H32" s="9">
        <f>D32+F32+'08-20-20'!H32</f>
        <v>0</v>
      </c>
      <c r="I32" s="9">
        <f>E32+G32+'08-20-20'!I32</f>
        <v>0</v>
      </c>
      <c r="J32" s="11">
        <f t="shared" ref="J32:J46" si="13">H32+I32</f>
        <v>0</v>
      </c>
      <c r="K32" s="11">
        <f>C32-J32</f>
        <v>0</v>
      </c>
      <c r="L32" s="9">
        <f t="shared" ref="L32:L47" si="14">C32-((J32/5)*26.0714285714285)</f>
        <v>0</v>
      </c>
    </row>
    <row r="33" spans="1:13" s="30" customFormat="1" ht="12" customHeight="1" x14ac:dyDescent="0.25">
      <c r="A33" s="32" t="s">
        <v>123</v>
      </c>
      <c r="B33" s="12" t="s">
        <v>55</v>
      </c>
      <c r="C33" s="11">
        <f>2795.22+12000</f>
        <v>14795.22</v>
      </c>
      <c r="D33" s="91">
        <v>0</v>
      </c>
      <c r="E33" s="91">
        <v>0</v>
      </c>
      <c r="F33" s="91">
        <v>0</v>
      </c>
      <c r="G33" s="91">
        <v>0</v>
      </c>
      <c r="H33" s="9">
        <f>D33+F33+'08-20-20'!H33</f>
        <v>2612</v>
      </c>
      <c r="I33" s="9">
        <f>E33+G33+'08-20-20'!I33</f>
        <v>84.06</v>
      </c>
      <c r="J33" s="11">
        <f t="shared" si="13"/>
        <v>2696.06</v>
      </c>
      <c r="K33" s="11">
        <f>C33-J33</f>
        <v>12099.16</v>
      </c>
      <c r="L33" s="9">
        <f t="shared" si="14"/>
        <v>737.19285714289617</v>
      </c>
    </row>
    <row r="34" spans="1:13" s="30" customFormat="1" ht="11.25" hidden="1" customHeight="1" x14ac:dyDescent="0.25">
      <c r="A34" s="32" t="s">
        <v>18</v>
      </c>
      <c r="B34" s="90" t="s">
        <v>17</v>
      </c>
      <c r="C34" s="85">
        <v>0</v>
      </c>
      <c r="D34" s="91"/>
      <c r="E34" s="91"/>
      <c r="F34" s="91"/>
      <c r="G34" s="91"/>
      <c r="H34" s="9">
        <f>D34+F34+'08-20-20'!H34</f>
        <v>0</v>
      </c>
      <c r="I34" s="9">
        <f>E34+G34+'08-20-20'!I34</f>
        <v>-1.0000000000005116E-2</v>
      </c>
      <c r="J34" s="11">
        <f t="shared" si="13"/>
        <v>-1.0000000000005116E-2</v>
      </c>
      <c r="K34" s="11">
        <f t="shared" ref="K34:K46" si="15">C34-J34</f>
        <v>1.0000000000005116E-2</v>
      </c>
      <c r="L34" s="9">
        <f t="shared" si="14"/>
        <v>5.2142857142883671E-2</v>
      </c>
    </row>
    <row r="35" spans="1:13" s="26" customFormat="1" ht="11.25" customHeight="1" x14ac:dyDescent="0.25">
      <c r="A35" s="28" t="s">
        <v>16</v>
      </c>
      <c r="B35" s="21" t="s">
        <v>15</v>
      </c>
      <c r="C35" s="11">
        <v>0</v>
      </c>
      <c r="D35" s="11">
        <v>0</v>
      </c>
      <c r="E35" s="11">
        <v>0</v>
      </c>
      <c r="F35" s="11">
        <v>0</v>
      </c>
      <c r="G35" s="11">
        <v>0</v>
      </c>
      <c r="H35" s="9">
        <f>D35+F35+'08-20-20'!H35</f>
        <v>0</v>
      </c>
      <c r="I35" s="9">
        <f>E35+G35+'08-20-20'!I35</f>
        <v>0</v>
      </c>
      <c r="J35" s="11">
        <f t="shared" si="13"/>
        <v>0</v>
      </c>
      <c r="K35" s="11">
        <f t="shared" si="15"/>
        <v>0</v>
      </c>
      <c r="L35" s="9">
        <f t="shared" si="14"/>
        <v>0</v>
      </c>
    </row>
    <row r="36" spans="1:13" s="26" customFormat="1" ht="11.25" customHeight="1" x14ac:dyDescent="0.25">
      <c r="A36" s="28" t="s">
        <v>14</v>
      </c>
      <c r="B36" s="21" t="s">
        <v>13</v>
      </c>
      <c r="C36" s="11">
        <v>0</v>
      </c>
      <c r="D36" s="131">
        <v>66.84</v>
      </c>
      <c r="E36" s="131">
        <v>1.26</v>
      </c>
      <c r="F36" s="11">
        <v>0</v>
      </c>
      <c r="G36" s="11">
        <v>0</v>
      </c>
      <c r="H36" s="9">
        <f>D36+F36+'08-20-20'!H36</f>
        <v>280.26</v>
      </c>
      <c r="I36" s="9">
        <f>E36+G36+'08-20-20'!I36</f>
        <v>5.31</v>
      </c>
      <c r="J36" s="11">
        <f t="shared" si="13"/>
        <v>285.57</v>
      </c>
      <c r="K36" s="86">
        <f t="shared" si="15"/>
        <v>-285.57</v>
      </c>
      <c r="L36" s="9">
        <f t="shared" si="14"/>
        <v>-1489.0435714285672</v>
      </c>
      <c r="M36" s="23"/>
    </row>
    <row r="37" spans="1:13" s="26" customFormat="1" ht="11.25" customHeight="1" x14ac:dyDescent="0.25">
      <c r="A37" s="28" t="s">
        <v>12</v>
      </c>
      <c r="B37" s="21">
        <v>55110000</v>
      </c>
      <c r="C37" s="11">
        <v>2659</v>
      </c>
      <c r="D37" s="11">
        <v>0</v>
      </c>
      <c r="E37" s="11">
        <v>0</v>
      </c>
      <c r="F37" s="11">
        <v>0</v>
      </c>
      <c r="G37" s="11">
        <v>0</v>
      </c>
      <c r="H37" s="9">
        <f>D37+F37+'08-20-20'!H37</f>
        <v>0</v>
      </c>
      <c r="I37" s="9">
        <f>E37+G37+'08-20-20'!I37</f>
        <v>0</v>
      </c>
      <c r="J37" s="11">
        <f t="shared" si="13"/>
        <v>0</v>
      </c>
      <c r="K37" s="11">
        <f t="shared" si="15"/>
        <v>2659</v>
      </c>
      <c r="L37" s="9">
        <f t="shared" si="14"/>
        <v>2659</v>
      </c>
      <c r="M37" s="23"/>
    </row>
    <row r="38" spans="1:13" s="26" customFormat="1" ht="11.45" customHeight="1" x14ac:dyDescent="0.25">
      <c r="A38" s="28" t="s">
        <v>11</v>
      </c>
      <c r="B38" s="90" t="s">
        <v>10</v>
      </c>
      <c r="C38" s="11">
        <v>0</v>
      </c>
      <c r="D38" s="91">
        <v>0</v>
      </c>
      <c r="E38" s="91">
        <v>0</v>
      </c>
      <c r="F38" s="91">
        <v>0</v>
      </c>
      <c r="G38" s="91">
        <v>0</v>
      </c>
      <c r="H38" s="9">
        <f>D38+F38+'08-20-20'!H38</f>
        <v>0</v>
      </c>
      <c r="I38" s="9">
        <f>E38+G38+'08-20-20'!I38</f>
        <v>0</v>
      </c>
      <c r="J38" s="11">
        <f t="shared" si="13"/>
        <v>0</v>
      </c>
      <c r="K38" s="11">
        <f t="shared" si="15"/>
        <v>0</v>
      </c>
      <c r="L38" s="9">
        <f t="shared" si="14"/>
        <v>0</v>
      </c>
    </row>
    <row r="39" spans="1:13" s="26" customFormat="1" ht="11.45" customHeight="1" x14ac:dyDescent="0.25">
      <c r="A39" s="25" t="s">
        <v>68</v>
      </c>
      <c r="B39" s="24" t="s">
        <v>69</v>
      </c>
      <c r="C39" s="11">
        <v>1500</v>
      </c>
      <c r="D39" s="11">
        <v>104.08</v>
      </c>
      <c r="E39" s="11">
        <v>1.97</v>
      </c>
      <c r="F39" s="11">
        <v>0</v>
      </c>
      <c r="G39" s="11">
        <v>0</v>
      </c>
      <c r="H39" s="9">
        <f>D39+F39+'08-20-20'!H39</f>
        <v>377.4</v>
      </c>
      <c r="I39" s="9">
        <f>E39+G39+'08-20-20'!I39</f>
        <v>6.9870000000000001</v>
      </c>
      <c r="J39" s="11">
        <f t="shared" si="13"/>
        <v>384.387</v>
      </c>
      <c r="K39" s="11">
        <f t="shared" si="15"/>
        <v>1115.6130000000001</v>
      </c>
      <c r="L39" s="9">
        <f t="shared" si="14"/>
        <v>-504.30364285713699</v>
      </c>
    </row>
    <row r="40" spans="1:13" s="23" customFormat="1" ht="11.45" customHeight="1" x14ac:dyDescent="0.25">
      <c r="A40" s="25" t="s">
        <v>61</v>
      </c>
      <c r="B40" s="24" t="s">
        <v>62</v>
      </c>
      <c r="C40" s="11">
        <v>9800</v>
      </c>
      <c r="D40" s="11">
        <v>0</v>
      </c>
      <c r="E40" s="11">
        <v>0</v>
      </c>
      <c r="F40" s="11">
        <v>750</v>
      </c>
      <c r="G40" s="11">
        <v>38.99</v>
      </c>
      <c r="H40" s="9">
        <f>D40+F40+'08-20-20'!H40</f>
        <v>3582</v>
      </c>
      <c r="I40" s="9">
        <f>E40+G40+'08-20-20'!I40</f>
        <v>186.23999999999998</v>
      </c>
      <c r="J40" s="11">
        <f>H40+I40</f>
        <v>3768.24</v>
      </c>
      <c r="K40" s="11">
        <f>C40-J40</f>
        <v>6031.76</v>
      </c>
      <c r="L40" s="9">
        <f t="shared" si="14"/>
        <v>-9848.6799999999421</v>
      </c>
    </row>
    <row r="41" spans="1:13" s="23" customFormat="1" ht="11.45" customHeight="1" x14ac:dyDescent="0.25">
      <c r="A41" s="25" t="s">
        <v>59</v>
      </c>
      <c r="B41" s="24" t="s">
        <v>60</v>
      </c>
      <c r="C41" s="11">
        <v>2453.12</v>
      </c>
      <c r="D41" s="11">
        <v>0</v>
      </c>
      <c r="E41" s="11">
        <v>0</v>
      </c>
      <c r="F41" s="11">
        <v>0</v>
      </c>
      <c r="G41" s="11">
        <v>0</v>
      </c>
      <c r="H41" s="9">
        <f>D41+F41+'08-20-20'!H41</f>
        <v>640.33000000000004</v>
      </c>
      <c r="I41" s="9">
        <f>E41+G41+'08-20-20'!I41</f>
        <v>12.16</v>
      </c>
      <c r="J41" s="11">
        <f>H41+I41</f>
        <v>652.49</v>
      </c>
      <c r="K41" s="11">
        <f>C41-J41</f>
        <v>1800.6299999999999</v>
      </c>
      <c r="L41" s="9">
        <f t="shared" si="14"/>
        <v>-949.14928571427617</v>
      </c>
    </row>
    <row r="42" spans="1:13" s="23" customFormat="1" ht="11.45" customHeight="1" x14ac:dyDescent="0.25">
      <c r="A42" s="25" t="s">
        <v>70</v>
      </c>
      <c r="B42" s="24" t="s">
        <v>71</v>
      </c>
      <c r="C42" s="11">
        <v>5600</v>
      </c>
      <c r="D42" s="11">
        <v>306.13</v>
      </c>
      <c r="E42" s="11">
        <v>5.81</v>
      </c>
      <c r="F42" s="11">
        <v>0</v>
      </c>
      <c r="G42" s="11">
        <v>0</v>
      </c>
      <c r="H42" s="9">
        <f>D42+F42+'08-20-20'!H42</f>
        <v>1258.33</v>
      </c>
      <c r="I42" s="9">
        <f>E42+G42+'08-20-20'!I42</f>
        <v>23.889999999999997</v>
      </c>
      <c r="J42" s="11">
        <f t="shared" ref="J42" si="16">H42+I42</f>
        <v>1282.22</v>
      </c>
      <c r="K42" s="11">
        <f t="shared" ref="K42" si="17">C42-J42</f>
        <v>4317.78</v>
      </c>
      <c r="L42" s="9">
        <f t="shared" si="14"/>
        <v>-1085.8614285714102</v>
      </c>
    </row>
    <row r="43" spans="1:13" s="23" customFormat="1" ht="11.45" customHeight="1" x14ac:dyDescent="0.25">
      <c r="A43" s="25" t="s">
        <v>7</v>
      </c>
      <c r="B43" s="24" t="s">
        <v>6</v>
      </c>
      <c r="C43" s="11">
        <v>0</v>
      </c>
      <c r="D43" s="11">
        <v>0</v>
      </c>
      <c r="E43" s="11">
        <v>0</v>
      </c>
      <c r="F43" s="11">
        <v>0</v>
      </c>
      <c r="G43" s="11">
        <v>0</v>
      </c>
      <c r="H43" s="9">
        <f>D43+F43+'08-20-20'!H43</f>
        <v>0</v>
      </c>
      <c r="I43" s="9">
        <f>E43+G43+'08-20-20'!I43</f>
        <v>0</v>
      </c>
      <c r="J43" s="11">
        <f>H43+I43</f>
        <v>0</v>
      </c>
      <c r="K43" s="11">
        <f>C43-J43</f>
        <v>0</v>
      </c>
      <c r="L43" s="9">
        <f t="shared" si="14"/>
        <v>0</v>
      </c>
    </row>
    <row r="44" spans="1:13" s="23" customFormat="1" ht="11.45" customHeight="1" x14ac:dyDescent="0.25">
      <c r="A44" s="25" t="s">
        <v>9</v>
      </c>
      <c r="B44" s="24" t="s">
        <v>8</v>
      </c>
      <c r="C44" s="11">
        <v>0</v>
      </c>
      <c r="D44" s="91">
        <v>0</v>
      </c>
      <c r="E44" s="91">
        <v>0</v>
      </c>
      <c r="F44" s="91">
        <v>0</v>
      </c>
      <c r="G44" s="91">
        <v>0</v>
      </c>
      <c r="H44" s="9">
        <f>D44+F44+'08-20-20'!H44</f>
        <v>0</v>
      </c>
      <c r="I44" s="9">
        <f>E44+G44+'08-20-20'!I44</f>
        <v>0</v>
      </c>
      <c r="J44" s="11">
        <f t="shared" si="13"/>
        <v>0</v>
      </c>
      <c r="K44" s="11">
        <f t="shared" si="15"/>
        <v>0</v>
      </c>
      <c r="L44" s="9">
        <f t="shared" si="14"/>
        <v>0</v>
      </c>
    </row>
    <row r="45" spans="1:13" s="23" customFormat="1" ht="11.45" customHeight="1" x14ac:dyDescent="0.25">
      <c r="A45" s="25" t="s">
        <v>63</v>
      </c>
      <c r="B45" s="24" t="s">
        <v>66</v>
      </c>
      <c r="C45" s="11">
        <v>1784.19</v>
      </c>
      <c r="D45" s="91">
        <v>0</v>
      </c>
      <c r="E45" s="91">
        <v>0</v>
      </c>
      <c r="F45" s="91">
        <v>320</v>
      </c>
      <c r="G45" s="91">
        <v>16.63</v>
      </c>
      <c r="H45" s="9">
        <f>D45+F45+'08-20-20'!H45</f>
        <v>1504</v>
      </c>
      <c r="I45" s="9">
        <f>E45+G45+'08-20-20'!I45</f>
        <v>78.179999999999993</v>
      </c>
      <c r="J45" s="11">
        <f t="shared" si="13"/>
        <v>1582.18</v>
      </c>
      <c r="K45" s="11">
        <f t="shared" si="15"/>
        <v>202.01</v>
      </c>
      <c r="L45" s="9">
        <f t="shared" si="14"/>
        <v>-6465.7485714285485</v>
      </c>
    </row>
    <row r="46" spans="1:13" s="23" customFormat="1" ht="11.45" hidden="1" customHeight="1" x14ac:dyDescent="0.25">
      <c r="A46" s="25" t="s">
        <v>64</v>
      </c>
      <c r="B46" s="24" t="s">
        <v>65</v>
      </c>
      <c r="C46" s="71"/>
      <c r="D46" s="91"/>
      <c r="E46" s="91"/>
      <c r="F46" s="91"/>
      <c r="G46" s="91"/>
      <c r="H46" s="9">
        <f>D46+F46+'08-20-20'!H46</f>
        <v>0</v>
      </c>
      <c r="I46" s="9">
        <f>E46+G46+'08-20-20'!I46</f>
        <v>0</v>
      </c>
      <c r="J46" s="11">
        <f t="shared" si="13"/>
        <v>0</v>
      </c>
      <c r="K46" s="11">
        <f t="shared" si="15"/>
        <v>0</v>
      </c>
      <c r="L46" s="9">
        <f t="shared" si="14"/>
        <v>0</v>
      </c>
    </row>
    <row r="47" spans="1:13" ht="11.25" customHeight="1" x14ac:dyDescent="0.25">
      <c r="A47" s="25" t="s">
        <v>57</v>
      </c>
      <c r="B47" s="24" t="s">
        <v>58</v>
      </c>
      <c r="C47" s="70">
        <v>843.44</v>
      </c>
      <c r="D47" s="70">
        <v>108.63</v>
      </c>
      <c r="E47" s="70">
        <v>2.0499999999999998</v>
      </c>
      <c r="F47" s="70">
        <v>0</v>
      </c>
      <c r="G47" s="70">
        <v>0</v>
      </c>
      <c r="H47" s="9">
        <f>D47+F47+'08-20-20'!H47</f>
        <v>545.97</v>
      </c>
      <c r="I47" s="9">
        <f>E47+G47+'08-20-20'!I47</f>
        <v>10.34</v>
      </c>
      <c r="J47" s="11">
        <f>H47+I47</f>
        <v>556.31000000000006</v>
      </c>
      <c r="K47" s="11">
        <f>C47-J47</f>
        <v>287.13</v>
      </c>
      <c r="L47" s="9">
        <f t="shared" si="14"/>
        <v>-2057.3192857142781</v>
      </c>
    </row>
    <row r="48" spans="1:13" ht="21.6" customHeight="1" x14ac:dyDescent="0.25">
      <c r="A48" s="153" t="s">
        <v>5</v>
      </c>
      <c r="B48" s="154"/>
      <c r="C48" s="7">
        <f t="shared" ref="C48:L48" si="18">SUM(C32:C47)</f>
        <v>39434.97</v>
      </c>
      <c r="D48" s="7">
        <f t="shared" si="18"/>
        <v>585.68000000000006</v>
      </c>
      <c r="E48" s="7">
        <f t="shared" si="18"/>
        <v>11.09</v>
      </c>
      <c r="F48" s="7">
        <f t="shared" si="18"/>
        <v>1070</v>
      </c>
      <c r="G48" s="7">
        <f t="shared" si="18"/>
        <v>55.620000000000005</v>
      </c>
      <c r="H48" s="7">
        <f t="shared" si="18"/>
        <v>10800.289999999999</v>
      </c>
      <c r="I48" s="7">
        <f t="shared" si="18"/>
        <v>407.15699999999998</v>
      </c>
      <c r="J48" s="7">
        <f t="shared" si="18"/>
        <v>11207.446999999998</v>
      </c>
      <c r="K48" s="7">
        <f t="shared" si="18"/>
        <v>28227.522999999997</v>
      </c>
      <c r="L48" s="7">
        <f t="shared" si="18"/>
        <v>-19003.860785714121</v>
      </c>
    </row>
    <row r="49" spans="1:12" ht="10.9" customHeight="1" x14ac:dyDescent="0.25">
      <c r="A49" s="17"/>
      <c r="B49" s="16"/>
      <c r="C49" s="14"/>
      <c r="D49" s="15"/>
      <c r="E49" s="15"/>
      <c r="F49" s="15"/>
      <c r="G49" s="15"/>
      <c r="H49" s="14"/>
      <c r="I49" s="14"/>
      <c r="J49" s="14"/>
      <c r="K49" s="14"/>
      <c r="L49" s="14"/>
    </row>
    <row r="50" spans="1:12" ht="10.9" customHeight="1" x14ac:dyDescent="0.25">
      <c r="A50" s="17"/>
      <c r="B50" s="16"/>
      <c r="C50" s="14"/>
      <c r="D50" s="15"/>
      <c r="E50" s="15"/>
      <c r="F50" s="15"/>
      <c r="G50" s="15"/>
      <c r="H50" s="14"/>
      <c r="I50" s="14"/>
      <c r="J50" s="14"/>
      <c r="K50" s="14"/>
      <c r="L50" s="14"/>
    </row>
    <row r="51" spans="1:12" s="92" customFormat="1" ht="10.9" customHeight="1" x14ac:dyDescent="0.25">
      <c r="A51" s="22" t="s">
        <v>4</v>
      </c>
      <c r="B51" s="29" t="s">
        <v>3</v>
      </c>
      <c r="C51" s="9">
        <v>62583</v>
      </c>
      <c r="D51" s="10">
        <f>77.04+941.03</f>
        <v>1018.0699999999999</v>
      </c>
      <c r="E51" s="10">
        <f>1.46+17.87</f>
        <v>19.330000000000002</v>
      </c>
      <c r="F51" s="10">
        <v>0</v>
      </c>
      <c r="G51" s="10">
        <v>0</v>
      </c>
      <c r="H51" s="9">
        <f>D51+F51+'08-20-20'!H51</f>
        <v>5408.7099999999991</v>
      </c>
      <c r="I51" s="9">
        <f>E51+G51+'08-20-20'!I51</f>
        <v>129.38200000000001</v>
      </c>
      <c r="J51" s="9">
        <f t="shared" ref="J51" si="19">H51+I51</f>
        <v>5538.0919999999987</v>
      </c>
      <c r="K51" s="9">
        <f>C51-J51</f>
        <v>57044.908000000003</v>
      </c>
      <c r="L51" s="9">
        <f>C51-((J51/5)*26.0714285714285)</f>
        <v>33705.806000000084</v>
      </c>
    </row>
    <row r="52" spans="1:12" ht="21.6" customHeight="1" x14ac:dyDescent="0.25">
      <c r="A52" s="20" t="s">
        <v>2</v>
      </c>
      <c r="B52" s="19"/>
      <c r="C52" s="18">
        <f t="shared" ref="C52:L52" si="20">C51</f>
        <v>62583</v>
      </c>
      <c r="D52" s="18">
        <f t="shared" si="20"/>
        <v>1018.0699999999999</v>
      </c>
      <c r="E52" s="18">
        <f t="shared" si="20"/>
        <v>19.330000000000002</v>
      </c>
      <c r="F52" s="18">
        <f t="shared" si="20"/>
        <v>0</v>
      </c>
      <c r="G52" s="18">
        <f t="shared" si="20"/>
        <v>0</v>
      </c>
      <c r="H52" s="18">
        <f t="shared" si="20"/>
        <v>5408.7099999999991</v>
      </c>
      <c r="I52" s="18">
        <f t="shared" si="20"/>
        <v>129.38200000000001</v>
      </c>
      <c r="J52" s="18">
        <f t="shared" si="20"/>
        <v>5538.0919999999987</v>
      </c>
      <c r="K52" s="18">
        <f t="shared" si="20"/>
        <v>57044.908000000003</v>
      </c>
      <c r="L52" s="18">
        <f t="shared" si="20"/>
        <v>33705.806000000084</v>
      </c>
    </row>
    <row r="53" spans="1:12" ht="10.9" customHeight="1" x14ac:dyDescent="0.25">
      <c r="A53" s="17"/>
      <c r="B53" s="16"/>
      <c r="C53" s="14"/>
      <c r="D53" s="15"/>
      <c r="E53" s="15"/>
      <c r="F53" s="15"/>
      <c r="G53" s="15"/>
      <c r="H53" s="14"/>
      <c r="I53" s="14"/>
      <c r="J53" s="14"/>
      <c r="K53" s="14"/>
      <c r="L53" s="14"/>
    </row>
    <row r="54" spans="1:12" ht="10.9" customHeight="1" x14ac:dyDescent="0.25">
      <c r="A54" s="17"/>
      <c r="B54" s="16"/>
      <c r="C54" s="14"/>
      <c r="D54" s="15"/>
      <c r="E54" s="15"/>
      <c r="F54" s="15"/>
      <c r="G54" s="15"/>
      <c r="H54" s="14"/>
      <c r="I54" s="14"/>
      <c r="J54" s="14"/>
      <c r="K54" s="14"/>
      <c r="L54" s="14"/>
    </row>
    <row r="55" spans="1:12" s="92" customFormat="1" ht="10.9" customHeight="1" x14ac:dyDescent="0.25">
      <c r="A55" s="13" t="s">
        <v>1</v>
      </c>
      <c r="B55" s="33">
        <v>55180000</v>
      </c>
      <c r="C55" s="9">
        <v>37736</v>
      </c>
      <c r="D55" s="10">
        <v>0</v>
      </c>
      <c r="E55" s="10">
        <v>0</v>
      </c>
      <c r="F55" s="10">
        <v>438.6</v>
      </c>
      <c r="G55" s="10">
        <v>22.8</v>
      </c>
      <c r="H55" s="9">
        <f>D55+F55+'08-20-20'!H55</f>
        <v>2076.04</v>
      </c>
      <c r="I55" s="9">
        <f>E55+G55+'08-20-20'!I55</f>
        <v>107.91999999999999</v>
      </c>
      <c r="J55" s="9">
        <f t="shared" ref="J55" si="21">H55+I55</f>
        <v>2183.96</v>
      </c>
      <c r="K55" s="9">
        <f>C55-J55</f>
        <v>35552.04</v>
      </c>
      <c r="L55" s="9">
        <f>C55-((J55/5)*26.0714285714285)</f>
        <v>26348.2085714286</v>
      </c>
    </row>
    <row r="56" spans="1:12" s="3" customFormat="1" ht="21.6" customHeight="1" x14ac:dyDescent="0.25">
      <c r="A56" s="153" t="s">
        <v>0</v>
      </c>
      <c r="B56" s="154"/>
      <c r="C56" s="7">
        <f t="shared" ref="C56:L56" si="22">SUM(C55)</f>
        <v>37736</v>
      </c>
      <c r="D56" s="7">
        <f t="shared" si="22"/>
        <v>0</v>
      </c>
      <c r="E56" s="7">
        <f t="shared" si="22"/>
        <v>0</v>
      </c>
      <c r="F56" s="7">
        <f t="shared" si="22"/>
        <v>438.6</v>
      </c>
      <c r="G56" s="7">
        <f t="shared" si="22"/>
        <v>22.8</v>
      </c>
      <c r="H56" s="7">
        <f t="shared" si="22"/>
        <v>2076.04</v>
      </c>
      <c r="I56" s="7">
        <f t="shared" si="22"/>
        <v>107.91999999999999</v>
      </c>
      <c r="J56" s="7">
        <f t="shared" si="22"/>
        <v>2183.96</v>
      </c>
      <c r="K56" s="7">
        <f t="shared" si="22"/>
        <v>35552.04</v>
      </c>
      <c r="L56" s="7">
        <f t="shared" si="22"/>
        <v>26348.2085714286</v>
      </c>
    </row>
    <row r="57" spans="1:12" s="3" customFormat="1" ht="11.25" customHeight="1" x14ac:dyDescent="0.25">
      <c r="A57" s="6"/>
      <c r="B57" s="5"/>
      <c r="C57" s="4"/>
      <c r="D57" s="4"/>
      <c r="E57" s="4"/>
      <c r="F57" s="4"/>
      <c r="G57" s="4"/>
      <c r="H57" s="4"/>
      <c r="I57" s="4"/>
      <c r="J57" s="4"/>
      <c r="K57" s="4"/>
      <c r="L57" s="4"/>
    </row>
    <row r="58" spans="1:12" s="2" customFormat="1" ht="10.5" customHeight="1" x14ac:dyDescent="0.25">
      <c r="A58" s="160" t="s">
        <v>72</v>
      </c>
      <c r="B58" s="160"/>
      <c r="C58" s="160"/>
      <c r="D58" s="160"/>
      <c r="E58" s="160"/>
      <c r="F58" s="160"/>
      <c r="G58" s="82">
        <v>12000</v>
      </c>
    </row>
    <row r="59" spans="1:12" s="2" customFormat="1" ht="10.5" customHeight="1" x14ac:dyDescent="0.25">
      <c r="A59" s="160" t="s">
        <v>73</v>
      </c>
      <c r="B59" s="160"/>
      <c r="C59" s="160"/>
      <c r="D59" s="160"/>
      <c r="E59" s="160"/>
      <c r="F59" s="160"/>
      <c r="G59" s="82">
        <v>5600</v>
      </c>
    </row>
    <row r="60" spans="1:12" ht="10.5" customHeight="1" x14ac:dyDescent="0.25">
      <c r="A60" s="160" t="s">
        <v>76</v>
      </c>
      <c r="B60" s="160"/>
      <c r="C60" s="160"/>
      <c r="D60" s="160"/>
      <c r="E60" s="160"/>
      <c r="F60" s="160"/>
      <c r="G60" s="82">
        <v>9800</v>
      </c>
    </row>
    <row r="61" spans="1:12" ht="10.5" customHeight="1" x14ac:dyDescent="0.25">
      <c r="A61" s="160" t="s">
        <v>75</v>
      </c>
      <c r="B61" s="160"/>
      <c r="C61" s="160"/>
      <c r="D61" s="160"/>
      <c r="E61" s="160"/>
      <c r="F61" s="160"/>
      <c r="G61" s="82">
        <v>1500</v>
      </c>
    </row>
    <row r="62" spans="1:12" ht="10.5" customHeight="1" x14ac:dyDescent="0.25">
      <c r="A62" s="160" t="s">
        <v>74</v>
      </c>
      <c r="B62" s="160"/>
      <c r="C62" s="160"/>
      <c r="D62" s="160"/>
      <c r="E62" s="160"/>
      <c r="F62" s="160"/>
      <c r="G62" s="82">
        <v>843.44</v>
      </c>
    </row>
    <row r="63" spans="1:12" ht="10.5" customHeight="1" x14ac:dyDescent="0.25">
      <c r="A63" s="160" t="s">
        <v>77</v>
      </c>
      <c r="B63" s="160"/>
      <c r="C63" s="160"/>
      <c r="D63" s="160"/>
      <c r="E63" s="160"/>
      <c r="F63" s="160"/>
      <c r="G63" s="82">
        <v>1784.19</v>
      </c>
    </row>
    <row r="64" spans="1:12" ht="10.5" customHeight="1" x14ac:dyDescent="0.25">
      <c r="A64" s="160" t="s">
        <v>78</v>
      </c>
      <c r="B64" s="160"/>
      <c r="C64" s="160"/>
      <c r="D64" s="160"/>
      <c r="E64" s="160"/>
      <c r="F64" s="160"/>
      <c r="G64" s="82">
        <v>2453.12</v>
      </c>
    </row>
  </sheetData>
  <mergeCells count="13">
    <mergeCell ref="A64:F64"/>
    <mergeCell ref="A58:F58"/>
    <mergeCell ref="A59:F59"/>
    <mergeCell ref="A60:F60"/>
    <mergeCell ref="A61:F61"/>
    <mergeCell ref="A62:F62"/>
    <mergeCell ref="A63:F63"/>
    <mergeCell ref="A56:B56"/>
    <mergeCell ref="A14:B14"/>
    <mergeCell ref="A20:B20"/>
    <mergeCell ref="A26:B26"/>
    <mergeCell ref="A29:B29"/>
    <mergeCell ref="A48:B48"/>
  </mergeCells>
  <pageMargins left="0.25" right="0" top="0.4" bottom="0" header="0.3" footer="0"/>
  <pageSetup scale="86" fitToWidth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M65"/>
  <sheetViews>
    <sheetView zoomScale="145" zoomScaleNormal="145" workbookViewId="0">
      <pane ySplit="2" topLeftCell="A25" activePane="bottomLeft" state="frozen"/>
      <selection pane="bottomLeft" activeCell="J36" sqref="J36"/>
    </sheetView>
  </sheetViews>
  <sheetFormatPr defaultColWidth="28" defaultRowHeight="15" x14ac:dyDescent="0.25"/>
  <cols>
    <col min="1" max="1" width="33.140625" style="1" bestFit="1" customWidth="1"/>
    <col min="2" max="2" width="18.7109375" style="1" bestFit="1" customWidth="1"/>
    <col min="3" max="3" width="10.42578125" style="77" customWidth="1"/>
    <col min="4" max="4" width="8.140625" style="2" bestFit="1" customWidth="1"/>
    <col min="5" max="5" width="6.28515625" style="2" bestFit="1" customWidth="1"/>
    <col min="6" max="6" width="8.28515625" style="2" bestFit="1" customWidth="1"/>
    <col min="7" max="7" width="8.7109375" style="2" bestFit="1" customWidth="1"/>
    <col min="8" max="8" width="9.28515625" style="2" bestFit="1" customWidth="1"/>
    <col min="9" max="9" width="10.7109375" style="2" bestFit="1" customWidth="1"/>
    <col min="10" max="10" width="9.7109375" style="2" bestFit="1" customWidth="1"/>
    <col min="11" max="11" width="11.140625" style="2" customWidth="1"/>
    <col min="12" max="12" width="13.42578125" style="2" bestFit="1" customWidth="1"/>
    <col min="13" max="16384" width="28" style="1"/>
  </cols>
  <sheetData>
    <row r="1" spans="1:13" ht="11.25" customHeight="1" x14ac:dyDescent="0.25">
      <c r="A1" s="68"/>
      <c r="B1" s="67"/>
      <c r="C1" s="76"/>
      <c r="D1" s="66"/>
      <c r="E1" s="66"/>
      <c r="F1" s="66"/>
      <c r="G1" s="66"/>
      <c r="H1" s="66"/>
      <c r="I1" s="66"/>
      <c r="J1" s="66"/>
      <c r="K1" s="66"/>
      <c r="L1" s="65" t="s">
        <v>83</v>
      </c>
    </row>
    <row r="2" spans="1:13" s="61" customFormat="1" ht="34.5" x14ac:dyDescent="0.25">
      <c r="A2" s="64" t="s">
        <v>53</v>
      </c>
      <c r="B2" s="64" t="s">
        <v>52</v>
      </c>
      <c r="C2" s="63" t="s">
        <v>51</v>
      </c>
      <c r="D2" s="63" t="s">
        <v>50</v>
      </c>
      <c r="E2" s="63" t="s">
        <v>48</v>
      </c>
      <c r="F2" s="63" t="s">
        <v>49</v>
      </c>
      <c r="G2" s="63" t="s">
        <v>48</v>
      </c>
      <c r="H2" s="62" t="s">
        <v>47</v>
      </c>
      <c r="I2" s="62" t="s">
        <v>46</v>
      </c>
      <c r="J2" s="62" t="s">
        <v>45</v>
      </c>
      <c r="K2" s="62" t="s">
        <v>44</v>
      </c>
      <c r="L2" s="62" t="s">
        <v>43</v>
      </c>
    </row>
    <row r="3" spans="1:13" s="60" customFormat="1" ht="11.25" customHeight="1" x14ac:dyDescent="0.25">
      <c r="A3" s="22" t="s">
        <v>42</v>
      </c>
      <c r="B3" s="21">
        <v>55010300</v>
      </c>
      <c r="C3" s="11">
        <v>0</v>
      </c>
      <c r="D3" s="9">
        <v>0</v>
      </c>
      <c r="E3" s="9">
        <v>0</v>
      </c>
      <c r="F3" s="9">
        <v>0</v>
      </c>
      <c r="G3" s="9">
        <v>0</v>
      </c>
      <c r="H3" s="9">
        <f>D3+F3+'09-03-20'!H3</f>
        <v>0</v>
      </c>
      <c r="I3" s="9">
        <f>E3+G3+'09-03-20'!I3</f>
        <v>0</v>
      </c>
      <c r="J3" s="9">
        <f t="shared" ref="J3:J13" si="0">H3+I3</f>
        <v>0</v>
      </c>
      <c r="K3" s="9">
        <f>C3-J3</f>
        <v>0</v>
      </c>
      <c r="L3" s="9">
        <f>C3-((J3/6)*26.0714285714285)</f>
        <v>0</v>
      </c>
    </row>
    <row r="4" spans="1:13" s="59" customFormat="1" ht="11.25" customHeight="1" x14ac:dyDescent="0.25">
      <c r="A4" s="22" t="s">
        <v>41</v>
      </c>
      <c r="B4" s="21">
        <v>55010500</v>
      </c>
      <c r="C4" s="11">
        <v>3229</v>
      </c>
      <c r="D4" s="10">
        <v>0</v>
      </c>
      <c r="E4" s="10">
        <v>0</v>
      </c>
      <c r="F4" s="10">
        <v>0</v>
      </c>
      <c r="G4" s="10">
        <v>0</v>
      </c>
      <c r="H4" s="9">
        <f>D4+F4+'09-03-20'!H4</f>
        <v>0</v>
      </c>
      <c r="I4" s="9">
        <f>E4+G4+'09-03-20'!I4</f>
        <v>0</v>
      </c>
      <c r="J4" s="9">
        <f t="shared" si="0"/>
        <v>0</v>
      </c>
      <c r="K4" s="9">
        <f t="shared" ref="K4:K13" si="1">C4-J4</f>
        <v>3229</v>
      </c>
      <c r="L4" s="9">
        <f t="shared" ref="L4:L13" si="2">C4-((J4/6)*26.0714285714285)</f>
        <v>3229</v>
      </c>
    </row>
    <row r="5" spans="1:13" s="8" customFormat="1" ht="11.25" customHeight="1" x14ac:dyDescent="0.25">
      <c r="A5" s="58" t="s">
        <v>40</v>
      </c>
      <c r="B5" s="57">
        <v>55020200</v>
      </c>
      <c r="C5" s="56">
        <v>24649</v>
      </c>
      <c r="D5" s="55">
        <v>298.07</v>
      </c>
      <c r="E5" s="55">
        <v>5.66</v>
      </c>
      <c r="F5" s="55">
        <v>0</v>
      </c>
      <c r="G5" s="55">
        <v>0</v>
      </c>
      <c r="H5" s="9">
        <f>D5+F5+'09-03-20'!H5</f>
        <v>6876.14</v>
      </c>
      <c r="I5" s="9">
        <f>E5+G5+'09-03-20'!I5</f>
        <v>130.6</v>
      </c>
      <c r="J5" s="9">
        <f t="shared" si="0"/>
        <v>7006.7400000000007</v>
      </c>
      <c r="K5" s="9">
        <f t="shared" si="1"/>
        <v>17642.259999999998</v>
      </c>
      <c r="L5" s="9">
        <f t="shared" si="2"/>
        <v>-5796.9535714284902</v>
      </c>
    </row>
    <row r="6" spans="1:13" s="8" customFormat="1" ht="11.25" customHeight="1" x14ac:dyDescent="0.25">
      <c r="A6" s="22" t="s">
        <v>39</v>
      </c>
      <c r="B6" s="21">
        <v>55020300</v>
      </c>
      <c r="C6" s="11">
        <v>17974</v>
      </c>
      <c r="D6" s="10">
        <v>440.77</v>
      </c>
      <c r="E6" s="10">
        <v>8.3699999999999992</v>
      </c>
      <c r="F6" s="10">
        <v>0</v>
      </c>
      <c r="G6" s="10">
        <v>0</v>
      </c>
      <c r="H6" s="9">
        <f>D6+F6+'09-03-20'!H6</f>
        <v>626.20000000000005</v>
      </c>
      <c r="I6" s="9">
        <f>E6+G6+'09-03-20'!I6</f>
        <v>11.879999999999999</v>
      </c>
      <c r="J6" s="9">
        <f t="shared" si="0"/>
        <v>638.08000000000004</v>
      </c>
      <c r="K6" s="9">
        <f t="shared" si="1"/>
        <v>17335.919999999998</v>
      </c>
      <c r="L6" s="9">
        <f t="shared" si="2"/>
        <v>15201.390476190483</v>
      </c>
    </row>
    <row r="7" spans="1:13" s="8" customFormat="1" ht="11.25" customHeight="1" x14ac:dyDescent="0.25">
      <c r="A7" s="22" t="s">
        <v>38</v>
      </c>
      <c r="B7" s="21">
        <v>55020400</v>
      </c>
      <c r="C7" s="11">
        <v>17974</v>
      </c>
      <c r="D7" s="10">
        <v>302.19</v>
      </c>
      <c r="E7" s="10">
        <v>5.74</v>
      </c>
      <c r="F7" s="10">
        <v>0</v>
      </c>
      <c r="G7" s="10">
        <v>0</v>
      </c>
      <c r="H7" s="9">
        <f>D7+F7+'09-03-20'!H7</f>
        <v>844.95</v>
      </c>
      <c r="I7" s="9">
        <f>E7+G7+'09-03-20'!I7</f>
        <v>16.04</v>
      </c>
      <c r="J7" s="9">
        <f t="shared" si="0"/>
        <v>860.99</v>
      </c>
      <c r="K7" s="9">
        <f t="shared" si="1"/>
        <v>17113.009999999998</v>
      </c>
      <c r="L7" s="9">
        <f t="shared" si="2"/>
        <v>14232.793452380964</v>
      </c>
    </row>
    <row r="8" spans="1:13" s="8" customFormat="1" ht="11.25" customHeight="1" x14ac:dyDescent="0.25">
      <c r="A8" s="54" t="s">
        <v>37</v>
      </c>
      <c r="B8" s="21">
        <v>55030200</v>
      </c>
      <c r="C8" s="11">
        <v>24330</v>
      </c>
      <c r="D8" s="10">
        <v>337.11</v>
      </c>
      <c r="E8" s="10">
        <v>6.4</v>
      </c>
      <c r="F8" s="10">
        <v>0</v>
      </c>
      <c r="G8" s="10">
        <v>0</v>
      </c>
      <c r="H8" s="9">
        <f>D8+F8+'09-03-20'!H8</f>
        <v>3255.9900000000002</v>
      </c>
      <c r="I8" s="9">
        <f>E8+G8+'09-03-20'!I8</f>
        <v>61.83</v>
      </c>
      <c r="J8" s="9">
        <f t="shared" si="0"/>
        <v>3317.82</v>
      </c>
      <c r="K8" s="9">
        <f t="shared" si="1"/>
        <v>21012.18</v>
      </c>
      <c r="L8" s="9">
        <f t="shared" si="2"/>
        <v>9913.2821428571824</v>
      </c>
    </row>
    <row r="9" spans="1:13" s="8" customFormat="1" ht="11.25" customHeight="1" x14ac:dyDescent="0.25">
      <c r="A9" s="22" t="s">
        <v>36</v>
      </c>
      <c r="B9" s="21">
        <v>55050200</v>
      </c>
      <c r="C9" s="11">
        <v>34000</v>
      </c>
      <c r="D9" s="10">
        <v>942.48</v>
      </c>
      <c r="E9" s="10">
        <v>17.899999999999999</v>
      </c>
      <c r="F9" s="10">
        <v>0</v>
      </c>
      <c r="G9" s="10">
        <v>0</v>
      </c>
      <c r="H9" s="9">
        <f>D9+F9+'09-03-20'!H9</f>
        <v>3065.03</v>
      </c>
      <c r="I9" s="9">
        <f>E9+G9+'09-03-20'!I9</f>
        <v>58.199999999999996</v>
      </c>
      <c r="J9" s="9">
        <f t="shared" si="0"/>
        <v>3123.23</v>
      </c>
      <c r="K9" s="9">
        <f t="shared" si="1"/>
        <v>30876.77</v>
      </c>
      <c r="L9" s="9">
        <f t="shared" si="2"/>
        <v>20428.82202380956</v>
      </c>
    </row>
    <row r="10" spans="1:13" s="8" customFormat="1" ht="11.25" hidden="1" customHeight="1" x14ac:dyDescent="0.25">
      <c r="A10" s="22" t="s">
        <v>80</v>
      </c>
      <c r="B10" s="21">
        <v>55050300</v>
      </c>
      <c r="C10" s="71"/>
      <c r="D10" s="9"/>
      <c r="E10" s="9"/>
      <c r="F10" s="9"/>
      <c r="G10" s="9"/>
      <c r="H10" s="9">
        <f>D10+F10+'09-03-20'!H10</f>
        <v>-310</v>
      </c>
      <c r="I10" s="9">
        <f>E10+G10+'09-03-20'!I10</f>
        <v>-5.8900000000000006</v>
      </c>
      <c r="J10" s="9">
        <f t="shared" si="0"/>
        <v>-315.89</v>
      </c>
      <c r="K10" s="9">
        <f t="shared" si="1"/>
        <v>315.89</v>
      </c>
      <c r="L10" s="9">
        <f t="shared" si="2"/>
        <v>1372.6172619047582</v>
      </c>
      <c r="M10" s="23"/>
    </row>
    <row r="11" spans="1:13" s="23" customFormat="1" ht="11.25" customHeight="1" x14ac:dyDescent="0.25">
      <c r="A11" s="22" t="s">
        <v>35</v>
      </c>
      <c r="B11" s="21">
        <v>55070100</v>
      </c>
      <c r="C11" s="11">
        <v>42741</v>
      </c>
      <c r="D11" s="10">
        <v>906.46</v>
      </c>
      <c r="E11" s="10">
        <v>17.22</v>
      </c>
      <c r="F11" s="10">
        <v>32</v>
      </c>
      <c r="G11" s="10">
        <v>1.66</v>
      </c>
      <c r="H11" s="9">
        <f>D11+F11+'09-03-20'!H11</f>
        <v>4904.74</v>
      </c>
      <c r="I11" s="9">
        <f>E11+G11+'09-03-20'!I11</f>
        <v>94.21</v>
      </c>
      <c r="J11" s="9">
        <f t="shared" si="0"/>
        <v>4998.95</v>
      </c>
      <c r="K11" s="9">
        <f t="shared" si="1"/>
        <v>37742.050000000003</v>
      </c>
      <c r="L11" s="9">
        <f t="shared" si="2"/>
        <v>21019.372023809585</v>
      </c>
    </row>
    <row r="12" spans="1:13" s="8" customFormat="1" ht="11.25" customHeight="1" x14ac:dyDescent="0.25">
      <c r="A12" s="22" t="s">
        <v>34</v>
      </c>
      <c r="B12" s="21">
        <v>55080100</v>
      </c>
      <c r="C12" s="11">
        <v>23173</v>
      </c>
      <c r="D12" s="10">
        <v>274.05</v>
      </c>
      <c r="E12" s="10">
        <v>5.2</v>
      </c>
      <c r="F12" s="10">
        <v>0</v>
      </c>
      <c r="G12" s="10">
        <v>0</v>
      </c>
      <c r="H12" s="9">
        <f>D12+F12+'09-03-20'!H12</f>
        <v>2347.17</v>
      </c>
      <c r="I12" s="9">
        <f>E12+G12+'09-03-20'!I12</f>
        <v>44.56</v>
      </c>
      <c r="J12" s="9">
        <f t="shared" si="0"/>
        <v>2391.73</v>
      </c>
      <c r="K12" s="9">
        <f t="shared" si="1"/>
        <v>20781.27</v>
      </c>
      <c r="L12" s="9">
        <f t="shared" si="2"/>
        <v>12780.363690476219</v>
      </c>
    </row>
    <row r="13" spans="1:13" s="44" customFormat="1" ht="11.25" customHeight="1" x14ac:dyDescent="0.25">
      <c r="A13" s="53" t="s">
        <v>33</v>
      </c>
      <c r="B13" s="12">
        <v>55190000</v>
      </c>
      <c r="C13" s="11">
        <v>6000</v>
      </c>
      <c r="D13" s="10">
        <v>0</v>
      </c>
      <c r="E13" s="10">
        <v>0</v>
      </c>
      <c r="F13" s="10">
        <v>0</v>
      </c>
      <c r="G13" s="10">
        <v>0</v>
      </c>
      <c r="H13" s="9">
        <f>D13+F13+'09-03-20'!H13</f>
        <v>0</v>
      </c>
      <c r="I13" s="9">
        <f>E13+G13+'09-03-20'!I13</f>
        <v>0</v>
      </c>
      <c r="J13" s="9">
        <f t="shared" si="0"/>
        <v>0</v>
      </c>
      <c r="K13" s="9">
        <f t="shared" si="1"/>
        <v>6000</v>
      </c>
      <c r="L13" s="9">
        <f t="shared" si="2"/>
        <v>6000</v>
      </c>
    </row>
    <row r="14" spans="1:13" ht="21.6" customHeight="1" thickBot="1" x14ac:dyDescent="0.3">
      <c r="A14" s="155" t="s">
        <v>32</v>
      </c>
      <c r="B14" s="156"/>
      <c r="C14" s="49">
        <f t="shared" ref="C14:L14" si="3">SUM(C3:C13)</f>
        <v>194070</v>
      </c>
      <c r="D14" s="7">
        <f t="shared" si="3"/>
        <v>3501.13</v>
      </c>
      <c r="E14" s="7">
        <f t="shared" si="3"/>
        <v>66.489999999999995</v>
      </c>
      <c r="F14" s="7">
        <f t="shared" si="3"/>
        <v>32</v>
      </c>
      <c r="G14" s="7">
        <f t="shared" si="3"/>
        <v>1.66</v>
      </c>
      <c r="H14" s="7">
        <f t="shared" si="3"/>
        <v>21610.22</v>
      </c>
      <c r="I14" s="7">
        <f t="shared" si="3"/>
        <v>411.42999999999995</v>
      </c>
      <c r="J14" s="49">
        <f t="shared" si="3"/>
        <v>22021.65</v>
      </c>
      <c r="K14" s="49">
        <f t="shared" si="3"/>
        <v>172048.35</v>
      </c>
      <c r="L14" s="7">
        <f t="shared" si="3"/>
        <v>98380.687500000262</v>
      </c>
    </row>
    <row r="15" spans="1:13" ht="11.25" customHeight="1" x14ac:dyDescent="0.25">
      <c r="A15" s="52"/>
      <c r="B15" s="41"/>
      <c r="C15" s="40"/>
      <c r="D15" s="40"/>
      <c r="E15" s="40"/>
      <c r="F15" s="40"/>
      <c r="G15" s="40"/>
      <c r="H15" s="39"/>
      <c r="I15" s="39"/>
      <c r="J15" s="39"/>
      <c r="K15" s="39"/>
      <c r="L15" s="51"/>
    </row>
    <row r="16" spans="1:13" ht="11.25" customHeight="1" thickBot="1" x14ac:dyDescent="0.3">
      <c r="A16" s="38"/>
      <c r="B16" s="37"/>
      <c r="C16" s="36"/>
      <c r="D16" s="36"/>
      <c r="E16" s="36"/>
      <c r="F16" s="36"/>
      <c r="G16" s="36"/>
      <c r="H16" s="35"/>
      <c r="I16" s="35"/>
      <c r="J16" s="35"/>
      <c r="K16" s="35"/>
      <c r="L16" s="50"/>
    </row>
    <row r="17" spans="1:13" s="8" customFormat="1" ht="11.45" customHeight="1" x14ac:dyDescent="0.25">
      <c r="A17" s="13" t="s">
        <v>31</v>
      </c>
      <c r="B17" s="12">
        <v>55090100</v>
      </c>
      <c r="C17" s="11">
        <v>26923</v>
      </c>
      <c r="D17" s="10">
        <v>0</v>
      </c>
      <c r="E17" s="10">
        <v>0</v>
      </c>
      <c r="F17" s="10">
        <v>1080</v>
      </c>
      <c r="G17" s="10">
        <v>56.16</v>
      </c>
      <c r="H17" s="9">
        <f>D17+F17+'09-03-20'!H17</f>
        <v>6495</v>
      </c>
      <c r="I17" s="9">
        <f>E17+G17+'09-03-20'!I17</f>
        <v>337.73</v>
      </c>
      <c r="J17" s="9">
        <f t="shared" ref="J17:J19" si="4">H17+I17</f>
        <v>6832.73</v>
      </c>
      <c r="K17" s="9">
        <f>C17-J17</f>
        <v>20090.27</v>
      </c>
      <c r="L17" s="9">
        <f t="shared" ref="L17:L19" si="5">C17-((J17/6)*26.0714285714285)</f>
        <v>-2766.8386904761028</v>
      </c>
    </row>
    <row r="18" spans="1:13" s="8" customFormat="1" ht="11.45" customHeight="1" x14ac:dyDescent="0.25">
      <c r="A18" s="22" t="s">
        <v>30</v>
      </c>
      <c r="B18" s="21">
        <v>55160100</v>
      </c>
      <c r="C18" s="11">
        <v>16062</v>
      </c>
      <c r="D18" s="9">
        <v>0</v>
      </c>
      <c r="E18" s="9">
        <v>0</v>
      </c>
      <c r="F18" s="10">
        <v>0</v>
      </c>
      <c r="G18" s="10">
        <v>0</v>
      </c>
      <c r="H18" s="9">
        <f>D18+F18+'09-03-20'!H18</f>
        <v>0</v>
      </c>
      <c r="I18" s="9">
        <f>E18+G18+'09-03-20'!I18</f>
        <v>0</v>
      </c>
      <c r="J18" s="9">
        <f t="shared" si="4"/>
        <v>0</v>
      </c>
      <c r="K18" s="9">
        <f t="shared" ref="K18:K19" si="6">C18-J18</f>
        <v>16062</v>
      </c>
      <c r="L18" s="9">
        <f t="shared" si="5"/>
        <v>16062</v>
      </c>
    </row>
    <row r="19" spans="1:13" s="8" customFormat="1" ht="11.45" customHeight="1" x14ac:dyDescent="0.25">
      <c r="A19" s="13" t="s">
        <v>29</v>
      </c>
      <c r="B19" s="12">
        <v>55100100</v>
      </c>
      <c r="C19" s="11">
        <v>2026</v>
      </c>
      <c r="D19" s="10">
        <v>81.319999999999993</v>
      </c>
      <c r="E19" s="10">
        <v>1.54</v>
      </c>
      <c r="F19" s="10">
        <v>0</v>
      </c>
      <c r="G19" s="10">
        <v>0</v>
      </c>
      <c r="H19" s="9">
        <f>D19+F19+'09-03-20'!H19</f>
        <v>324.41999999999996</v>
      </c>
      <c r="I19" s="9">
        <f>E19+G19+'09-03-20'!I19</f>
        <v>5.2749999999999995</v>
      </c>
      <c r="J19" s="9">
        <f t="shared" si="4"/>
        <v>329.69499999999994</v>
      </c>
      <c r="K19" s="9">
        <f t="shared" si="6"/>
        <v>1696.3050000000001</v>
      </c>
      <c r="L19" s="9">
        <f t="shared" si="5"/>
        <v>593.39672619048042</v>
      </c>
    </row>
    <row r="20" spans="1:13" ht="21.6" customHeight="1" thickBot="1" x14ac:dyDescent="0.3">
      <c r="A20" s="155" t="s">
        <v>28</v>
      </c>
      <c r="B20" s="156"/>
      <c r="C20" s="7">
        <f t="shared" ref="C20:L20" si="7">SUM(C17:C19)</f>
        <v>45011</v>
      </c>
      <c r="D20" s="7">
        <f t="shared" si="7"/>
        <v>81.319999999999993</v>
      </c>
      <c r="E20" s="7">
        <f t="shared" si="7"/>
        <v>1.54</v>
      </c>
      <c r="F20" s="7">
        <f t="shared" si="7"/>
        <v>1080</v>
      </c>
      <c r="G20" s="7">
        <f t="shared" si="7"/>
        <v>56.16</v>
      </c>
      <c r="H20" s="7">
        <f t="shared" si="7"/>
        <v>6819.42</v>
      </c>
      <c r="I20" s="7">
        <f t="shared" si="7"/>
        <v>343.005</v>
      </c>
      <c r="J20" s="49">
        <f t="shared" si="7"/>
        <v>7162.4249999999993</v>
      </c>
      <c r="K20" s="7">
        <f t="shared" si="7"/>
        <v>37848.575000000004</v>
      </c>
      <c r="L20" s="7">
        <f t="shared" si="7"/>
        <v>13888.558035714377</v>
      </c>
    </row>
    <row r="21" spans="1:13" ht="11.25" customHeight="1" x14ac:dyDescent="0.25">
      <c r="A21" s="42"/>
      <c r="B21" s="41"/>
      <c r="C21" s="40"/>
      <c r="D21" s="39"/>
      <c r="E21" s="39"/>
      <c r="F21" s="39"/>
      <c r="G21" s="39"/>
      <c r="H21" s="39"/>
      <c r="I21" s="39"/>
      <c r="J21" s="39"/>
      <c r="K21" s="39"/>
      <c r="L21" s="51"/>
    </row>
    <row r="22" spans="1:13" ht="11.25" customHeight="1" thickBot="1" x14ac:dyDescent="0.3">
      <c r="A22" s="38"/>
      <c r="B22" s="37"/>
      <c r="C22" s="36"/>
      <c r="D22" s="35"/>
      <c r="E22" s="35"/>
      <c r="F22" s="35"/>
      <c r="G22" s="35"/>
      <c r="H22" s="35"/>
      <c r="I22" s="35"/>
      <c r="J22" s="35"/>
      <c r="K22" s="35"/>
      <c r="L22" s="50"/>
    </row>
    <row r="23" spans="1:13" s="44" customFormat="1" ht="11.45" customHeight="1" x14ac:dyDescent="0.25">
      <c r="A23" s="13" t="s">
        <v>27</v>
      </c>
      <c r="B23" s="12">
        <v>55200000</v>
      </c>
      <c r="C23" s="11">
        <v>25000</v>
      </c>
      <c r="D23" s="10">
        <v>180</v>
      </c>
      <c r="E23" s="10">
        <v>3.42</v>
      </c>
      <c r="F23" s="10">
        <v>0</v>
      </c>
      <c r="G23" s="10">
        <v>0</v>
      </c>
      <c r="H23" s="9">
        <f>D23+F23+'09-03-20'!H23</f>
        <v>2778.75</v>
      </c>
      <c r="I23" s="9">
        <f>E23+G23+'09-03-20'!I23</f>
        <v>52.769999999999996</v>
      </c>
      <c r="J23" s="9">
        <f t="shared" ref="J23:J25" si="8">H23+I23</f>
        <v>2831.52</v>
      </c>
      <c r="K23" s="9">
        <f>C23-J23</f>
        <v>22168.48</v>
      </c>
      <c r="L23" s="9">
        <f t="shared" ref="L23:L25" si="9">C23-((J23/6)*26.0714285714285)</f>
        <v>12696.371428571463</v>
      </c>
      <c r="M23" s="31"/>
    </row>
    <row r="24" spans="1:13" s="44" customFormat="1" ht="11.45" hidden="1" customHeight="1" x14ac:dyDescent="0.25">
      <c r="A24" s="13" t="s">
        <v>26</v>
      </c>
      <c r="B24" s="48" t="s">
        <v>25</v>
      </c>
      <c r="C24" s="84">
        <v>0</v>
      </c>
      <c r="D24" s="45"/>
      <c r="E24" s="45"/>
      <c r="F24" s="45"/>
      <c r="G24" s="45"/>
      <c r="H24" s="9">
        <f>D24+F24+'09-03-20'!H24</f>
        <v>0</v>
      </c>
      <c r="I24" s="9">
        <f>E24+G24+'09-03-20'!I24</f>
        <v>-9.9999999999997868E-3</v>
      </c>
      <c r="J24" s="9">
        <f t="shared" si="8"/>
        <v>-9.9999999999997868E-3</v>
      </c>
      <c r="K24" s="75">
        <f t="shared" ref="K24:K25" si="10">C24-J24</f>
        <v>9.9999999999997868E-3</v>
      </c>
      <c r="L24" s="9">
        <f t="shared" si="9"/>
        <v>4.3452380952379903E-2</v>
      </c>
      <c r="M24" s="31"/>
    </row>
    <row r="25" spans="1:13" s="44" customFormat="1" ht="10.9" customHeight="1" x14ac:dyDescent="0.25">
      <c r="A25" s="28" t="s">
        <v>24</v>
      </c>
      <c r="B25" s="47" t="s">
        <v>23</v>
      </c>
      <c r="C25" s="46">
        <v>0</v>
      </c>
      <c r="D25" s="45">
        <v>0</v>
      </c>
      <c r="E25" s="45">
        <v>0</v>
      </c>
      <c r="F25" s="45">
        <v>0</v>
      </c>
      <c r="G25" s="45">
        <v>0</v>
      </c>
      <c r="H25" s="9">
        <f>D25+F25+'09-03-20'!H25</f>
        <v>0</v>
      </c>
      <c r="I25" s="9">
        <f>E25+G25+'09-03-20'!I25</f>
        <v>0</v>
      </c>
      <c r="J25" s="9">
        <f t="shared" si="8"/>
        <v>0</v>
      </c>
      <c r="K25" s="9">
        <f t="shared" si="10"/>
        <v>0</v>
      </c>
      <c r="L25" s="9">
        <f t="shared" si="9"/>
        <v>0</v>
      </c>
    </row>
    <row r="26" spans="1:13" ht="24.75" customHeight="1" thickBot="1" x14ac:dyDescent="0.3">
      <c r="A26" s="157" t="s">
        <v>22</v>
      </c>
      <c r="B26" s="158"/>
      <c r="C26" s="43">
        <f>SUM(C23:C24)</f>
        <v>25000</v>
      </c>
      <c r="D26" s="43">
        <f t="shared" ref="D26:L26" si="11">SUM(D23:D25)</f>
        <v>180</v>
      </c>
      <c r="E26" s="43">
        <f t="shared" si="11"/>
        <v>3.42</v>
      </c>
      <c r="F26" s="43">
        <f t="shared" si="11"/>
        <v>0</v>
      </c>
      <c r="G26" s="43">
        <f t="shared" si="11"/>
        <v>0</v>
      </c>
      <c r="H26" s="43">
        <f t="shared" si="11"/>
        <v>2778.75</v>
      </c>
      <c r="I26" s="43">
        <f t="shared" si="11"/>
        <v>52.76</v>
      </c>
      <c r="J26" s="43">
        <f t="shared" si="11"/>
        <v>2831.5099999999998</v>
      </c>
      <c r="K26" s="43">
        <f t="shared" si="11"/>
        <v>22168.489999999998</v>
      </c>
      <c r="L26" s="34">
        <f t="shared" si="11"/>
        <v>12696.414880952416</v>
      </c>
    </row>
    <row r="27" spans="1:13" ht="11.25" customHeight="1" x14ac:dyDescent="0.25">
      <c r="A27" s="42"/>
      <c r="B27" s="41"/>
      <c r="C27" s="40"/>
      <c r="D27" s="40"/>
      <c r="E27" s="40"/>
      <c r="F27" s="40"/>
      <c r="G27" s="40"/>
      <c r="H27" s="39"/>
      <c r="I27" s="39"/>
      <c r="J27" s="39"/>
      <c r="K27" s="39"/>
      <c r="L27" s="39"/>
    </row>
    <row r="28" spans="1:13" ht="11.25" customHeight="1" thickBot="1" x14ac:dyDescent="0.3">
      <c r="A28" s="38"/>
      <c r="B28" s="37"/>
      <c r="C28" s="36"/>
      <c r="D28" s="36"/>
      <c r="E28" s="36"/>
      <c r="F28" s="36"/>
      <c r="G28" s="36"/>
      <c r="H28" s="35"/>
      <c r="I28" s="35"/>
      <c r="J28" s="35"/>
      <c r="K28" s="35"/>
      <c r="L28" s="35"/>
    </row>
    <row r="29" spans="1:13" ht="21.6" customHeight="1" x14ac:dyDescent="0.25">
      <c r="A29" s="159" t="s">
        <v>21</v>
      </c>
      <c r="B29" s="159"/>
      <c r="C29" s="34">
        <f t="shared" ref="C29:L29" si="12">C14+C20+C26</f>
        <v>264081</v>
      </c>
      <c r="D29" s="34">
        <f t="shared" si="12"/>
        <v>3762.4500000000003</v>
      </c>
      <c r="E29" s="34">
        <f t="shared" si="12"/>
        <v>71.45</v>
      </c>
      <c r="F29" s="34">
        <f t="shared" si="12"/>
        <v>1112</v>
      </c>
      <c r="G29" s="34">
        <f t="shared" si="12"/>
        <v>57.819999999999993</v>
      </c>
      <c r="H29" s="34">
        <f t="shared" si="12"/>
        <v>31208.39</v>
      </c>
      <c r="I29" s="34">
        <f t="shared" si="12"/>
        <v>807.19499999999994</v>
      </c>
      <c r="J29" s="34">
        <f t="shared" si="12"/>
        <v>32015.584999999999</v>
      </c>
      <c r="K29" s="34">
        <f t="shared" si="12"/>
        <v>232065.41500000001</v>
      </c>
      <c r="L29" s="34">
        <f t="shared" si="12"/>
        <v>124965.66041666706</v>
      </c>
    </row>
    <row r="30" spans="1:13" ht="10.9" customHeight="1" x14ac:dyDescent="0.25">
      <c r="A30" s="17"/>
      <c r="B30" s="16"/>
      <c r="C30" s="14"/>
      <c r="D30" s="15"/>
      <c r="E30" s="15"/>
      <c r="F30" s="15"/>
      <c r="G30" s="15"/>
      <c r="H30" s="14"/>
      <c r="I30" s="14"/>
      <c r="J30" s="14"/>
      <c r="K30" s="14"/>
      <c r="L30" s="14"/>
    </row>
    <row r="31" spans="1:13" ht="11.25" customHeight="1" x14ac:dyDescent="0.25">
      <c r="A31" s="17"/>
      <c r="B31" s="16"/>
      <c r="C31" s="14"/>
      <c r="D31" s="15"/>
      <c r="E31" s="15"/>
      <c r="F31" s="15"/>
      <c r="G31" s="15"/>
      <c r="H31" s="14"/>
      <c r="I31" s="14"/>
      <c r="J31" s="14"/>
      <c r="K31" s="14"/>
      <c r="L31" s="14"/>
    </row>
    <row r="32" spans="1:13" s="30" customFormat="1" ht="11.25" customHeight="1" x14ac:dyDescent="0.25">
      <c r="A32" s="28" t="s">
        <v>20</v>
      </c>
      <c r="B32" s="90" t="s">
        <v>19</v>
      </c>
      <c r="C32" s="11">
        <v>0</v>
      </c>
      <c r="D32" s="91">
        <v>0</v>
      </c>
      <c r="E32" s="91">
        <v>0</v>
      </c>
      <c r="F32" s="91">
        <v>0</v>
      </c>
      <c r="G32" s="91">
        <v>0</v>
      </c>
      <c r="H32" s="9">
        <f>D32+F32+'09-03-20'!H32</f>
        <v>0</v>
      </c>
      <c r="I32" s="9">
        <f>E32+G32+'09-03-20'!I32</f>
        <v>0</v>
      </c>
      <c r="J32" s="11">
        <f t="shared" ref="J32:J46" si="13">H32+I32</f>
        <v>0</v>
      </c>
      <c r="K32" s="11">
        <f>C32-J32</f>
        <v>0</v>
      </c>
      <c r="L32" s="9">
        <f t="shared" ref="L32:L47" si="14">C32-((J32/6)*26.0714285714285)</f>
        <v>0</v>
      </c>
    </row>
    <row r="33" spans="1:13" s="30" customFormat="1" ht="12" customHeight="1" x14ac:dyDescent="0.25">
      <c r="A33" s="32" t="s">
        <v>123</v>
      </c>
      <c r="B33" s="12" t="s">
        <v>55</v>
      </c>
      <c r="C33" s="11">
        <f>2795.22+12000</f>
        <v>14795.22</v>
      </c>
      <c r="D33" s="91">
        <v>0</v>
      </c>
      <c r="E33" s="91">
        <v>0</v>
      </c>
      <c r="F33" s="91">
        <v>0</v>
      </c>
      <c r="G33" s="91">
        <v>0</v>
      </c>
      <c r="H33" s="9">
        <f>D33+F33+'09-03-20'!H33</f>
        <v>2612</v>
      </c>
      <c r="I33" s="9">
        <f>E33+G33+'09-03-20'!I33</f>
        <v>84.06</v>
      </c>
      <c r="J33" s="11">
        <f t="shared" si="13"/>
        <v>2696.06</v>
      </c>
      <c r="K33" s="11">
        <f>C33-J33</f>
        <v>12099.16</v>
      </c>
      <c r="L33" s="9">
        <f t="shared" si="14"/>
        <v>3080.1973809524134</v>
      </c>
    </row>
    <row r="34" spans="1:13" s="30" customFormat="1" ht="11.25" hidden="1" customHeight="1" x14ac:dyDescent="0.25">
      <c r="A34" s="32" t="s">
        <v>18</v>
      </c>
      <c r="B34" s="90" t="s">
        <v>17</v>
      </c>
      <c r="C34" s="85">
        <v>0</v>
      </c>
      <c r="D34" s="91"/>
      <c r="E34" s="91"/>
      <c r="F34" s="91"/>
      <c r="G34" s="91"/>
      <c r="H34" s="9">
        <f>D34+F34+'09-03-20'!H34</f>
        <v>0</v>
      </c>
      <c r="I34" s="9">
        <f>E34+G34+'09-03-20'!I34</f>
        <v>-1.0000000000005116E-2</v>
      </c>
      <c r="J34" s="11">
        <f t="shared" si="13"/>
        <v>-1.0000000000005116E-2</v>
      </c>
      <c r="K34" s="11">
        <f t="shared" ref="K34:K46" si="15">C34-J34</f>
        <v>1.0000000000005116E-2</v>
      </c>
      <c r="L34" s="9">
        <f t="shared" si="14"/>
        <v>4.3452380952403065E-2</v>
      </c>
    </row>
    <row r="35" spans="1:13" s="26" customFormat="1" ht="11.25" customHeight="1" x14ac:dyDescent="0.25">
      <c r="A35" s="28" t="s">
        <v>16</v>
      </c>
      <c r="B35" s="21" t="s">
        <v>15</v>
      </c>
      <c r="C35" s="11">
        <v>0</v>
      </c>
      <c r="D35" s="11">
        <v>0</v>
      </c>
      <c r="E35" s="11">
        <v>0</v>
      </c>
      <c r="F35" s="11">
        <v>0</v>
      </c>
      <c r="G35" s="11">
        <v>0</v>
      </c>
      <c r="H35" s="9">
        <f>D35+F35+'09-03-20'!H35</f>
        <v>0</v>
      </c>
      <c r="I35" s="9">
        <f>E35+G35+'09-03-20'!I35</f>
        <v>0</v>
      </c>
      <c r="J35" s="11">
        <f t="shared" si="13"/>
        <v>0</v>
      </c>
      <c r="K35" s="11">
        <f t="shared" si="15"/>
        <v>0</v>
      </c>
      <c r="L35" s="9">
        <f t="shared" si="14"/>
        <v>0</v>
      </c>
    </row>
    <row r="36" spans="1:13" s="26" customFormat="1" ht="11.25" customHeight="1" x14ac:dyDescent="0.25">
      <c r="A36" s="28" t="s">
        <v>14</v>
      </c>
      <c r="B36" s="21" t="s">
        <v>13</v>
      </c>
      <c r="C36" s="11">
        <v>0</v>
      </c>
      <c r="D36" s="131">
        <v>44.16</v>
      </c>
      <c r="E36" s="131">
        <v>0.83</v>
      </c>
      <c r="F36" s="11">
        <v>0</v>
      </c>
      <c r="G36" s="11">
        <v>0</v>
      </c>
      <c r="H36" s="9">
        <f>D36+F36+'09-03-20'!H36</f>
        <v>324.41999999999996</v>
      </c>
      <c r="I36" s="9">
        <f>E36+G36+'09-03-20'!I36</f>
        <v>6.14</v>
      </c>
      <c r="J36" s="11">
        <f t="shared" si="13"/>
        <v>330.55999999999995</v>
      </c>
      <c r="K36" s="152">
        <f t="shared" si="15"/>
        <v>-330.55999999999995</v>
      </c>
      <c r="L36" s="9">
        <f t="shared" si="14"/>
        <v>-1436.3619047619006</v>
      </c>
      <c r="M36" s="23"/>
    </row>
    <row r="37" spans="1:13" s="26" customFormat="1" ht="11.25" customHeight="1" x14ac:dyDescent="0.25">
      <c r="A37" s="28" t="s">
        <v>12</v>
      </c>
      <c r="B37" s="21">
        <v>55110000</v>
      </c>
      <c r="C37" s="11">
        <v>2659</v>
      </c>
      <c r="D37" s="11">
        <v>0</v>
      </c>
      <c r="E37" s="11">
        <v>0</v>
      </c>
      <c r="F37" s="11">
        <v>0</v>
      </c>
      <c r="G37" s="11">
        <v>0</v>
      </c>
      <c r="H37" s="9">
        <f>D37+F37+'09-03-20'!H37</f>
        <v>0</v>
      </c>
      <c r="I37" s="9">
        <f>E37+G37+'09-03-20'!I37</f>
        <v>0</v>
      </c>
      <c r="J37" s="11">
        <f t="shared" si="13"/>
        <v>0</v>
      </c>
      <c r="K37" s="11">
        <f t="shared" si="15"/>
        <v>2659</v>
      </c>
      <c r="L37" s="9">
        <f t="shared" si="14"/>
        <v>2659</v>
      </c>
      <c r="M37" s="23"/>
    </row>
    <row r="38" spans="1:13" s="26" customFormat="1" ht="11.45" customHeight="1" x14ac:dyDescent="0.25">
      <c r="A38" s="28" t="s">
        <v>11</v>
      </c>
      <c r="B38" s="90" t="s">
        <v>10</v>
      </c>
      <c r="C38" s="11">
        <v>0</v>
      </c>
      <c r="D38" s="91">
        <v>0</v>
      </c>
      <c r="E38" s="91">
        <v>0</v>
      </c>
      <c r="F38" s="91">
        <v>0</v>
      </c>
      <c r="G38" s="91">
        <v>0</v>
      </c>
      <c r="H38" s="9">
        <f>D38+F38+'09-03-20'!H38</f>
        <v>0</v>
      </c>
      <c r="I38" s="9">
        <f>E38+G38+'09-03-20'!I38</f>
        <v>0</v>
      </c>
      <c r="J38" s="11">
        <f t="shared" si="13"/>
        <v>0</v>
      </c>
      <c r="K38" s="11">
        <f t="shared" si="15"/>
        <v>0</v>
      </c>
      <c r="L38" s="9">
        <f t="shared" si="14"/>
        <v>0</v>
      </c>
    </row>
    <row r="39" spans="1:13" s="26" customFormat="1" ht="11.45" customHeight="1" x14ac:dyDescent="0.25">
      <c r="A39" s="25" t="s">
        <v>68</v>
      </c>
      <c r="B39" s="24" t="s">
        <v>69</v>
      </c>
      <c r="C39" s="11">
        <v>1500</v>
      </c>
      <c r="D39" s="11">
        <v>6.79</v>
      </c>
      <c r="E39" s="11">
        <v>0.12</v>
      </c>
      <c r="F39" s="11">
        <v>0</v>
      </c>
      <c r="G39" s="11">
        <v>0</v>
      </c>
      <c r="H39" s="9">
        <f>D39+F39+'09-03-20'!H39</f>
        <v>384.19</v>
      </c>
      <c r="I39" s="9">
        <f>E39+G39+'09-03-20'!I39</f>
        <v>7.1070000000000002</v>
      </c>
      <c r="J39" s="11">
        <f t="shared" si="13"/>
        <v>391.29700000000003</v>
      </c>
      <c r="K39" s="11">
        <f t="shared" si="15"/>
        <v>1108.703</v>
      </c>
      <c r="L39" s="9">
        <f t="shared" si="14"/>
        <v>-200.27863095237626</v>
      </c>
    </row>
    <row r="40" spans="1:13" s="23" customFormat="1" ht="11.45" customHeight="1" x14ac:dyDescent="0.25">
      <c r="A40" s="25" t="s">
        <v>61</v>
      </c>
      <c r="B40" s="24" t="s">
        <v>62</v>
      </c>
      <c r="C40" s="11">
        <v>9800</v>
      </c>
      <c r="D40" s="11">
        <v>144</v>
      </c>
      <c r="E40" s="11">
        <v>2.73</v>
      </c>
      <c r="F40" s="11">
        <v>720</v>
      </c>
      <c r="G40" s="11">
        <v>37.44</v>
      </c>
      <c r="H40" s="9">
        <f>D40+F40+'09-03-20'!H40</f>
        <v>4446</v>
      </c>
      <c r="I40" s="9">
        <f>E40+G40+'09-03-20'!I40</f>
        <v>226.40999999999997</v>
      </c>
      <c r="J40" s="11">
        <f>H40+I40</f>
        <v>4672.41</v>
      </c>
      <c r="K40" s="11">
        <f>C40-J40</f>
        <v>5127.59</v>
      </c>
      <c r="L40" s="9">
        <f t="shared" si="14"/>
        <v>-10502.733928571372</v>
      </c>
    </row>
    <row r="41" spans="1:13" s="23" customFormat="1" ht="11.45" customHeight="1" x14ac:dyDescent="0.25">
      <c r="A41" s="25" t="s">
        <v>59</v>
      </c>
      <c r="B41" s="24" t="s">
        <v>60</v>
      </c>
      <c r="C41" s="11">
        <f>2453.12+2598.45</f>
        <v>5051.57</v>
      </c>
      <c r="D41" s="11">
        <v>311.25</v>
      </c>
      <c r="E41" s="11">
        <v>5.91</v>
      </c>
      <c r="F41" s="11">
        <v>0</v>
      </c>
      <c r="G41" s="11">
        <v>0</v>
      </c>
      <c r="H41" s="9">
        <f>D41+F41+'09-03-20'!H41</f>
        <v>951.58</v>
      </c>
      <c r="I41" s="9">
        <f>E41+G41+'09-03-20'!I41</f>
        <v>18.07</v>
      </c>
      <c r="J41" s="11">
        <f>H41+I41</f>
        <v>969.65000000000009</v>
      </c>
      <c r="K41" s="11">
        <f>C41-J41</f>
        <v>4081.9199999999996</v>
      </c>
      <c r="L41" s="9">
        <f t="shared" si="14"/>
        <v>838.20988095239227</v>
      </c>
    </row>
    <row r="42" spans="1:13" s="23" customFormat="1" ht="11.45" customHeight="1" x14ac:dyDescent="0.25">
      <c r="A42" s="25" t="s">
        <v>70</v>
      </c>
      <c r="B42" s="24" t="s">
        <v>71</v>
      </c>
      <c r="C42" s="11">
        <v>5600</v>
      </c>
      <c r="D42" s="11">
        <v>414.73</v>
      </c>
      <c r="E42" s="11">
        <v>7.87</v>
      </c>
      <c r="F42" s="11">
        <v>0</v>
      </c>
      <c r="G42" s="11">
        <v>0</v>
      </c>
      <c r="H42" s="9">
        <f>D42+F42+'09-03-20'!H42</f>
        <v>1673.06</v>
      </c>
      <c r="I42" s="9">
        <f>E42+G42+'09-03-20'!I42</f>
        <v>31.759999999999998</v>
      </c>
      <c r="J42" s="11">
        <f t="shared" ref="J42" si="16">H42+I42</f>
        <v>1704.82</v>
      </c>
      <c r="K42" s="11">
        <f t="shared" ref="K42" si="17">C42-J42</f>
        <v>3895.1800000000003</v>
      </c>
      <c r="L42" s="9">
        <f t="shared" si="14"/>
        <v>-1807.8488095237881</v>
      </c>
    </row>
    <row r="43" spans="1:13" s="23" customFormat="1" ht="11.45" customHeight="1" x14ac:dyDescent="0.25">
      <c r="A43" s="25" t="s">
        <v>7</v>
      </c>
      <c r="B43" s="24" t="s">
        <v>6</v>
      </c>
      <c r="C43" s="11">
        <v>0</v>
      </c>
      <c r="D43" s="11">
        <v>0</v>
      </c>
      <c r="E43" s="11">
        <v>0</v>
      </c>
      <c r="F43" s="11">
        <v>0</v>
      </c>
      <c r="G43" s="11">
        <v>0</v>
      </c>
      <c r="H43" s="9">
        <f>D43+F43+'09-03-20'!H43</f>
        <v>0</v>
      </c>
      <c r="I43" s="9">
        <f>E43+G43+'09-03-20'!I43</f>
        <v>0</v>
      </c>
      <c r="J43" s="11">
        <f>H43+I43</f>
        <v>0</v>
      </c>
      <c r="K43" s="11">
        <f>C43-J43</f>
        <v>0</v>
      </c>
      <c r="L43" s="9">
        <f t="shared" si="14"/>
        <v>0</v>
      </c>
    </row>
    <row r="44" spans="1:13" s="23" customFormat="1" ht="11.45" customHeight="1" x14ac:dyDescent="0.25">
      <c r="A44" s="25" t="s">
        <v>9</v>
      </c>
      <c r="B44" s="24" t="s">
        <v>8</v>
      </c>
      <c r="C44" s="11">
        <v>0</v>
      </c>
      <c r="D44" s="91">
        <v>0</v>
      </c>
      <c r="E44" s="91">
        <v>0</v>
      </c>
      <c r="F44" s="91">
        <v>0</v>
      </c>
      <c r="G44" s="91">
        <v>0</v>
      </c>
      <c r="H44" s="9">
        <f>D44+F44+'09-03-20'!H44</f>
        <v>0</v>
      </c>
      <c r="I44" s="9">
        <f>E44+G44+'09-03-20'!I44</f>
        <v>0</v>
      </c>
      <c r="J44" s="11">
        <f t="shared" si="13"/>
        <v>0</v>
      </c>
      <c r="K44" s="11">
        <f t="shared" si="15"/>
        <v>0</v>
      </c>
      <c r="L44" s="9">
        <f t="shared" si="14"/>
        <v>0</v>
      </c>
    </row>
    <row r="45" spans="1:13" s="23" customFormat="1" ht="11.45" customHeight="1" x14ac:dyDescent="0.25">
      <c r="A45" s="25" t="s">
        <v>63</v>
      </c>
      <c r="B45" s="24" t="s">
        <v>66</v>
      </c>
      <c r="C45" s="11">
        <v>1784.19</v>
      </c>
      <c r="D45" s="91">
        <v>0</v>
      </c>
      <c r="E45" s="91">
        <v>0</v>
      </c>
      <c r="F45" s="91">
        <v>0</v>
      </c>
      <c r="G45" s="91">
        <v>0</v>
      </c>
      <c r="H45" s="9">
        <f>D45+F45+'09-03-20'!H45</f>
        <v>1504</v>
      </c>
      <c r="I45" s="9">
        <f>E45+G45+'09-03-20'!I45</f>
        <v>78.179999999999993</v>
      </c>
      <c r="J45" s="11">
        <f t="shared" si="13"/>
        <v>1582.18</v>
      </c>
      <c r="K45" s="11">
        <f t="shared" si="15"/>
        <v>202.01</v>
      </c>
      <c r="L45" s="9">
        <f t="shared" si="14"/>
        <v>-5090.7588095237898</v>
      </c>
    </row>
    <row r="46" spans="1:13" s="23" customFormat="1" ht="11.45" hidden="1" customHeight="1" x14ac:dyDescent="0.25">
      <c r="A46" s="25" t="s">
        <v>64</v>
      </c>
      <c r="B46" s="24" t="s">
        <v>65</v>
      </c>
      <c r="C46" s="71"/>
      <c r="D46" s="91"/>
      <c r="E46" s="91"/>
      <c r="F46" s="91"/>
      <c r="G46" s="91"/>
      <c r="H46" s="9">
        <f>D46+F46+'09-03-20'!H46</f>
        <v>0</v>
      </c>
      <c r="I46" s="9">
        <f>E46+G46+'09-03-20'!I46</f>
        <v>0</v>
      </c>
      <c r="J46" s="11">
        <f t="shared" si="13"/>
        <v>0</v>
      </c>
      <c r="K46" s="11">
        <f t="shared" si="15"/>
        <v>0</v>
      </c>
      <c r="L46" s="9">
        <f t="shared" si="14"/>
        <v>0</v>
      </c>
    </row>
    <row r="47" spans="1:13" ht="11.25" customHeight="1" x14ac:dyDescent="0.25">
      <c r="A47" s="25" t="s">
        <v>57</v>
      </c>
      <c r="B47" s="24" t="s">
        <v>58</v>
      </c>
      <c r="C47" s="70">
        <v>843.44</v>
      </c>
      <c r="D47" s="70">
        <v>53.73</v>
      </c>
      <c r="E47" s="70">
        <v>1.02</v>
      </c>
      <c r="F47" s="70">
        <v>0</v>
      </c>
      <c r="G47" s="70">
        <v>0</v>
      </c>
      <c r="H47" s="9">
        <f>D47+F47+'09-03-20'!H47</f>
        <v>599.70000000000005</v>
      </c>
      <c r="I47" s="9">
        <f>E47+G47+'09-03-20'!I47</f>
        <v>11.36</v>
      </c>
      <c r="J47" s="11">
        <f>H47+I47</f>
        <v>611.06000000000006</v>
      </c>
      <c r="K47" s="11">
        <f>C47-J47</f>
        <v>232.38</v>
      </c>
      <c r="L47" s="9">
        <f t="shared" si="14"/>
        <v>-1811.7611904761834</v>
      </c>
    </row>
    <row r="48" spans="1:13" ht="21.6" customHeight="1" x14ac:dyDescent="0.25">
      <c r="A48" s="153" t="s">
        <v>5</v>
      </c>
      <c r="B48" s="154"/>
      <c r="C48" s="7">
        <f t="shared" ref="C48:L48" si="18">SUM(C32:C47)</f>
        <v>42033.420000000006</v>
      </c>
      <c r="D48" s="7">
        <f t="shared" si="18"/>
        <v>974.66000000000008</v>
      </c>
      <c r="E48" s="7">
        <f t="shared" si="18"/>
        <v>18.48</v>
      </c>
      <c r="F48" s="7">
        <f t="shared" si="18"/>
        <v>720</v>
      </c>
      <c r="G48" s="7">
        <f t="shared" si="18"/>
        <v>37.44</v>
      </c>
      <c r="H48" s="7">
        <f t="shared" si="18"/>
        <v>12494.95</v>
      </c>
      <c r="I48" s="7">
        <f t="shared" si="18"/>
        <v>463.077</v>
      </c>
      <c r="J48" s="7">
        <f t="shared" si="18"/>
        <v>12958.026999999998</v>
      </c>
      <c r="K48" s="7">
        <f t="shared" si="18"/>
        <v>29075.392999999996</v>
      </c>
      <c r="L48" s="7">
        <f t="shared" si="18"/>
        <v>-14272.292559523652</v>
      </c>
    </row>
    <row r="49" spans="1:12" ht="10.9" customHeight="1" x14ac:dyDescent="0.25">
      <c r="A49" s="17"/>
      <c r="B49" s="16"/>
      <c r="C49" s="14"/>
      <c r="D49" s="15"/>
      <c r="E49" s="15"/>
      <c r="F49" s="15"/>
      <c r="G49" s="15"/>
      <c r="H49" s="14"/>
      <c r="I49" s="14"/>
      <c r="J49" s="14"/>
      <c r="K49" s="14"/>
      <c r="L49" s="14"/>
    </row>
    <row r="50" spans="1:12" ht="10.9" customHeight="1" x14ac:dyDescent="0.25">
      <c r="A50" s="17"/>
      <c r="B50" s="16"/>
      <c r="C50" s="14"/>
      <c r="D50" s="15"/>
      <c r="E50" s="15"/>
      <c r="F50" s="15"/>
      <c r="G50" s="15"/>
      <c r="H50" s="14"/>
      <c r="I50" s="14"/>
      <c r="J50" s="14"/>
      <c r="K50" s="14"/>
      <c r="L50" s="14"/>
    </row>
    <row r="51" spans="1:12" s="92" customFormat="1" ht="10.9" customHeight="1" x14ac:dyDescent="0.25">
      <c r="A51" s="22" t="s">
        <v>4</v>
      </c>
      <c r="B51" s="29" t="s">
        <v>3</v>
      </c>
      <c r="C51" s="9">
        <v>62583</v>
      </c>
      <c r="D51" s="10">
        <f>67.41+909.46</f>
        <v>976.87</v>
      </c>
      <c r="E51" s="10">
        <f>1.28+17.27</f>
        <v>18.55</v>
      </c>
      <c r="F51" s="10">
        <v>0</v>
      </c>
      <c r="G51" s="10">
        <v>0</v>
      </c>
      <c r="H51" s="9">
        <f>D51+F51+'09-03-20'!H51</f>
        <v>6385.579999999999</v>
      </c>
      <c r="I51" s="9">
        <f>E51+G51+'09-03-20'!I51</f>
        <v>147.93200000000002</v>
      </c>
      <c r="J51" s="9">
        <f t="shared" ref="J51" si="19">H51+I51</f>
        <v>6533.5119999999988</v>
      </c>
      <c r="K51" s="9">
        <f>C51-J51</f>
        <v>56049.487999999998</v>
      </c>
      <c r="L51" s="9">
        <f>C51-((J51/6)*26.0714285714285)</f>
        <v>34193.334761904844</v>
      </c>
    </row>
    <row r="52" spans="1:12" ht="21.6" customHeight="1" x14ac:dyDescent="0.25">
      <c r="A52" s="20" t="s">
        <v>2</v>
      </c>
      <c r="B52" s="19"/>
      <c r="C52" s="18">
        <f t="shared" ref="C52:L52" si="20">C51</f>
        <v>62583</v>
      </c>
      <c r="D52" s="18">
        <f t="shared" si="20"/>
        <v>976.87</v>
      </c>
      <c r="E52" s="18">
        <f t="shared" si="20"/>
        <v>18.55</v>
      </c>
      <c r="F52" s="18">
        <f t="shared" si="20"/>
        <v>0</v>
      </c>
      <c r="G52" s="18">
        <f t="shared" si="20"/>
        <v>0</v>
      </c>
      <c r="H52" s="18">
        <f t="shared" si="20"/>
        <v>6385.579999999999</v>
      </c>
      <c r="I52" s="18">
        <f t="shared" si="20"/>
        <v>147.93200000000002</v>
      </c>
      <c r="J52" s="18">
        <f t="shared" si="20"/>
        <v>6533.5119999999988</v>
      </c>
      <c r="K52" s="18">
        <f t="shared" si="20"/>
        <v>56049.487999999998</v>
      </c>
      <c r="L52" s="18">
        <f t="shared" si="20"/>
        <v>34193.334761904844</v>
      </c>
    </row>
    <row r="53" spans="1:12" ht="10.9" customHeight="1" x14ac:dyDescent="0.25">
      <c r="A53" s="17"/>
      <c r="B53" s="16"/>
      <c r="C53" s="14"/>
      <c r="D53" s="15"/>
      <c r="E53" s="15"/>
      <c r="F53" s="15"/>
      <c r="G53" s="15"/>
      <c r="H53" s="14"/>
      <c r="I53" s="14"/>
      <c r="J53" s="14"/>
      <c r="K53" s="14"/>
      <c r="L53" s="14"/>
    </row>
    <row r="54" spans="1:12" ht="10.9" customHeight="1" x14ac:dyDescent="0.25">
      <c r="A54" s="17"/>
      <c r="B54" s="16"/>
      <c r="C54" s="14"/>
      <c r="D54" s="15"/>
      <c r="E54" s="15"/>
      <c r="F54" s="15"/>
      <c r="G54" s="15"/>
      <c r="H54" s="14"/>
      <c r="I54" s="14"/>
      <c r="J54" s="14"/>
      <c r="K54" s="14"/>
      <c r="L54" s="14"/>
    </row>
    <row r="55" spans="1:12" s="92" customFormat="1" ht="10.9" customHeight="1" x14ac:dyDescent="0.25">
      <c r="A55" s="13" t="s">
        <v>1</v>
      </c>
      <c r="B55" s="33">
        <v>55180000</v>
      </c>
      <c r="C55" s="9">
        <v>37736</v>
      </c>
      <c r="D55" s="10">
        <v>0</v>
      </c>
      <c r="E55" s="10">
        <v>0</v>
      </c>
      <c r="F55" s="10">
        <v>438.6</v>
      </c>
      <c r="G55" s="10">
        <v>22.8</v>
      </c>
      <c r="H55" s="9">
        <f>D55+F55+'09-03-20'!H55</f>
        <v>2514.64</v>
      </c>
      <c r="I55" s="9">
        <f>E55+G55+'09-03-20'!I55</f>
        <v>130.72</v>
      </c>
      <c r="J55" s="9">
        <f t="shared" ref="J55" si="21">H55+I55</f>
        <v>2645.3599999999997</v>
      </c>
      <c r="K55" s="9">
        <f>C55-J55</f>
        <v>35090.639999999999</v>
      </c>
      <c r="L55" s="9">
        <f>C55-((J55/6)*26.0714285714285)</f>
        <v>26241.280952380985</v>
      </c>
    </row>
    <row r="56" spans="1:12" s="3" customFormat="1" ht="21.6" customHeight="1" x14ac:dyDescent="0.25">
      <c r="A56" s="153" t="s">
        <v>0</v>
      </c>
      <c r="B56" s="154"/>
      <c r="C56" s="7">
        <f t="shared" ref="C56:L56" si="22">SUM(C55)</f>
        <v>37736</v>
      </c>
      <c r="D56" s="7">
        <f t="shared" si="22"/>
        <v>0</v>
      </c>
      <c r="E56" s="7">
        <f t="shared" si="22"/>
        <v>0</v>
      </c>
      <c r="F56" s="7">
        <f t="shared" si="22"/>
        <v>438.6</v>
      </c>
      <c r="G56" s="7">
        <f t="shared" si="22"/>
        <v>22.8</v>
      </c>
      <c r="H56" s="7">
        <f t="shared" si="22"/>
        <v>2514.64</v>
      </c>
      <c r="I56" s="7">
        <f t="shared" si="22"/>
        <v>130.72</v>
      </c>
      <c r="J56" s="7">
        <f t="shared" si="22"/>
        <v>2645.3599999999997</v>
      </c>
      <c r="K56" s="7">
        <f t="shared" si="22"/>
        <v>35090.639999999999</v>
      </c>
      <c r="L56" s="7">
        <f t="shared" si="22"/>
        <v>26241.280952380985</v>
      </c>
    </row>
    <row r="57" spans="1:12" s="3" customFormat="1" ht="11.25" customHeight="1" x14ac:dyDescent="0.25">
      <c r="A57" s="6"/>
      <c r="B57" s="5"/>
      <c r="C57" s="4"/>
      <c r="D57" s="4"/>
      <c r="E57" s="4"/>
      <c r="F57" s="4"/>
      <c r="G57" s="4"/>
      <c r="H57" s="4"/>
      <c r="I57" s="4"/>
      <c r="J57" s="4"/>
      <c r="K57" s="4"/>
      <c r="L57" s="4"/>
    </row>
    <row r="58" spans="1:12" s="2" customFormat="1" ht="10.5" customHeight="1" x14ac:dyDescent="0.25">
      <c r="A58" s="160" t="s">
        <v>72</v>
      </c>
      <c r="B58" s="160"/>
      <c r="C58" s="160"/>
      <c r="D58" s="160"/>
      <c r="E58" s="160"/>
      <c r="F58" s="160"/>
      <c r="G58" s="82">
        <v>12000</v>
      </c>
    </row>
    <row r="59" spans="1:12" s="2" customFormat="1" ht="10.5" customHeight="1" x14ac:dyDescent="0.25">
      <c r="A59" s="160" t="s">
        <v>73</v>
      </c>
      <c r="B59" s="160"/>
      <c r="C59" s="160"/>
      <c r="D59" s="160"/>
      <c r="E59" s="160"/>
      <c r="F59" s="160"/>
      <c r="G59" s="82">
        <v>5600</v>
      </c>
    </row>
    <row r="60" spans="1:12" ht="10.5" customHeight="1" x14ac:dyDescent="0.25">
      <c r="A60" s="160" t="s">
        <v>76</v>
      </c>
      <c r="B60" s="160"/>
      <c r="C60" s="160"/>
      <c r="D60" s="160"/>
      <c r="E60" s="160"/>
      <c r="F60" s="160"/>
      <c r="G60" s="82">
        <v>9800</v>
      </c>
    </row>
    <row r="61" spans="1:12" ht="10.5" customHeight="1" x14ac:dyDescent="0.25">
      <c r="A61" s="160" t="s">
        <v>75</v>
      </c>
      <c r="B61" s="160"/>
      <c r="C61" s="160"/>
      <c r="D61" s="160"/>
      <c r="E61" s="160"/>
      <c r="F61" s="160"/>
      <c r="G61" s="82">
        <v>1500</v>
      </c>
    </row>
    <row r="62" spans="1:12" ht="10.5" customHeight="1" x14ac:dyDescent="0.25">
      <c r="A62" s="160" t="s">
        <v>74</v>
      </c>
      <c r="B62" s="160"/>
      <c r="C62" s="160"/>
      <c r="D62" s="160"/>
      <c r="E62" s="160"/>
      <c r="F62" s="160"/>
      <c r="G62" s="82">
        <v>843.44</v>
      </c>
    </row>
    <row r="63" spans="1:12" ht="10.5" customHeight="1" x14ac:dyDescent="0.25">
      <c r="A63" s="160" t="s">
        <v>77</v>
      </c>
      <c r="B63" s="160"/>
      <c r="C63" s="160"/>
      <c r="D63" s="160"/>
      <c r="E63" s="160"/>
      <c r="F63" s="160"/>
      <c r="G63" s="82">
        <v>1784.19</v>
      </c>
    </row>
    <row r="64" spans="1:12" ht="10.5" customHeight="1" x14ac:dyDescent="0.25">
      <c r="A64" s="160" t="s">
        <v>78</v>
      </c>
      <c r="B64" s="160"/>
      <c r="C64" s="160"/>
      <c r="D64" s="160"/>
      <c r="E64" s="160"/>
      <c r="F64" s="160"/>
      <c r="G64" s="82">
        <v>2453.12</v>
      </c>
    </row>
    <row r="65" spans="1:7" ht="10.5" customHeight="1" x14ac:dyDescent="0.25">
      <c r="A65" s="160" t="s">
        <v>84</v>
      </c>
      <c r="B65" s="160"/>
      <c r="C65" s="160"/>
      <c r="D65" s="160"/>
      <c r="E65" s="160"/>
      <c r="F65" s="160"/>
      <c r="G65" s="82">
        <v>2598.4499999999998</v>
      </c>
    </row>
  </sheetData>
  <mergeCells count="14">
    <mergeCell ref="A64:F64"/>
    <mergeCell ref="A65:F65"/>
    <mergeCell ref="A58:F58"/>
    <mergeCell ref="A59:F59"/>
    <mergeCell ref="A60:F60"/>
    <mergeCell ref="A61:F61"/>
    <mergeCell ref="A62:F62"/>
    <mergeCell ref="A63:F63"/>
    <mergeCell ref="A56:B56"/>
    <mergeCell ref="A14:B14"/>
    <mergeCell ref="A20:B20"/>
    <mergeCell ref="A26:B26"/>
    <mergeCell ref="A29:B29"/>
    <mergeCell ref="A48:B48"/>
  </mergeCells>
  <pageMargins left="0.25" right="0" top="0.4" bottom="0" header="0.3" footer="0"/>
  <pageSetup scale="86" fitToWidth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M66"/>
  <sheetViews>
    <sheetView zoomScale="145" zoomScaleNormal="145" workbookViewId="0">
      <pane ySplit="2" topLeftCell="A21" activePane="bottomLeft" state="frozen"/>
      <selection pane="bottomLeft" activeCell="K36" sqref="K36"/>
    </sheetView>
  </sheetViews>
  <sheetFormatPr defaultColWidth="28" defaultRowHeight="15" x14ac:dyDescent="0.25"/>
  <cols>
    <col min="1" max="1" width="33.140625" style="1" bestFit="1" customWidth="1"/>
    <col min="2" max="2" width="18.7109375" style="1" bestFit="1" customWidth="1"/>
    <col min="3" max="3" width="10.42578125" style="77" customWidth="1"/>
    <col min="4" max="4" width="8.140625" style="2" bestFit="1" customWidth="1"/>
    <col min="5" max="5" width="6.28515625" style="2" bestFit="1" customWidth="1"/>
    <col min="6" max="6" width="8.28515625" style="2" bestFit="1" customWidth="1"/>
    <col min="7" max="7" width="8.7109375" style="2" bestFit="1" customWidth="1"/>
    <col min="8" max="8" width="9.28515625" style="2" bestFit="1" customWidth="1"/>
    <col min="9" max="9" width="10.7109375" style="2" bestFit="1" customWidth="1"/>
    <col min="10" max="10" width="9.7109375" style="2" bestFit="1" customWidth="1"/>
    <col min="11" max="11" width="11.140625" style="2" customWidth="1"/>
    <col min="12" max="12" width="13.42578125" style="2" bestFit="1" customWidth="1"/>
    <col min="13" max="16384" width="28" style="1"/>
  </cols>
  <sheetData>
    <row r="1" spans="1:13" ht="11.25" customHeight="1" x14ac:dyDescent="0.25">
      <c r="A1" s="68"/>
      <c r="B1" s="67"/>
      <c r="C1" s="76"/>
      <c r="D1" s="66"/>
      <c r="E1" s="66"/>
      <c r="F1" s="66"/>
      <c r="G1" s="66"/>
      <c r="H1" s="66"/>
      <c r="I1" s="66"/>
      <c r="J1" s="66"/>
      <c r="K1" s="66"/>
      <c r="L1" s="65" t="s">
        <v>86</v>
      </c>
    </row>
    <row r="2" spans="1:13" s="61" customFormat="1" ht="34.5" x14ac:dyDescent="0.25">
      <c r="A2" s="64" t="s">
        <v>53</v>
      </c>
      <c r="B2" s="64" t="s">
        <v>52</v>
      </c>
      <c r="C2" s="63" t="s">
        <v>51</v>
      </c>
      <c r="D2" s="63" t="s">
        <v>50</v>
      </c>
      <c r="E2" s="63" t="s">
        <v>48</v>
      </c>
      <c r="F2" s="63" t="s">
        <v>49</v>
      </c>
      <c r="G2" s="63" t="s">
        <v>48</v>
      </c>
      <c r="H2" s="62" t="s">
        <v>47</v>
      </c>
      <c r="I2" s="62" t="s">
        <v>46</v>
      </c>
      <c r="J2" s="62" t="s">
        <v>45</v>
      </c>
      <c r="K2" s="62" t="s">
        <v>44</v>
      </c>
      <c r="L2" s="62" t="s">
        <v>43</v>
      </c>
    </row>
    <row r="3" spans="1:13" s="60" customFormat="1" ht="11.25" customHeight="1" x14ac:dyDescent="0.25">
      <c r="A3" s="22" t="s">
        <v>42</v>
      </c>
      <c r="B3" s="21">
        <v>55010300</v>
      </c>
      <c r="C3" s="11">
        <v>0</v>
      </c>
      <c r="D3" s="9">
        <v>0</v>
      </c>
      <c r="E3" s="9">
        <v>0</v>
      </c>
      <c r="F3" s="9">
        <v>0</v>
      </c>
      <c r="G3" s="9">
        <v>0</v>
      </c>
      <c r="H3" s="9">
        <f>D3+F3+'09-17-20'!H3</f>
        <v>0</v>
      </c>
      <c r="I3" s="9">
        <f>E3+G3+'09-17-20'!I3</f>
        <v>0</v>
      </c>
      <c r="J3" s="9">
        <f t="shared" ref="J3:J13" si="0">H3+I3</f>
        <v>0</v>
      </c>
      <c r="K3" s="9">
        <f>C3-J3</f>
        <v>0</v>
      </c>
      <c r="L3" s="9">
        <f>C3-((J3/7)*26.0714285714285)</f>
        <v>0</v>
      </c>
    </row>
    <row r="4" spans="1:13" s="59" customFormat="1" ht="11.25" customHeight="1" x14ac:dyDescent="0.25">
      <c r="A4" s="22" t="s">
        <v>41</v>
      </c>
      <c r="B4" s="21">
        <v>55010500</v>
      </c>
      <c r="C4" s="11">
        <v>3229</v>
      </c>
      <c r="D4" s="10">
        <v>0</v>
      </c>
      <c r="E4" s="10">
        <v>0</v>
      </c>
      <c r="F4" s="10">
        <v>0</v>
      </c>
      <c r="G4" s="10">
        <v>0</v>
      </c>
      <c r="H4" s="9">
        <f>D4+F4+'09-17-20'!H4</f>
        <v>0</v>
      </c>
      <c r="I4" s="9">
        <f>E4+G4+'09-17-20'!I4</f>
        <v>0</v>
      </c>
      <c r="J4" s="9">
        <f t="shared" si="0"/>
        <v>0</v>
      </c>
      <c r="K4" s="9">
        <f t="shared" ref="K4:K13" si="1">C4-J4</f>
        <v>3229</v>
      </c>
      <c r="L4" s="9">
        <f t="shared" ref="L4:L13" si="2">C4-((J4/7)*26.0714285714285)</f>
        <v>3229</v>
      </c>
    </row>
    <row r="5" spans="1:13" s="8" customFormat="1" ht="11.25" customHeight="1" x14ac:dyDescent="0.25">
      <c r="A5" s="58" t="s">
        <v>40</v>
      </c>
      <c r="B5" s="57">
        <v>55020200</v>
      </c>
      <c r="C5" s="56">
        <v>24649</v>
      </c>
      <c r="D5" s="55">
        <f>-2056.62+320.69</f>
        <v>-1735.9299999999998</v>
      </c>
      <c r="E5" s="55">
        <f>-39.07+6.08</f>
        <v>-32.99</v>
      </c>
      <c r="F5" s="55">
        <v>0</v>
      </c>
      <c r="G5" s="55">
        <v>0</v>
      </c>
      <c r="H5" s="9">
        <f>D5+F5+'09-17-20'!H5</f>
        <v>5140.2100000000009</v>
      </c>
      <c r="I5" s="9">
        <f>E5+G5+'09-17-20'!I5</f>
        <v>97.609999999999985</v>
      </c>
      <c r="J5" s="9">
        <f t="shared" si="0"/>
        <v>5237.8200000000006</v>
      </c>
      <c r="K5" s="9">
        <f t="shared" si="1"/>
        <v>19411.18</v>
      </c>
      <c r="L5" s="9">
        <f t="shared" si="2"/>
        <v>5140.7928571429075</v>
      </c>
    </row>
    <row r="6" spans="1:13" s="8" customFormat="1" ht="11.25" customHeight="1" x14ac:dyDescent="0.25">
      <c r="A6" s="22" t="s">
        <v>39</v>
      </c>
      <c r="B6" s="21">
        <v>55020300</v>
      </c>
      <c r="C6" s="11">
        <v>17974</v>
      </c>
      <c r="D6" s="10">
        <v>463.47</v>
      </c>
      <c r="E6" s="10">
        <v>8.8000000000000007</v>
      </c>
      <c r="F6" s="10">
        <v>0</v>
      </c>
      <c r="G6" s="10">
        <v>0</v>
      </c>
      <c r="H6" s="9">
        <f>D6+F6+'09-17-20'!H6</f>
        <v>1089.67</v>
      </c>
      <c r="I6" s="9">
        <f>E6+G6+'09-17-20'!I6</f>
        <v>20.68</v>
      </c>
      <c r="J6" s="9">
        <f t="shared" si="0"/>
        <v>1110.3500000000001</v>
      </c>
      <c r="K6" s="9">
        <f t="shared" si="1"/>
        <v>16863.650000000001</v>
      </c>
      <c r="L6" s="9">
        <f t="shared" si="2"/>
        <v>13838.512755102052</v>
      </c>
    </row>
    <row r="7" spans="1:13" s="8" customFormat="1" ht="11.25" customHeight="1" x14ac:dyDescent="0.25">
      <c r="A7" s="22" t="s">
        <v>38</v>
      </c>
      <c r="B7" s="21">
        <v>55020400</v>
      </c>
      <c r="C7" s="11">
        <v>17974</v>
      </c>
      <c r="D7" s="10">
        <f>-392.78+353.93</f>
        <v>-38.849999999999966</v>
      </c>
      <c r="E7" s="10">
        <f>-7.46+6.71</f>
        <v>-0.75</v>
      </c>
      <c r="F7" s="10">
        <v>0</v>
      </c>
      <c r="G7" s="10">
        <v>0</v>
      </c>
      <c r="H7" s="9">
        <f>D7+F7+'09-17-20'!H7</f>
        <v>806.10000000000014</v>
      </c>
      <c r="I7" s="9">
        <f>E7+G7+'09-17-20'!I7</f>
        <v>15.29</v>
      </c>
      <c r="J7" s="9">
        <f t="shared" si="0"/>
        <v>821.3900000000001</v>
      </c>
      <c r="K7" s="9">
        <f t="shared" si="1"/>
        <v>17152.61</v>
      </c>
      <c r="L7" s="9">
        <f t="shared" si="2"/>
        <v>14914.74132653062</v>
      </c>
    </row>
    <row r="8" spans="1:13" s="8" customFormat="1" ht="11.25" customHeight="1" x14ac:dyDescent="0.25">
      <c r="A8" s="54" t="s">
        <v>37</v>
      </c>
      <c r="B8" s="21">
        <v>55030200</v>
      </c>
      <c r="C8" s="11">
        <v>24330</v>
      </c>
      <c r="D8" s="10">
        <f>-176.09+271.07</f>
        <v>94.97999999999999</v>
      </c>
      <c r="E8" s="10">
        <f>-3.34+5.14</f>
        <v>1.7999999999999998</v>
      </c>
      <c r="F8" s="10">
        <v>0</v>
      </c>
      <c r="G8" s="10">
        <v>0</v>
      </c>
      <c r="H8" s="9">
        <f>D8+F8+'09-17-20'!H8</f>
        <v>3350.9700000000003</v>
      </c>
      <c r="I8" s="9">
        <f>E8+G8+'09-17-20'!I8</f>
        <v>63.629999999999995</v>
      </c>
      <c r="J8" s="9">
        <f t="shared" si="0"/>
        <v>3414.6000000000004</v>
      </c>
      <c r="K8" s="9">
        <f t="shared" si="1"/>
        <v>20915.400000000001</v>
      </c>
      <c r="L8" s="9">
        <f t="shared" si="2"/>
        <v>11612.357142857176</v>
      </c>
    </row>
    <row r="9" spans="1:13" s="8" customFormat="1" ht="11.25" customHeight="1" x14ac:dyDescent="0.25">
      <c r="A9" s="22" t="s">
        <v>36</v>
      </c>
      <c r="B9" s="21">
        <v>55050200</v>
      </c>
      <c r="C9" s="11">
        <v>34000</v>
      </c>
      <c r="D9" s="10">
        <f>-186.23+887.64</f>
        <v>701.41</v>
      </c>
      <c r="E9" s="10">
        <f>-3.53+16.85</f>
        <v>13.320000000000002</v>
      </c>
      <c r="F9" s="10">
        <v>0</v>
      </c>
      <c r="G9" s="10">
        <v>0</v>
      </c>
      <c r="H9" s="9">
        <f>D9+F9+'09-17-20'!H9</f>
        <v>3766.44</v>
      </c>
      <c r="I9" s="9">
        <f>E9+G9+'09-17-20'!I9</f>
        <v>71.52</v>
      </c>
      <c r="J9" s="9">
        <f t="shared" si="0"/>
        <v>3837.96</v>
      </c>
      <c r="K9" s="9">
        <f t="shared" si="1"/>
        <v>30162.04</v>
      </c>
      <c r="L9" s="9">
        <f t="shared" si="2"/>
        <v>19705.557142857186</v>
      </c>
    </row>
    <row r="10" spans="1:13" s="8" customFormat="1" ht="11.25" hidden="1" customHeight="1" x14ac:dyDescent="0.25">
      <c r="A10" s="22" t="s">
        <v>80</v>
      </c>
      <c r="B10" s="21">
        <v>55050300</v>
      </c>
      <c r="C10" s="71"/>
      <c r="D10" s="9"/>
      <c r="E10" s="9"/>
      <c r="F10" s="9"/>
      <c r="G10" s="9"/>
      <c r="H10" s="9">
        <f>D10+F10+'09-17-20'!H10</f>
        <v>-310</v>
      </c>
      <c r="I10" s="9">
        <f>E10+G10+'09-17-20'!I10</f>
        <v>-5.8900000000000006</v>
      </c>
      <c r="J10" s="9">
        <f t="shared" si="0"/>
        <v>-315.89</v>
      </c>
      <c r="K10" s="9">
        <f t="shared" si="1"/>
        <v>315.89</v>
      </c>
      <c r="L10" s="9">
        <f t="shared" si="2"/>
        <v>1176.5290816326499</v>
      </c>
      <c r="M10" s="23"/>
    </row>
    <row r="11" spans="1:13" s="23" customFormat="1" ht="11.25" customHeight="1" x14ac:dyDescent="0.25">
      <c r="A11" s="22" t="s">
        <v>35</v>
      </c>
      <c r="B11" s="21">
        <v>55070100</v>
      </c>
      <c r="C11" s="11">
        <v>42741</v>
      </c>
      <c r="D11" s="10">
        <f>-570.8+865.01</f>
        <v>294.21000000000004</v>
      </c>
      <c r="E11" s="10">
        <f>-10.84+16.42</f>
        <v>5.5800000000000018</v>
      </c>
      <c r="F11" s="10">
        <v>0</v>
      </c>
      <c r="G11" s="10">
        <v>0</v>
      </c>
      <c r="H11" s="9">
        <f>D11+F11+'09-17-20'!H11</f>
        <v>5198.95</v>
      </c>
      <c r="I11" s="9">
        <f>E11+G11+'09-17-20'!I11</f>
        <v>99.789999999999992</v>
      </c>
      <c r="J11" s="9">
        <f t="shared" si="0"/>
        <v>5298.74</v>
      </c>
      <c r="K11" s="9">
        <f t="shared" si="1"/>
        <v>37442.26</v>
      </c>
      <c r="L11" s="9">
        <f t="shared" si="2"/>
        <v>23005.896938775564</v>
      </c>
    </row>
    <row r="12" spans="1:13" s="8" customFormat="1" ht="11.25" customHeight="1" x14ac:dyDescent="0.25">
      <c r="A12" s="22" t="s">
        <v>34</v>
      </c>
      <c r="B12" s="21">
        <v>55080100</v>
      </c>
      <c r="C12" s="11">
        <v>23173</v>
      </c>
      <c r="D12" s="10">
        <v>988.98</v>
      </c>
      <c r="E12" s="10">
        <v>18.79</v>
      </c>
      <c r="F12" s="10">
        <v>0</v>
      </c>
      <c r="G12" s="10">
        <v>0</v>
      </c>
      <c r="H12" s="9">
        <f>D12+F12+'09-17-20'!H12</f>
        <v>3336.15</v>
      </c>
      <c r="I12" s="9">
        <f>E12+G12+'09-17-20'!I12</f>
        <v>63.35</v>
      </c>
      <c r="J12" s="9">
        <f t="shared" si="0"/>
        <v>3399.5</v>
      </c>
      <c r="K12" s="9">
        <f t="shared" si="1"/>
        <v>19773.5</v>
      </c>
      <c r="L12" s="9">
        <f t="shared" si="2"/>
        <v>10511.596938775545</v>
      </c>
    </row>
    <row r="13" spans="1:13" s="44" customFormat="1" ht="11.25" customHeight="1" x14ac:dyDescent="0.25">
      <c r="A13" s="53" t="s">
        <v>33</v>
      </c>
      <c r="B13" s="12">
        <v>55190000</v>
      </c>
      <c r="C13" s="11">
        <v>6000</v>
      </c>
      <c r="D13" s="10">
        <v>0</v>
      </c>
      <c r="E13" s="10">
        <v>0</v>
      </c>
      <c r="F13" s="10">
        <v>0</v>
      </c>
      <c r="G13" s="10">
        <v>0</v>
      </c>
      <c r="H13" s="9">
        <f>D13+F13+'09-17-20'!H13</f>
        <v>0</v>
      </c>
      <c r="I13" s="9">
        <f>E13+G13+'09-17-20'!I13</f>
        <v>0</v>
      </c>
      <c r="J13" s="9">
        <f t="shared" si="0"/>
        <v>0</v>
      </c>
      <c r="K13" s="9">
        <f t="shared" si="1"/>
        <v>6000</v>
      </c>
      <c r="L13" s="9">
        <f t="shared" si="2"/>
        <v>6000</v>
      </c>
    </row>
    <row r="14" spans="1:13" ht="21.6" customHeight="1" thickBot="1" x14ac:dyDescent="0.3">
      <c r="A14" s="155" t="s">
        <v>32</v>
      </c>
      <c r="B14" s="156"/>
      <c r="C14" s="49">
        <f t="shared" ref="C14:L14" si="3">SUM(C3:C13)</f>
        <v>194070</v>
      </c>
      <c r="D14" s="7">
        <f t="shared" si="3"/>
        <v>768.27000000000032</v>
      </c>
      <c r="E14" s="7">
        <f t="shared" si="3"/>
        <v>14.550000000000002</v>
      </c>
      <c r="F14" s="7">
        <f t="shared" si="3"/>
        <v>0</v>
      </c>
      <c r="G14" s="7">
        <f t="shared" si="3"/>
        <v>0</v>
      </c>
      <c r="H14" s="7">
        <f t="shared" si="3"/>
        <v>22378.49</v>
      </c>
      <c r="I14" s="7">
        <f t="shared" si="3"/>
        <v>425.98</v>
      </c>
      <c r="J14" s="49">
        <f t="shared" si="3"/>
        <v>22804.47</v>
      </c>
      <c r="K14" s="49">
        <f t="shared" si="3"/>
        <v>171265.53</v>
      </c>
      <c r="L14" s="7">
        <f t="shared" si="3"/>
        <v>109134.98418367369</v>
      </c>
    </row>
    <row r="15" spans="1:13" ht="11.25" customHeight="1" x14ac:dyDescent="0.25">
      <c r="A15" s="52"/>
      <c r="B15" s="41"/>
      <c r="C15" s="40"/>
      <c r="D15" s="40"/>
      <c r="E15" s="40"/>
      <c r="F15" s="40"/>
      <c r="G15" s="40"/>
      <c r="H15" s="39"/>
      <c r="I15" s="39"/>
      <c r="J15" s="39"/>
      <c r="K15" s="39"/>
      <c r="L15" s="51"/>
    </row>
    <row r="16" spans="1:13" ht="11.25" customHeight="1" thickBot="1" x14ac:dyDescent="0.3">
      <c r="A16" s="38"/>
      <c r="B16" s="37"/>
      <c r="C16" s="36"/>
      <c r="D16" s="36"/>
      <c r="E16" s="36"/>
      <c r="F16" s="36"/>
      <c r="G16" s="36"/>
      <c r="H16" s="35"/>
      <c r="I16" s="35"/>
      <c r="J16" s="35"/>
      <c r="K16" s="35"/>
      <c r="L16" s="50"/>
    </row>
    <row r="17" spans="1:13" s="8" customFormat="1" ht="11.45" customHeight="1" x14ac:dyDescent="0.25">
      <c r="A17" s="13" t="s">
        <v>31</v>
      </c>
      <c r="B17" s="12">
        <v>55090100</v>
      </c>
      <c r="C17" s="11">
        <v>26923</v>
      </c>
      <c r="D17" s="10">
        <v>0</v>
      </c>
      <c r="E17" s="10">
        <v>0</v>
      </c>
      <c r="F17" s="10">
        <v>1200</v>
      </c>
      <c r="G17" s="10">
        <v>62.4</v>
      </c>
      <c r="H17" s="9">
        <f>D17+F17+'09-17-20'!H17</f>
        <v>7695</v>
      </c>
      <c r="I17" s="9">
        <f>E17+G17+'09-17-20'!I17</f>
        <v>400.13</v>
      </c>
      <c r="J17" s="9">
        <f t="shared" ref="J17:J19" si="4">H17+I17</f>
        <v>8095.13</v>
      </c>
      <c r="K17" s="9">
        <f>C17-J17</f>
        <v>18827.87</v>
      </c>
      <c r="L17" s="9">
        <f t="shared" ref="L17:L19" si="5">C17-((J17/7)*26.0714285714285)</f>
        <v>-3227.2290816325658</v>
      </c>
    </row>
    <row r="18" spans="1:13" s="8" customFormat="1" ht="11.45" customHeight="1" x14ac:dyDescent="0.25">
      <c r="A18" s="22" t="s">
        <v>30</v>
      </c>
      <c r="B18" s="21">
        <v>55160100</v>
      </c>
      <c r="C18" s="11">
        <v>16062</v>
      </c>
      <c r="D18" s="9">
        <v>0</v>
      </c>
      <c r="E18" s="9">
        <v>0</v>
      </c>
      <c r="F18" s="10">
        <v>0</v>
      </c>
      <c r="G18" s="10">
        <v>0</v>
      </c>
      <c r="H18" s="9">
        <f>D18+F18+'09-17-20'!H18</f>
        <v>0</v>
      </c>
      <c r="I18" s="9">
        <f>E18+G18+'09-17-20'!I18</f>
        <v>0</v>
      </c>
      <c r="J18" s="9">
        <f t="shared" si="4"/>
        <v>0</v>
      </c>
      <c r="K18" s="9">
        <f t="shared" ref="K18:K19" si="6">C18-J18</f>
        <v>16062</v>
      </c>
      <c r="L18" s="9">
        <f t="shared" si="5"/>
        <v>16062</v>
      </c>
    </row>
    <row r="19" spans="1:13" s="8" customFormat="1" ht="11.45" customHeight="1" x14ac:dyDescent="0.25">
      <c r="A19" s="13" t="s">
        <v>29</v>
      </c>
      <c r="B19" s="12">
        <v>55100100</v>
      </c>
      <c r="C19" s="11">
        <v>2026</v>
      </c>
      <c r="D19" s="10">
        <v>104.86</v>
      </c>
      <c r="E19" s="10">
        <v>1.98</v>
      </c>
      <c r="F19" s="10">
        <v>0</v>
      </c>
      <c r="G19" s="10">
        <v>0</v>
      </c>
      <c r="H19" s="9">
        <f>D19+F19+'09-17-20'!H19</f>
        <v>429.28</v>
      </c>
      <c r="I19" s="9">
        <f>E19+G19+'09-17-20'!I19</f>
        <v>7.254999999999999</v>
      </c>
      <c r="J19" s="9">
        <f t="shared" si="4"/>
        <v>436.53499999999997</v>
      </c>
      <c r="K19" s="9">
        <f t="shared" si="6"/>
        <v>1589.4650000000001</v>
      </c>
      <c r="L19" s="9">
        <f t="shared" si="5"/>
        <v>400.12984693878025</v>
      </c>
    </row>
    <row r="20" spans="1:13" ht="21.6" customHeight="1" thickBot="1" x14ac:dyDescent="0.3">
      <c r="A20" s="155" t="s">
        <v>28</v>
      </c>
      <c r="B20" s="156"/>
      <c r="C20" s="7">
        <f t="shared" ref="C20:L20" si="7">SUM(C17:C19)</f>
        <v>45011</v>
      </c>
      <c r="D20" s="7">
        <f t="shared" si="7"/>
        <v>104.86</v>
      </c>
      <c r="E20" s="7">
        <f t="shared" si="7"/>
        <v>1.98</v>
      </c>
      <c r="F20" s="7">
        <f t="shared" si="7"/>
        <v>1200</v>
      </c>
      <c r="G20" s="7">
        <f t="shared" si="7"/>
        <v>62.4</v>
      </c>
      <c r="H20" s="7">
        <f t="shared" si="7"/>
        <v>8124.28</v>
      </c>
      <c r="I20" s="7">
        <f t="shared" si="7"/>
        <v>407.38499999999999</v>
      </c>
      <c r="J20" s="49">
        <f t="shared" si="7"/>
        <v>8531.6650000000009</v>
      </c>
      <c r="K20" s="7">
        <f t="shared" si="7"/>
        <v>36479.334999999992</v>
      </c>
      <c r="L20" s="7">
        <f t="shared" si="7"/>
        <v>13234.900765306214</v>
      </c>
    </row>
    <row r="21" spans="1:13" ht="11.25" customHeight="1" x14ac:dyDescent="0.25">
      <c r="A21" s="42"/>
      <c r="B21" s="41"/>
      <c r="C21" s="40"/>
      <c r="D21" s="39"/>
      <c r="E21" s="39"/>
      <c r="F21" s="39"/>
      <c r="G21" s="39"/>
      <c r="H21" s="39"/>
      <c r="I21" s="39"/>
      <c r="J21" s="39"/>
      <c r="K21" s="39"/>
      <c r="L21" s="51"/>
    </row>
    <row r="22" spans="1:13" ht="11.25" customHeight="1" thickBot="1" x14ac:dyDescent="0.3">
      <c r="A22" s="38"/>
      <c r="B22" s="37"/>
      <c r="C22" s="36"/>
      <c r="D22" s="35"/>
      <c r="E22" s="35"/>
      <c r="F22" s="35"/>
      <c r="G22" s="35"/>
      <c r="H22" s="35"/>
      <c r="I22" s="35"/>
      <c r="J22" s="35"/>
      <c r="K22" s="35"/>
      <c r="L22" s="50"/>
    </row>
    <row r="23" spans="1:13" s="44" customFormat="1" ht="11.45" customHeight="1" x14ac:dyDescent="0.25">
      <c r="A23" s="13" t="s">
        <v>27</v>
      </c>
      <c r="B23" s="12">
        <v>55200000</v>
      </c>
      <c r="C23" s="11">
        <v>25000</v>
      </c>
      <c r="D23" s="10">
        <v>386.25</v>
      </c>
      <c r="E23" s="10">
        <v>7.33</v>
      </c>
      <c r="F23" s="10">
        <v>0</v>
      </c>
      <c r="G23" s="10">
        <v>0</v>
      </c>
      <c r="H23" s="9">
        <f>D23+F23+'09-17-20'!H23</f>
        <v>3165</v>
      </c>
      <c r="I23" s="9">
        <f>E23+G23+'09-17-20'!I23</f>
        <v>60.099999999999994</v>
      </c>
      <c r="J23" s="9">
        <f t="shared" ref="J23:J25" si="8">H23+I23</f>
        <v>3225.1</v>
      </c>
      <c r="K23" s="9">
        <f>C23-J23</f>
        <v>21774.9</v>
      </c>
      <c r="L23" s="9">
        <f t="shared" ref="L23:L25" si="9">C23-((J23/7)*26.0714285714285)</f>
        <v>12988.147959183709</v>
      </c>
      <c r="M23" s="31"/>
    </row>
    <row r="24" spans="1:13" s="44" customFormat="1" ht="11.45" hidden="1" customHeight="1" x14ac:dyDescent="0.25">
      <c r="A24" s="13" t="s">
        <v>26</v>
      </c>
      <c r="B24" s="48" t="s">
        <v>25</v>
      </c>
      <c r="C24" s="84">
        <v>0</v>
      </c>
      <c r="D24" s="45"/>
      <c r="E24" s="45"/>
      <c r="F24" s="45"/>
      <c r="G24" s="45"/>
      <c r="H24" s="9">
        <f>D24+F24+'09-17-20'!H24</f>
        <v>0</v>
      </c>
      <c r="I24" s="9">
        <f>E24+G24+'09-17-20'!I24</f>
        <v>-9.9999999999997868E-3</v>
      </c>
      <c r="J24" s="9">
        <f t="shared" si="8"/>
        <v>-9.9999999999997868E-3</v>
      </c>
      <c r="K24" s="75">
        <f t="shared" ref="K24:K25" si="10">C24-J24</f>
        <v>9.9999999999997868E-3</v>
      </c>
      <c r="L24" s="9">
        <f t="shared" si="9"/>
        <v>3.7244897959182781E-2</v>
      </c>
      <c r="M24" s="31"/>
    </row>
    <row r="25" spans="1:13" s="44" customFormat="1" ht="10.9" customHeight="1" x14ac:dyDescent="0.25">
      <c r="A25" s="28" t="s">
        <v>24</v>
      </c>
      <c r="B25" s="47" t="s">
        <v>23</v>
      </c>
      <c r="C25" s="46">
        <v>0</v>
      </c>
      <c r="D25" s="45">
        <v>0</v>
      </c>
      <c r="E25" s="45">
        <v>0</v>
      </c>
      <c r="F25" s="45">
        <v>0</v>
      </c>
      <c r="G25" s="45">
        <v>0</v>
      </c>
      <c r="H25" s="9">
        <f>D25+F25+'09-17-20'!H25</f>
        <v>0</v>
      </c>
      <c r="I25" s="9">
        <f>E25+G25+'09-17-20'!I25</f>
        <v>0</v>
      </c>
      <c r="J25" s="9">
        <f t="shared" si="8"/>
        <v>0</v>
      </c>
      <c r="K25" s="9">
        <f t="shared" si="10"/>
        <v>0</v>
      </c>
      <c r="L25" s="9">
        <f t="shared" si="9"/>
        <v>0</v>
      </c>
    </row>
    <row r="26" spans="1:13" ht="24.75" customHeight="1" thickBot="1" x14ac:dyDescent="0.3">
      <c r="A26" s="157" t="s">
        <v>22</v>
      </c>
      <c r="B26" s="158"/>
      <c r="C26" s="43">
        <f>SUM(C23:C24)</f>
        <v>25000</v>
      </c>
      <c r="D26" s="43">
        <f t="shared" ref="D26:L26" si="11">SUM(D23:D25)</f>
        <v>386.25</v>
      </c>
      <c r="E26" s="43">
        <f t="shared" si="11"/>
        <v>7.33</v>
      </c>
      <c r="F26" s="43">
        <f t="shared" si="11"/>
        <v>0</v>
      </c>
      <c r="G26" s="43">
        <f t="shared" si="11"/>
        <v>0</v>
      </c>
      <c r="H26" s="43">
        <f t="shared" si="11"/>
        <v>3165</v>
      </c>
      <c r="I26" s="43">
        <f t="shared" si="11"/>
        <v>60.089999999999996</v>
      </c>
      <c r="J26" s="43">
        <f t="shared" si="11"/>
        <v>3225.0899999999997</v>
      </c>
      <c r="K26" s="43">
        <f t="shared" si="11"/>
        <v>21774.91</v>
      </c>
      <c r="L26" s="34">
        <f t="shared" si="11"/>
        <v>12988.185204081668</v>
      </c>
    </row>
    <row r="27" spans="1:13" ht="11.25" customHeight="1" x14ac:dyDescent="0.25">
      <c r="A27" s="42"/>
      <c r="B27" s="41"/>
      <c r="C27" s="40"/>
      <c r="D27" s="40"/>
      <c r="E27" s="40"/>
      <c r="F27" s="40"/>
      <c r="G27" s="40"/>
      <c r="H27" s="39"/>
      <c r="I27" s="39"/>
      <c r="J27" s="39"/>
      <c r="K27" s="39"/>
      <c r="L27" s="39"/>
    </row>
    <row r="28" spans="1:13" ht="11.25" customHeight="1" thickBot="1" x14ac:dyDescent="0.3">
      <c r="A28" s="38"/>
      <c r="B28" s="37"/>
      <c r="C28" s="36"/>
      <c r="D28" s="36"/>
      <c r="E28" s="36"/>
      <c r="F28" s="36"/>
      <c r="G28" s="36"/>
      <c r="H28" s="35"/>
      <c r="I28" s="35"/>
      <c r="J28" s="35"/>
      <c r="K28" s="35"/>
      <c r="L28" s="35"/>
    </row>
    <row r="29" spans="1:13" ht="21.6" customHeight="1" x14ac:dyDescent="0.25">
      <c r="A29" s="159" t="s">
        <v>21</v>
      </c>
      <c r="B29" s="159"/>
      <c r="C29" s="34">
        <f t="shared" ref="C29:L29" si="12">C14+C20+C26</f>
        <v>264081</v>
      </c>
      <c r="D29" s="34">
        <f t="shared" si="12"/>
        <v>1259.3800000000003</v>
      </c>
      <c r="E29" s="34">
        <f t="shared" si="12"/>
        <v>23.86</v>
      </c>
      <c r="F29" s="34">
        <f t="shared" si="12"/>
        <v>1200</v>
      </c>
      <c r="G29" s="34">
        <f t="shared" si="12"/>
        <v>62.4</v>
      </c>
      <c r="H29" s="34">
        <f t="shared" si="12"/>
        <v>33667.770000000004</v>
      </c>
      <c r="I29" s="34">
        <f t="shared" si="12"/>
        <v>893.45500000000004</v>
      </c>
      <c r="J29" s="34">
        <f t="shared" si="12"/>
        <v>34561.224999999999</v>
      </c>
      <c r="K29" s="34">
        <f t="shared" si="12"/>
        <v>229519.77499999999</v>
      </c>
      <c r="L29" s="34">
        <f t="shared" si="12"/>
        <v>135358.07015306156</v>
      </c>
    </row>
    <row r="30" spans="1:13" ht="10.9" customHeight="1" x14ac:dyDescent="0.25">
      <c r="A30" s="17"/>
      <c r="B30" s="16"/>
      <c r="C30" s="14"/>
      <c r="D30" s="15"/>
      <c r="E30" s="15"/>
      <c r="F30" s="15"/>
      <c r="G30" s="15"/>
      <c r="H30" s="14"/>
      <c r="I30" s="14"/>
      <c r="J30" s="14"/>
      <c r="K30" s="14"/>
      <c r="L30" s="14"/>
    </row>
    <row r="31" spans="1:13" ht="11.25" customHeight="1" x14ac:dyDescent="0.25">
      <c r="A31" s="17"/>
      <c r="B31" s="16"/>
      <c r="C31" s="14"/>
      <c r="D31" s="15"/>
      <c r="E31" s="15"/>
      <c r="F31" s="15"/>
      <c r="G31" s="15"/>
      <c r="H31" s="14"/>
      <c r="I31" s="14"/>
      <c r="J31" s="14"/>
      <c r="K31" s="14"/>
      <c r="L31" s="14"/>
    </row>
    <row r="32" spans="1:13" s="30" customFormat="1" ht="11.25" customHeight="1" x14ac:dyDescent="0.25">
      <c r="A32" s="28" t="s">
        <v>20</v>
      </c>
      <c r="B32" s="90" t="s">
        <v>19</v>
      </c>
      <c r="C32" s="11">
        <v>0</v>
      </c>
      <c r="D32" s="91">
        <v>0</v>
      </c>
      <c r="E32" s="91">
        <v>0</v>
      </c>
      <c r="F32" s="91">
        <v>0</v>
      </c>
      <c r="G32" s="91">
        <v>0</v>
      </c>
      <c r="H32" s="9">
        <f>D32+F32+'09-17-20'!H32</f>
        <v>0</v>
      </c>
      <c r="I32" s="9">
        <f>E32+G32+'09-17-20'!I32</f>
        <v>0</v>
      </c>
      <c r="J32" s="11">
        <f t="shared" ref="J32:J46" si="13">H32+I32</f>
        <v>0</v>
      </c>
      <c r="K32" s="11">
        <f>C32-J32</f>
        <v>0</v>
      </c>
      <c r="L32" s="9">
        <f t="shared" ref="L32:L47" si="14">C32-((J32/7)*26.0714285714285)</f>
        <v>0</v>
      </c>
    </row>
    <row r="33" spans="1:13" s="30" customFormat="1" ht="12" customHeight="1" x14ac:dyDescent="0.25">
      <c r="A33" s="32" t="s">
        <v>123</v>
      </c>
      <c r="B33" s="12" t="s">
        <v>55</v>
      </c>
      <c r="C33" s="11">
        <f>2795.22+12000</f>
        <v>14795.22</v>
      </c>
      <c r="D33" s="91">
        <v>0</v>
      </c>
      <c r="E33" s="91">
        <v>0</v>
      </c>
      <c r="F33" s="91">
        <v>0</v>
      </c>
      <c r="G33" s="91">
        <v>0</v>
      </c>
      <c r="H33" s="9">
        <f>D33+F33+'09-17-20'!H33</f>
        <v>2612</v>
      </c>
      <c r="I33" s="9">
        <f>E33+G33+'09-17-20'!I33</f>
        <v>84.06</v>
      </c>
      <c r="J33" s="11">
        <f t="shared" si="13"/>
        <v>2696.06</v>
      </c>
      <c r="K33" s="11">
        <f>C33-J33</f>
        <v>12099.16</v>
      </c>
      <c r="L33" s="9">
        <f t="shared" si="14"/>
        <v>4753.772040816355</v>
      </c>
    </row>
    <row r="34" spans="1:13" s="30" customFormat="1" ht="11.25" hidden="1" customHeight="1" x14ac:dyDescent="0.25">
      <c r="A34" s="32" t="s">
        <v>18</v>
      </c>
      <c r="B34" s="90" t="s">
        <v>17</v>
      </c>
      <c r="C34" s="85">
        <v>0</v>
      </c>
      <c r="D34" s="91"/>
      <c r="E34" s="91"/>
      <c r="F34" s="91"/>
      <c r="G34" s="91"/>
      <c r="H34" s="9">
        <f>D34+F34+'09-17-20'!H34</f>
        <v>0</v>
      </c>
      <c r="I34" s="9">
        <f>E34+G34+'09-17-20'!I34</f>
        <v>-1.0000000000005116E-2</v>
      </c>
      <c r="J34" s="11">
        <f t="shared" si="13"/>
        <v>-1.0000000000005116E-2</v>
      </c>
      <c r="K34" s="11">
        <f t="shared" ref="K34:K46" si="15">C34-J34</f>
        <v>1.0000000000005116E-2</v>
      </c>
      <c r="L34" s="9">
        <f t="shared" si="14"/>
        <v>3.7244897959202619E-2</v>
      </c>
    </row>
    <row r="35" spans="1:13" s="26" customFormat="1" ht="11.25" customHeight="1" x14ac:dyDescent="0.25">
      <c r="A35" s="28" t="s">
        <v>16</v>
      </c>
      <c r="B35" s="21" t="s">
        <v>15</v>
      </c>
      <c r="C35" s="11">
        <v>0</v>
      </c>
      <c r="D35" s="11">
        <v>0</v>
      </c>
      <c r="E35" s="11">
        <v>0</v>
      </c>
      <c r="F35" s="11">
        <v>0</v>
      </c>
      <c r="G35" s="11">
        <v>0</v>
      </c>
      <c r="H35" s="9">
        <f>D35+F35+'09-17-20'!H35</f>
        <v>0</v>
      </c>
      <c r="I35" s="9">
        <f>E35+G35+'09-17-20'!I35</f>
        <v>0</v>
      </c>
      <c r="J35" s="11">
        <f t="shared" si="13"/>
        <v>0</v>
      </c>
      <c r="K35" s="11">
        <f t="shared" si="15"/>
        <v>0</v>
      </c>
      <c r="L35" s="9">
        <f t="shared" si="14"/>
        <v>0</v>
      </c>
    </row>
    <row r="36" spans="1:13" s="26" customFormat="1" ht="11.25" customHeight="1" x14ac:dyDescent="0.25">
      <c r="A36" s="28" t="s">
        <v>14</v>
      </c>
      <c r="B36" s="21" t="s">
        <v>13</v>
      </c>
      <c r="C36" s="11">
        <v>0</v>
      </c>
      <c r="D36" s="131">
        <v>59.68</v>
      </c>
      <c r="E36" s="131">
        <v>1.1299999999999999</v>
      </c>
      <c r="F36" s="11">
        <v>0</v>
      </c>
      <c r="G36" s="11">
        <v>0</v>
      </c>
      <c r="H36" s="9">
        <f>D36+F36+'09-17-20'!H36</f>
        <v>384.09999999999997</v>
      </c>
      <c r="I36" s="9">
        <f>E36+G36+'09-17-20'!I36</f>
        <v>7.27</v>
      </c>
      <c r="J36" s="11">
        <f t="shared" si="13"/>
        <v>391.36999999999995</v>
      </c>
      <c r="K36" s="152">
        <f t="shared" si="15"/>
        <v>-391.36999999999995</v>
      </c>
      <c r="L36" s="9">
        <f t="shared" si="14"/>
        <v>-1457.6535714285671</v>
      </c>
      <c r="M36" s="23"/>
    </row>
    <row r="37" spans="1:13" s="26" customFormat="1" ht="11.25" customHeight="1" x14ac:dyDescent="0.25">
      <c r="A37" s="28" t="s">
        <v>12</v>
      </c>
      <c r="B37" s="21">
        <v>55110100</v>
      </c>
      <c r="C37" s="11">
        <v>2659</v>
      </c>
      <c r="D37" s="11">
        <v>495</v>
      </c>
      <c r="E37" s="11">
        <v>9.4</v>
      </c>
      <c r="F37" s="11">
        <v>0</v>
      </c>
      <c r="G37" s="11">
        <v>0</v>
      </c>
      <c r="H37" s="9">
        <f>D37+F37+'09-17-20'!H37</f>
        <v>495</v>
      </c>
      <c r="I37" s="9">
        <f>E37+G37+'09-17-20'!I37</f>
        <v>9.4</v>
      </c>
      <c r="J37" s="11">
        <f t="shared" si="13"/>
        <v>504.4</v>
      </c>
      <c r="K37" s="11">
        <f t="shared" si="15"/>
        <v>2154.6</v>
      </c>
      <c r="L37" s="9">
        <f t="shared" si="14"/>
        <v>780.36734693878088</v>
      </c>
      <c r="M37" s="23"/>
    </row>
    <row r="38" spans="1:13" s="26" customFormat="1" ht="11.45" customHeight="1" x14ac:dyDescent="0.25">
      <c r="A38" s="28" t="s">
        <v>11</v>
      </c>
      <c r="B38" s="90" t="s">
        <v>10</v>
      </c>
      <c r="C38" s="11">
        <v>0</v>
      </c>
      <c r="D38" s="91">
        <v>0</v>
      </c>
      <c r="E38" s="91">
        <v>0</v>
      </c>
      <c r="F38" s="91">
        <v>0</v>
      </c>
      <c r="G38" s="91">
        <v>0</v>
      </c>
      <c r="H38" s="9">
        <f>D38+F38+'09-17-20'!H38</f>
        <v>0</v>
      </c>
      <c r="I38" s="9">
        <f>E38+G38+'09-17-20'!I38</f>
        <v>0</v>
      </c>
      <c r="J38" s="11">
        <f t="shared" si="13"/>
        <v>0</v>
      </c>
      <c r="K38" s="11">
        <f t="shared" si="15"/>
        <v>0</v>
      </c>
      <c r="L38" s="9">
        <f t="shared" si="14"/>
        <v>0</v>
      </c>
    </row>
    <row r="39" spans="1:13" s="26" customFormat="1" ht="11.45" customHeight="1" x14ac:dyDescent="0.25">
      <c r="A39" s="25" t="s">
        <v>68</v>
      </c>
      <c r="B39" s="24" t="s">
        <v>69</v>
      </c>
      <c r="C39" s="11">
        <v>1500</v>
      </c>
      <c r="D39" s="11">
        <f>-78.06+72.4</f>
        <v>-5.6599999999999966</v>
      </c>
      <c r="E39" s="11">
        <f>-1.48+1.37</f>
        <v>-0.10999999999999988</v>
      </c>
      <c r="F39" s="11">
        <v>0</v>
      </c>
      <c r="G39" s="11">
        <v>0</v>
      </c>
      <c r="H39" s="9">
        <f>D39+F39+'09-17-20'!H39</f>
        <v>378.53</v>
      </c>
      <c r="I39" s="9">
        <f>E39+G39+'09-17-20'!I39</f>
        <v>6.9969999999999999</v>
      </c>
      <c r="J39" s="11">
        <f t="shared" si="13"/>
        <v>385.52699999999999</v>
      </c>
      <c r="K39" s="11">
        <f t="shared" si="15"/>
        <v>1114.473</v>
      </c>
      <c r="L39" s="9">
        <f t="shared" si="14"/>
        <v>64.108622448983624</v>
      </c>
    </row>
    <row r="40" spans="1:13" s="23" customFormat="1" ht="11.45" customHeight="1" x14ac:dyDescent="0.25">
      <c r="A40" s="25" t="s">
        <v>61</v>
      </c>
      <c r="B40" s="24" t="s">
        <v>62</v>
      </c>
      <c r="C40" s="11">
        <v>9800</v>
      </c>
      <c r="D40" s="11">
        <v>162</v>
      </c>
      <c r="E40" s="11">
        <v>3.07</v>
      </c>
      <c r="F40" s="11">
        <v>697.5</v>
      </c>
      <c r="G40" s="11">
        <v>36.26</v>
      </c>
      <c r="H40" s="9">
        <f>D40+F40+'09-17-20'!H40</f>
        <v>5305.5</v>
      </c>
      <c r="I40" s="9">
        <f>E40+G40+'09-17-20'!I40</f>
        <v>265.73999999999995</v>
      </c>
      <c r="J40" s="11">
        <f>H40+I40</f>
        <v>5571.24</v>
      </c>
      <c r="K40" s="11">
        <f>C40-J40</f>
        <v>4228.76</v>
      </c>
      <c r="L40" s="9">
        <f t="shared" si="14"/>
        <v>-10950.026530612184</v>
      </c>
    </row>
    <row r="41" spans="1:13" s="23" customFormat="1" ht="11.45" customHeight="1" x14ac:dyDescent="0.25">
      <c r="A41" s="25" t="s">
        <v>59</v>
      </c>
      <c r="B41" s="24" t="s">
        <v>60</v>
      </c>
      <c r="C41" s="11">
        <f>2453.12+2598.45</f>
        <v>5051.57</v>
      </c>
      <c r="D41" s="11">
        <v>300</v>
      </c>
      <c r="E41" s="11">
        <v>5.7</v>
      </c>
      <c r="F41" s="11">
        <v>0</v>
      </c>
      <c r="G41" s="11">
        <v>0</v>
      </c>
      <c r="H41" s="9">
        <f>D41+F41+'09-17-20'!H41</f>
        <v>1251.58</v>
      </c>
      <c r="I41" s="9">
        <f>E41+G41+'09-17-20'!I41</f>
        <v>23.77</v>
      </c>
      <c r="J41" s="11">
        <f>H41+I41</f>
        <v>1275.3499999999999</v>
      </c>
      <c r="K41" s="11">
        <f>C41-J41</f>
        <v>3776.22</v>
      </c>
      <c r="L41" s="9">
        <f t="shared" si="14"/>
        <v>301.5419387755237</v>
      </c>
    </row>
    <row r="42" spans="1:13" s="23" customFormat="1" ht="11.45" customHeight="1" x14ac:dyDescent="0.25">
      <c r="A42" s="25" t="s">
        <v>70</v>
      </c>
      <c r="B42" s="24" t="s">
        <v>71</v>
      </c>
      <c r="C42" s="11">
        <v>5600</v>
      </c>
      <c r="D42" s="11">
        <v>379.55</v>
      </c>
      <c r="E42" s="11">
        <v>7.2</v>
      </c>
      <c r="F42" s="11">
        <v>0</v>
      </c>
      <c r="G42" s="11">
        <v>0</v>
      </c>
      <c r="H42" s="9">
        <f>D42+F42+'09-17-20'!H42</f>
        <v>2052.61</v>
      </c>
      <c r="I42" s="9">
        <f>E42+G42+'09-17-20'!I42</f>
        <v>38.96</v>
      </c>
      <c r="J42" s="11">
        <f t="shared" ref="J42" si="16">H42+I42</f>
        <v>2091.5700000000002</v>
      </c>
      <c r="K42" s="11">
        <f t="shared" ref="K42" si="17">C42-J42</f>
        <v>3508.43</v>
      </c>
      <c r="L42" s="9">
        <f t="shared" si="14"/>
        <v>-2190.0311224489587</v>
      </c>
    </row>
    <row r="43" spans="1:13" s="23" customFormat="1" ht="11.45" customHeight="1" x14ac:dyDescent="0.25">
      <c r="A43" s="25" t="s">
        <v>7</v>
      </c>
      <c r="B43" s="24" t="s">
        <v>6</v>
      </c>
      <c r="C43" s="11">
        <v>0</v>
      </c>
      <c r="D43" s="11">
        <v>0</v>
      </c>
      <c r="E43" s="11">
        <v>0</v>
      </c>
      <c r="F43" s="11">
        <v>0</v>
      </c>
      <c r="G43" s="11">
        <v>0</v>
      </c>
      <c r="H43" s="9">
        <f>D43+F43+'09-17-20'!H43</f>
        <v>0</v>
      </c>
      <c r="I43" s="9">
        <f>E43+G43+'09-17-20'!I43</f>
        <v>0</v>
      </c>
      <c r="J43" s="11">
        <f>H43+I43</f>
        <v>0</v>
      </c>
      <c r="K43" s="11">
        <f>C43-J43</f>
        <v>0</v>
      </c>
      <c r="L43" s="9">
        <f t="shared" si="14"/>
        <v>0</v>
      </c>
    </row>
    <row r="44" spans="1:13" s="23" customFormat="1" ht="11.45" customHeight="1" x14ac:dyDescent="0.25">
      <c r="A44" s="25" t="s">
        <v>9</v>
      </c>
      <c r="B44" s="24" t="s">
        <v>8</v>
      </c>
      <c r="C44" s="11">
        <v>0</v>
      </c>
      <c r="D44" s="91">
        <v>0</v>
      </c>
      <c r="E44" s="91">
        <v>0</v>
      </c>
      <c r="F44" s="91">
        <v>0</v>
      </c>
      <c r="G44" s="91">
        <v>0</v>
      </c>
      <c r="H44" s="9">
        <f>D44+F44+'09-17-20'!H44</f>
        <v>0</v>
      </c>
      <c r="I44" s="9">
        <f>E44+G44+'09-17-20'!I44</f>
        <v>0</v>
      </c>
      <c r="J44" s="11">
        <f t="shared" si="13"/>
        <v>0</v>
      </c>
      <c r="K44" s="11">
        <f t="shared" si="15"/>
        <v>0</v>
      </c>
      <c r="L44" s="9">
        <f t="shared" si="14"/>
        <v>0</v>
      </c>
    </row>
    <row r="45" spans="1:13" s="23" customFormat="1" ht="11.45" customHeight="1" x14ac:dyDescent="0.25">
      <c r="A45" s="25" t="s">
        <v>63</v>
      </c>
      <c r="B45" s="24" t="s">
        <v>66</v>
      </c>
      <c r="C45" s="11">
        <v>1784.19</v>
      </c>
      <c r="D45" s="91">
        <v>0</v>
      </c>
      <c r="E45" s="91">
        <v>0</v>
      </c>
      <c r="F45" s="91">
        <v>0</v>
      </c>
      <c r="G45" s="91">
        <v>0</v>
      </c>
      <c r="H45" s="9">
        <f>D45+F45+'09-17-20'!H45</f>
        <v>1504</v>
      </c>
      <c r="I45" s="9">
        <f>E45+G45+'09-17-20'!I45</f>
        <v>78.179999999999993</v>
      </c>
      <c r="J45" s="11">
        <f t="shared" si="13"/>
        <v>1582.18</v>
      </c>
      <c r="K45" s="11">
        <f t="shared" si="15"/>
        <v>202.01</v>
      </c>
      <c r="L45" s="9">
        <f t="shared" si="14"/>
        <v>-4108.6232653061052</v>
      </c>
    </row>
    <row r="46" spans="1:13" s="23" customFormat="1" ht="11.45" hidden="1" customHeight="1" x14ac:dyDescent="0.25">
      <c r="A46" s="25" t="s">
        <v>64</v>
      </c>
      <c r="B46" s="24" t="s">
        <v>65</v>
      </c>
      <c r="C46" s="71"/>
      <c r="D46" s="91"/>
      <c r="E46" s="91"/>
      <c r="F46" s="91"/>
      <c r="G46" s="91"/>
      <c r="H46" s="9">
        <f>D46+F46+'09-17-20'!H46</f>
        <v>0</v>
      </c>
      <c r="I46" s="9">
        <f>E46+G46+'09-17-20'!I46</f>
        <v>0</v>
      </c>
      <c r="J46" s="11">
        <f t="shared" si="13"/>
        <v>0</v>
      </c>
      <c r="K46" s="11">
        <f t="shared" si="15"/>
        <v>0</v>
      </c>
      <c r="L46" s="9">
        <f t="shared" si="14"/>
        <v>0</v>
      </c>
    </row>
    <row r="47" spans="1:13" ht="11.25" customHeight="1" x14ac:dyDescent="0.25">
      <c r="A47" s="25" t="s">
        <v>57</v>
      </c>
      <c r="B47" s="24" t="s">
        <v>58</v>
      </c>
      <c r="C47" s="70">
        <v>843.44</v>
      </c>
      <c r="D47" s="70">
        <v>0</v>
      </c>
      <c r="E47" s="70">
        <v>0</v>
      </c>
      <c r="F47" s="70">
        <v>0</v>
      </c>
      <c r="G47" s="70">
        <v>0</v>
      </c>
      <c r="H47" s="9">
        <f>D47+F47+'09-17-20'!H47</f>
        <v>599.70000000000005</v>
      </c>
      <c r="I47" s="9">
        <f>E47+G47+'09-17-20'!I47</f>
        <v>11.36</v>
      </c>
      <c r="J47" s="11">
        <f>H47+I47</f>
        <v>611.06000000000006</v>
      </c>
      <c r="K47" s="11">
        <f>C47-J47</f>
        <v>232.38</v>
      </c>
      <c r="L47" s="9">
        <f t="shared" si="14"/>
        <v>-1432.4467346938713</v>
      </c>
    </row>
    <row r="48" spans="1:13" ht="21.6" customHeight="1" x14ac:dyDescent="0.25">
      <c r="A48" s="153" t="s">
        <v>5</v>
      </c>
      <c r="B48" s="154"/>
      <c r="C48" s="7">
        <f t="shared" ref="C48:L48" si="18">SUM(C32:C47)</f>
        <v>42033.420000000006</v>
      </c>
      <c r="D48" s="7">
        <f t="shared" si="18"/>
        <v>1390.57</v>
      </c>
      <c r="E48" s="7">
        <f t="shared" si="18"/>
        <v>26.39</v>
      </c>
      <c r="F48" s="7">
        <f t="shared" si="18"/>
        <v>697.5</v>
      </c>
      <c r="G48" s="7">
        <f t="shared" si="18"/>
        <v>36.26</v>
      </c>
      <c r="H48" s="7">
        <f t="shared" si="18"/>
        <v>14583.020000000002</v>
      </c>
      <c r="I48" s="7">
        <f t="shared" si="18"/>
        <v>525.72699999999986</v>
      </c>
      <c r="J48" s="7">
        <f t="shared" si="18"/>
        <v>15108.746999999999</v>
      </c>
      <c r="K48" s="7">
        <f t="shared" si="18"/>
        <v>26924.673000000003</v>
      </c>
      <c r="L48" s="7">
        <f t="shared" si="18"/>
        <v>-14238.954030612083</v>
      </c>
    </row>
    <row r="49" spans="1:12" ht="10.9" customHeight="1" x14ac:dyDescent="0.25">
      <c r="A49" s="17"/>
      <c r="B49" s="16"/>
      <c r="C49" s="14"/>
      <c r="D49" s="15"/>
      <c r="E49" s="15"/>
      <c r="F49" s="15"/>
      <c r="G49" s="15"/>
      <c r="H49" s="14"/>
      <c r="I49" s="14"/>
      <c r="J49" s="14"/>
      <c r="K49" s="14"/>
      <c r="L49" s="14"/>
    </row>
    <row r="50" spans="1:12" ht="10.9" customHeight="1" x14ac:dyDescent="0.25">
      <c r="A50" s="17"/>
      <c r="B50" s="16"/>
      <c r="C50" s="14"/>
      <c r="D50" s="15"/>
      <c r="E50" s="15"/>
      <c r="F50" s="15"/>
      <c r="G50" s="15"/>
      <c r="H50" s="14"/>
      <c r="I50" s="14"/>
      <c r="J50" s="14"/>
      <c r="K50" s="14"/>
      <c r="L50" s="14"/>
    </row>
    <row r="51" spans="1:12" s="92" customFormat="1" ht="10.9" customHeight="1" x14ac:dyDescent="0.25">
      <c r="A51" s="22" t="s">
        <v>4</v>
      </c>
      <c r="B51" s="29" t="s">
        <v>3</v>
      </c>
      <c r="C51" s="9">
        <v>62583</v>
      </c>
      <c r="D51" s="10">
        <f>-1097.82+860.49</f>
        <v>-237.32999999999993</v>
      </c>
      <c r="E51" s="10">
        <f>-20.85+16.34</f>
        <v>-4.5100000000000016</v>
      </c>
      <c r="F51" s="10">
        <v>0</v>
      </c>
      <c r="G51" s="10">
        <v>0</v>
      </c>
      <c r="H51" s="9">
        <f>D51+F51+'09-17-20'!H51</f>
        <v>6148.2499999999991</v>
      </c>
      <c r="I51" s="9">
        <f>E51+G51+'09-17-20'!I51</f>
        <v>143.42200000000003</v>
      </c>
      <c r="J51" s="9">
        <f t="shared" ref="J51" si="19">H51+I51</f>
        <v>6291.6719999999987</v>
      </c>
      <c r="K51" s="9">
        <f>C51-J51</f>
        <v>56291.328000000001</v>
      </c>
      <c r="L51" s="9">
        <f>C51-((J51/7)*26.0714285714285)</f>
        <v>39149.731836734762</v>
      </c>
    </row>
    <row r="52" spans="1:12" ht="21.6" customHeight="1" x14ac:dyDescent="0.25">
      <c r="A52" s="20" t="s">
        <v>2</v>
      </c>
      <c r="B52" s="19"/>
      <c r="C52" s="18">
        <f t="shared" ref="C52:L52" si="20">C51</f>
        <v>62583</v>
      </c>
      <c r="D52" s="18">
        <f t="shared" si="20"/>
        <v>-237.32999999999993</v>
      </c>
      <c r="E52" s="18">
        <f t="shared" si="20"/>
        <v>-4.5100000000000016</v>
      </c>
      <c r="F52" s="18">
        <f t="shared" si="20"/>
        <v>0</v>
      </c>
      <c r="G52" s="18">
        <f t="shared" si="20"/>
        <v>0</v>
      </c>
      <c r="H52" s="18">
        <f t="shared" si="20"/>
        <v>6148.2499999999991</v>
      </c>
      <c r="I52" s="18">
        <f t="shared" si="20"/>
        <v>143.42200000000003</v>
      </c>
      <c r="J52" s="18">
        <f t="shared" si="20"/>
        <v>6291.6719999999987</v>
      </c>
      <c r="K52" s="18">
        <f t="shared" si="20"/>
        <v>56291.328000000001</v>
      </c>
      <c r="L52" s="18">
        <f t="shared" si="20"/>
        <v>39149.731836734762</v>
      </c>
    </row>
    <row r="53" spans="1:12" ht="10.9" customHeight="1" x14ac:dyDescent="0.25">
      <c r="A53" s="17"/>
      <c r="B53" s="16"/>
      <c r="C53" s="14"/>
      <c r="D53" s="15"/>
      <c r="E53" s="15"/>
      <c r="F53" s="15"/>
      <c r="G53" s="15"/>
      <c r="H53" s="14"/>
      <c r="I53" s="14"/>
      <c r="J53" s="14"/>
      <c r="K53" s="14"/>
      <c r="L53" s="14"/>
    </row>
    <row r="54" spans="1:12" ht="10.9" customHeight="1" x14ac:dyDescent="0.25">
      <c r="A54" s="17"/>
      <c r="B54" s="16"/>
      <c r="C54" s="14"/>
      <c r="D54" s="15"/>
      <c r="E54" s="15"/>
      <c r="F54" s="15"/>
      <c r="G54" s="15"/>
      <c r="H54" s="14"/>
      <c r="I54" s="14"/>
      <c r="J54" s="14"/>
      <c r="K54" s="14"/>
      <c r="L54" s="14"/>
    </row>
    <row r="55" spans="1:12" s="92" customFormat="1" ht="10.9" customHeight="1" x14ac:dyDescent="0.25">
      <c r="A55" s="13" t="s">
        <v>1</v>
      </c>
      <c r="B55" s="33">
        <v>55180000</v>
      </c>
      <c r="C55" s="9">
        <v>37736</v>
      </c>
      <c r="D55" s="10">
        <v>0</v>
      </c>
      <c r="E55" s="10">
        <v>0</v>
      </c>
      <c r="F55" s="10">
        <v>438.6</v>
      </c>
      <c r="G55" s="10">
        <v>22.8</v>
      </c>
      <c r="H55" s="9">
        <f>D55+F55+'09-17-20'!H55</f>
        <v>2953.24</v>
      </c>
      <c r="I55" s="9">
        <f>E55+G55+'09-17-20'!I55</f>
        <v>153.52000000000001</v>
      </c>
      <c r="J55" s="9">
        <f t="shared" ref="J55" si="21">H55+I55</f>
        <v>3106.7599999999998</v>
      </c>
      <c r="K55" s="9">
        <f>C55-J55</f>
        <v>34629.24</v>
      </c>
      <c r="L55" s="9">
        <f>C55-((J55/7)*26.0714285714285)</f>
        <v>26164.904081632689</v>
      </c>
    </row>
    <row r="56" spans="1:12" s="3" customFormat="1" ht="21.6" customHeight="1" x14ac:dyDescent="0.25">
      <c r="A56" s="153" t="s">
        <v>0</v>
      </c>
      <c r="B56" s="154"/>
      <c r="C56" s="7">
        <f t="shared" ref="C56:L56" si="22">SUM(C55)</f>
        <v>37736</v>
      </c>
      <c r="D56" s="7">
        <f t="shared" si="22"/>
        <v>0</v>
      </c>
      <c r="E56" s="7">
        <f t="shared" si="22"/>
        <v>0</v>
      </c>
      <c r="F56" s="7">
        <f t="shared" si="22"/>
        <v>438.6</v>
      </c>
      <c r="G56" s="7">
        <f t="shared" si="22"/>
        <v>22.8</v>
      </c>
      <c r="H56" s="7">
        <f t="shared" si="22"/>
        <v>2953.24</v>
      </c>
      <c r="I56" s="7">
        <f t="shared" si="22"/>
        <v>153.52000000000001</v>
      </c>
      <c r="J56" s="7">
        <f t="shared" si="22"/>
        <v>3106.7599999999998</v>
      </c>
      <c r="K56" s="7">
        <f t="shared" si="22"/>
        <v>34629.24</v>
      </c>
      <c r="L56" s="7">
        <f t="shared" si="22"/>
        <v>26164.904081632689</v>
      </c>
    </row>
    <row r="57" spans="1:12" s="3" customFormat="1" ht="11.25" customHeight="1" x14ac:dyDescent="0.25">
      <c r="A57" s="6"/>
      <c r="B57" s="5"/>
      <c r="C57" s="4"/>
      <c r="D57" s="4"/>
      <c r="E57" s="4"/>
      <c r="F57" s="4"/>
      <c r="G57" s="4"/>
      <c r="H57" s="4"/>
      <c r="I57" s="4"/>
      <c r="J57" s="4"/>
      <c r="K57" s="4"/>
      <c r="L57" s="4"/>
    </row>
    <row r="58" spans="1:12" s="2" customFormat="1" ht="10.5" customHeight="1" x14ac:dyDescent="0.25">
      <c r="A58" s="160" t="s">
        <v>72</v>
      </c>
      <c r="B58" s="160"/>
      <c r="C58" s="160"/>
      <c r="D58" s="160"/>
      <c r="E58" s="160"/>
      <c r="F58" s="160"/>
      <c r="G58" s="82">
        <v>12000</v>
      </c>
    </row>
    <row r="59" spans="1:12" s="2" customFormat="1" ht="10.5" customHeight="1" x14ac:dyDescent="0.25">
      <c r="A59" s="160" t="s">
        <v>73</v>
      </c>
      <c r="B59" s="160"/>
      <c r="C59" s="160"/>
      <c r="D59" s="160"/>
      <c r="E59" s="160"/>
      <c r="F59" s="160"/>
      <c r="G59" s="82">
        <v>5600</v>
      </c>
    </row>
    <row r="60" spans="1:12" ht="10.5" customHeight="1" x14ac:dyDescent="0.25">
      <c r="A60" s="160" t="s">
        <v>76</v>
      </c>
      <c r="B60" s="160"/>
      <c r="C60" s="160"/>
      <c r="D60" s="160"/>
      <c r="E60" s="160"/>
      <c r="F60" s="160"/>
      <c r="G60" s="82">
        <v>9800</v>
      </c>
    </row>
    <row r="61" spans="1:12" ht="10.5" customHeight="1" x14ac:dyDescent="0.25">
      <c r="A61" s="160" t="s">
        <v>75</v>
      </c>
      <c r="B61" s="160"/>
      <c r="C61" s="160"/>
      <c r="D61" s="160"/>
      <c r="E61" s="160"/>
      <c r="F61" s="160"/>
      <c r="G61" s="82">
        <v>1500</v>
      </c>
    </row>
    <row r="62" spans="1:12" ht="10.5" customHeight="1" x14ac:dyDescent="0.25">
      <c r="A62" s="160" t="s">
        <v>74</v>
      </c>
      <c r="B62" s="160"/>
      <c r="C62" s="160"/>
      <c r="D62" s="160"/>
      <c r="E62" s="160"/>
      <c r="F62" s="160"/>
      <c r="G62" s="82">
        <v>843.44</v>
      </c>
    </row>
    <row r="63" spans="1:12" ht="10.5" customHeight="1" x14ac:dyDescent="0.25">
      <c r="A63" s="160" t="s">
        <v>77</v>
      </c>
      <c r="B63" s="160"/>
      <c r="C63" s="160"/>
      <c r="D63" s="160"/>
      <c r="E63" s="160"/>
      <c r="F63" s="160"/>
      <c r="G63" s="82">
        <v>1784.19</v>
      </c>
    </row>
    <row r="64" spans="1:12" ht="10.5" customHeight="1" x14ac:dyDescent="0.25">
      <c r="A64" s="160" t="s">
        <v>78</v>
      </c>
      <c r="B64" s="160"/>
      <c r="C64" s="160"/>
      <c r="D64" s="160"/>
      <c r="E64" s="160"/>
      <c r="F64" s="160"/>
      <c r="G64" s="82">
        <v>2453.12</v>
      </c>
    </row>
    <row r="65" spans="1:13" s="2" customFormat="1" ht="10.5" customHeight="1" x14ac:dyDescent="0.25">
      <c r="A65" s="160" t="s">
        <v>84</v>
      </c>
      <c r="B65" s="160"/>
      <c r="C65" s="160"/>
      <c r="D65" s="160"/>
      <c r="E65" s="160"/>
      <c r="F65" s="160"/>
      <c r="G65" s="82">
        <v>2598.4499999999998</v>
      </c>
      <c r="M65" s="1"/>
    </row>
    <row r="66" spans="1:13" s="2" customFormat="1" ht="10.5" customHeight="1" x14ac:dyDescent="0.25">
      <c r="A66" s="160" t="s">
        <v>85</v>
      </c>
      <c r="B66" s="160"/>
      <c r="C66" s="160"/>
      <c r="D66" s="160"/>
      <c r="E66" s="160"/>
      <c r="F66" s="160"/>
      <c r="G66" s="82">
        <v>2659</v>
      </c>
      <c r="M66" s="1"/>
    </row>
  </sheetData>
  <mergeCells count="15">
    <mergeCell ref="A64:F64"/>
    <mergeCell ref="A65:F65"/>
    <mergeCell ref="A66:F66"/>
    <mergeCell ref="A58:F58"/>
    <mergeCell ref="A59:F59"/>
    <mergeCell ref="A60:F60"/>
    <mergeCell ref="A61:F61"/>
    <mergeCell ref="A62:F62"/>
    <mergeCell ref="A63:F63"/>
    <mergeCell ref="A56:B56"/>
    <mergeCell ref="A14:B14"/>
    <mergeCell ref="A20:B20"/>
    <mergeCell ref="A26:B26"/>
    <mergeCell ref="A29:B29"/>
    <mergeCell ref="A48:B48"/>
  </mergeCells>
  <pageMargins left="0.25" right="0" top="0.4" bottom="0" header="0.3" footer="0"/>
  <pageSetup scale="86" fitToWidth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M68"/>
  <sheetViews>
    <sheetView zoomScale="145" zoomScaleNormal="145" workbookViewId="0">
      <pane ySplit="2" topLeftCell="A18" activePane="bottomLeft" state="frozen"/>
      <selection pane="bottomLeft" activeCell="K36" sqref="K36"/>
    </sheetView>
  </sheetViews>
  <sheetFormatPr defaultColWidth="28" defaultRowHeight="15" x14ac:dyDescent="0.25"/>
  <cols>
    <col min="1" max="1" width="33.140625" style="1" bestFit="1" customWidth="1"/>
    <col min="2" max="2" width="18.7109375" style="1" bestFit="1" customWidth="1"/>
    <col min="3" max="3" width="10.42578125" style="77" customWidth="1"/>
    <col min="4" max="4" width="8.140625" style="2" bestFit="1" customWidth="1"/>
    <col min="5" max="5" width="6.28515625" style="2" bestFit="1" customWidth="1"/>
    <col min="6" max="6" width="8.28515625" style="2" bestFit="1" customWidth="1"/>
    <col min="7" max="7" width="8.7109375" style="2" bestFit="1" customWidth="1"/>
    <col min="8" max="8" width="9.28515625" style="2" bestFit="1" customWidth="1"/>
    <col min="9" max="9" width="10.7109375" style="2" bestFit="1" customWidth="1"/>
    <col min="10" max="10" width="9.7109375" style="2" bestFit="1" customWidth="1"/>
    <col min="11" max="11" width="11.140625" style="2" customWidth="1"/>
    <col min="12" max="12" width="13.42578125" style="2" bestFit="1" customWidth="1"/>
    <col min="13" max="16384" width="28" style="1"/>
  </cols>
  <sheetData>
    <row r="1" spans="1:13" ht="11.25" customHeight="1" x14ac:dyDescent="0.25">
      <c r="A1" s="68"/>
      <c r="B1" s="67"/>
      <c r="C1" s="76"/>
      <c r="D1" s="66"/>
      <c r="E1" s="66"/>
      <c r="F1" s="66"/>
      <c r="G1" s="66"/>
      <c r="H1" s="66"/>
      <c r="I1" s="66"/>
      <c r="J1" s="66"/>
      <c r="K1" s="66"/>
      <c r="L1" s="65" t="s">
        <v>87</v>
      </c>
    </row>
    <row r="2" spans="1:13" s="61" customFormat="1" ht="34.5" x14ac:dyDescent="0.25">
      <c r="A2" s="64" t="s">
        <v>53</v>
      </c>
      <c r="B2" s="64" t="s">
        <v>52</v>
      </c>
      <c r="C2" s="63" t="s">
        <v>51</v>
      </c>
      <c r="D2" s="63" t="s">
        <v>50</v>
      </c>
      <c r="E2" s="63" t="s">
        <v>48</v>
      </c>
      <c r="F2" s="63" t="s">
        <v>49</v>
      </c>
      <c r="G2" s="63" t="s">
        <v>48</v>
      </c>
      <c r="H2" s="62" t="s">
        <v>47</v>
      </c>
      <c r="I2" s="62" t="s">
        <v>46</v>
      </c>
      <c r="J2" s="62" t="s">
        <v>45</v>
      </c>
      <c r="K2" s="62" t="s">
        <v>44</v>
      </c>
      <c r="L2" s="62" t="s">
        <v>43</v>
      </c>
    </row>
    <row r="3" spans="1:13" s="60" customFormat="1" ht="11.25" customHeight="1" x14ac:dyDescent="0.25">
      <c r="A3" s="22" t="s">
        <v>42</v>
      </c>
      <c r="B3" s="21">
        <v>55010300</v>
      </c>
      <c r="C3" s="11">
        <v>0</v>
      </c>
      <c r="D3" s="9">
        <v>0</v>
      </c>
      <c r="E3" s="9">
        <v>0</v>
      </c>
      <c r="F3" s="9">
        <v>0</v>
      </c>
      <c r="G3" s="9">
        <v>0</v>
      </c>
      <c r="H3" s="9">
        <f>D3+F3+'10-01-20'!H3</f>
        <v>0</v>
      </c>
      <c r="I3" s="9">
        <f>E3+G3+'10-01-20'!I3</f>
        <v>0</v>
      </c>
      <c r="J3" s="9">
        <f t="shared" ref="J3:J13" si="0">H3+I3</f>
        <v>0</v>
      </c>
      <c r="K3" s="9">
        <f>C3-J3</f>
        <v>0</v>
      </c>
      <c r="L3" s="9">
        <f>C3-((J3/8)*26.0714285714285)</f>
        <v>0</v>
      </c>
    </row>
    <row r="4" spans="1:13" s="59" customFormat="1" ht="11.25" customHeight="1" x14ac:dyDescent="0.25">
      <c r="A4" s="22" t="s">
        <v>41</v>
      </c>
      <c r="B4" s="21">
        <v>55010500</v>
      </c>
      <c r="C4" s="11">
        <v>3229</v>
      </c>
      <c r="D4" s="10">
        <v>0</v>
      </c>
      <c r="E4" s="10">
        <v>0</v>
      </c>
      <c r="F4" s="10">
        <v>0</v>
      </c>
      <c r="G4" s="10">
        <v>0</v>
      </c>
      <c r="H4" s="9">
        <f>D4+F4+'10-01-20'!H4</f>
        <v>0</v>
      </c>
      <c r="I4" s="9">
        <f>E4+G4+'10-01-20'!I4</f>
        <v>0</v>
      </c>
      <c r="J4" s="9">
        <f t="shared" si="0"/>
        <v>0</v>
      </c>
      <c r="K4" s="9">
        <f t="shared" ref="K4:K13" si="1">C4-J4</f>
        <v>3229</v>
      </c>
      <c r="L4" s="9">
        <f t="shared" ref="L4:L13" si="2">C4-((J4/8)*26.0714285714285)</f>
        <v>3229</v>
      </c>
    </row>
    <row r="5" spans="1:13" s="8" customFormat="1" ht="11.25" customHeight="1" x14ac:dyDescent="0.25">
      <c r="A5" s="58" t="s">
        <v>40</v>
      </c>
      <c r="B5" s="57">
        <v>55020200</v>
      </c>
      <c r="C5" s="56">
        <v>24649</v>
      </c>
      <c r="D5" s="55">
        <v>346.72</v>
      </c>
      <c r="E5" s="55">
        <v>6.58</v>
      </c>
      <c r="F5" s="55">
        <v>0</v>
      </c>
      <c r="G5" s="55">
        <v>0</v>
      </c>
      <c r="H5" s="9">
        <f>D5+F5+'10-01-20'!H5</f>
        <v>5486.9300000000012</v>
      </c>
      <c r="I5" s="9">
        <f>E5+G5+'10-01-20'!I5</f>
        <v>104.18999999999998</v>
      </c>
      <c r="J5" s="9">
        <f t="shared" si="0"/>
        <v>5591.1200000000008</v>
      </c>
      <c r="K5" s="9">
        <f t="shared" si="1"/>
        <v>19057.879999999997</v>
      </c>
      <c r="L5" s="9">
        <f t="shared" si="2"/>
        <v>6427.9392857143357</v>
      </c>
    </row>
    <row r="6" spans="1:13" s="8" customFormat="1" ht="11.25" customHeight="1" x14ac:dyDescent="0.25">
      <c r="A6" s="22" t="s">
        <v>39</v>
      </c>
      <c r="B6" s="21">
        <v>55020300</v>
      </c>
      <c r="C6" s="11">
        <v>17974</v>
      </c>
      <c r="D6" s="10">
        <v>501.83</v>
      </c>
      <c r="E6" s="10">
        <v>9.5299999999999994</v>
      </c>
      <c r="F6" s="10">
        <v>0</v>
      </c>
      <c r="G6" s="10">
        <v>0</v>
      </c>
      <c r="H6" s="9">
        <f>D6+F6+'10-01-20'!H6</f>
        <v>1591.5</v>
      </c>
      <c r="I6" s="9">
        <f>E6+G6+'10-01-20'!I6</f>
        <v>30.21</v>
      </c>
      <c r="J6" s="9">
        <f t="shared" si="0"/>
        <v>1621.71</v>
      </c>
      <c r="K6" s="9">
        <f t="shared" si="1"/>
        <v>16352.29</v>
      </c>
      <c r="L6" s="9">
        <f t="shared" si="2"/>
        <v>12688.962946428586</v>
      </c>
    </row>
    <row r="7" spans="1:13" s="8" customFormat="1" ht="11.25" customHeight="1" x14ac:dyDescent="0.25">
      <c r="A7" s="22" t="s">
        <v>38</v>
      </c>
      <c r="B7" s="21">
        <v>55020400</v>
      </c>
      <c r="C7" s="11">
        <v>17974</v>
      </c>
      <c r="D7" s="10">
        <v>361.35</v>
      </c>
      <c r="E7" s="10">
        <v>6.86</v>
      </c>
      <c r="F7" s="10">
        <v>0</v>
      </c>
      <c r="G7" s="10">
        <v>0</v>
      </c>
      <c r="H7" s="9">
        <f>D7+F7+'10-01-20'!H7</f>
        <v>1167.4500000000003</v>
      </c>
      <c r="I7" s="9">
        <f>E7+G7+'10-01-20'!I7</f>
        <v>22.15</v>
      </c>
      <c r="J7" s="9">
        <f t="shared" si="0"/>
        <v>1189.6000000000004</v>
      </c>
      <c r="K7" s="9">
        <f t="shared" si="1"/>
        <v>16784.400000000001</v>
      </c>
      <c r="L7" s="9">
        <f t="shared" si="2"/>
        <v>14097.178571428582</v>
      </c>
    </row>
    <row r="8" spans="1:13" s="8" customFormat="1" ht="11.25" customHeight="1" x14ac:dyDescent="0.25">
      <c r="A8" s="54" t="s">
        <v>37</v>
      </c>
      <c r="B8" s="21">
        <v>55030200</v>
      </c>
      <c r="C8" s="11">
        <v>24330</v>
      </c>
      <c r="D8" s="10">
        <v>339.88</v>
      </c>
      <c r="E8" s="10">
        <v>6.45</v>
      </c>
      <c r="F8" s="10">
        <v>0</v>
      </c>
      <c r="G8" s="10">
        <v>0</v>
      </c>
      <c r="H8" s="9">
        <f>D8+F8+'10-01-20'!H8</f>
        <v>3690.8500000000004</v>
      </c>
      <c r="I8" s="9">
        <f>E8+G8+'10-01-20'!I8</f>
        <v>70.08</v>
      </c>
      <c r="J8" s="9">
        <f t="shared" si="0"/>
        <v>3760.9300000000003</v>
      </c>
      <c r="K8" s="9">
        <f t="shared" si="1"/>
        <v>20569.07</v>
      </c>
      <c r="L8" s="9">
        <f t="shared" si="2"/>
        <v>12073.397767857175</v>
      </c>
    </row>
    <row r="9" spans="1:13" s="8" customFormat="1" ht="11.25" customHeight="1" x14ac:dyDescent="0.25">
      <c r="A9" s="22" t="s">
        <v>36</v>
      </c>
      <c r="B9" s="21">
        <v>55050200</v>
      </c>
      <c r="C9" s="11">
        <v>34000</v>
      </c>
      <c r="D9" s="10">
        <v>1656.86</v>
      </c>
      <c r="E9" s="10">
        <v>31.48</v>
      </c>
      <c r="F9" s="10">
        <v>0</v>
      </c>
      <c r="G9" s="10">
        <v>0</v>
      </c>
      <c r="H9" s="9">
        <f>D9+F9+'10-01-20'!H9</f>
        <v>5423.3</v>
      </c>
      <c r="I9" s="9">
        <f>E9+G9+'10-01-20'!I9</f>
        <v>103</v>
      </c>
      <c r="J9" s="9">
        <f t="shared" si="0"/>
        <v>5526.3</v>
      </c>
      <c r="K9" s="9">
        <f t="shared" si="1"/>
        <v>28473.7</v>
      </c>
      <c r="L9" s="9">
        <f t="shared" si="2"/>
        <v>15990.183035714337</v>
      </c>
    </row>
    <row r="10" spans="1:13" s="8" customFormat="1" ht="11.25" hidden="1" customHeight="1" x14ac:dyDescent="0.25">
      <c r="A10" s="22" t="s">
        <v>80</v>
      </c>
      <c r="B10" s="21">
        <v>55050300</v>
      </c>
      <c r="C10" s="71"/>
      <c r="D10" s="9"/>
      <c r="E10" s="9"/>
      <c r="F10" s="9"/>
      <c r="G10" s="9"/>
      <c r="H10" s="9">
        <f>D10+F10+'10-01-20'!H10</f>
        <v>-310</v>
      </c>
      <c r="I10" s="9">
        <f>E10+G10+'10-01-20'!I10</f>
        <v>-5.8900000000000006</v>
      </c>
      <c r="J10" s="9">
        <f t="shared" si="0"/>
        <v>-315.89</v>
      </c>
      <c r="K10" s="9">
        <f t="shared" si="1"/>
        <v>315.89</v>
      </c>
      <c r="L10" s="9">
        <f t="shared" si="2"/>
        <v>1029.4629464285686</v>
      </c>
      <c r="M10" s="23"/>
    </row>
    <row r="11" spans="1:13" s="23" customFormat="1" ht="11.25" customHeight="1" x14ac:dyDescent="0.25">
      <c r="A11" s="22" t="s">
        <v>35</v>
      </c>
      <c r="B11" s="21">
        <v>55070100</v>
      </c>
      <c r="C11" s="11">
        <v>42741</v>
      </c>
      <c r="D11" s="10">
        <v>912.06</v>
      </c>
      <c r="E11" s="10">
        <v>17.32</v>
      </c>
      <c r="F11" s="10">
        <v>0</v>
      </c>
      <c r="G11" s="10">
        <v>0</v>
      </c>
      <c r="H11" s="9">
        <f>D11+F11+'10-01-20'!H11</f>
        <v>6111.01</v>
      </c>
      <c r="I11" s="9">
        <f>E11+G11+'10-01-20'!I11</f>
        <v>117.10999999999999</v>
      </c>
      <c r="J11" s="9">
        <f t="shared" si="0"/>
        <v>6228.12</v>
      </c>
      <c r="K11" s="9">
        <f t="shared" si="1"/>
        <v>36512.879999999997</v>
      </c>
      <c r="L11" s="9">
        <f t="shared" si="2"/>
        <v>22444.001785714343</v>
      </c>
    </row>
    <row r="12" spans="1:13" s="8" customFormat="1" ht="11.25" customHeight="1" x14ac:dyDescent="0.25">
      <c r="A12" s="22" t="s">
        <v>34</v>
      </c>
      <c r="B12" s="21">
        <v>55080100</v>
      </c>
      <c r="C12" s="11">
        <v>23173</v>
      </c>
      <c r="D12" s="10">
        <v>1075.47</v>
      </c>
      <c r="E12" s="10">
        <v>20.43</v>
      </c>
      <c r="F12" s="10">
        <v>0</v>
      </c>
      <c r="G12" s="10">
        <v>0</v>
      </c>
      <c r="H12" s="9">
        <f>D12+F12+'10-01-20'!H12</f>
        <v>4411.62</v>
      </c>
      <c r="I12" s="9">
        <f>E12+G12+'10-01-20'!I12</f>
        <v>83.78</v>
      </c>
      <c r="J12" s="9">
        <f t="shared" si="0"/>
        <v>4495.3999999999996</v>
      </c>
      <c r="K12" s="9">
        <f t="shared" si="1"/>
        <v>18677.599999999999</v>
      </c>
      <c r="L12" s="9">
        <f t="shared" si="2"/>
        <v>8522.8125000000418</v>
      </c>
    </row>
    <row r="13" spans="1:13" s="44" customFormat="1" ht="11.25" customHeight="1" x14ac:dyDescent="0.25">
      <c r="A13" s="53" t="s">
        <v>33</v>
      </c>
      <c r="B13" s="12">
        <v>55190000</v>
      </c>
      <c r="C13" s="11">
        <v>6000</v>
      </c>
      <c r="D13" s="10">
        <v>0</v>
      </c>
      <c r="E13" s="10">
        <v>0</v>
      </c>
      <c r="F13" s="10">
        <v>0</v>
      </c>
      <c r="G13" s="10">
        <v>0</v>
      </c>
      <c r="H13" s="9">
        <f>D13+F13+'10-01-20'!H13</f>
        <v>0</v>
      </c>
      <c r="I13" s="9">
        <f>E13+G13+'10-01-20'!I13</f>
        <v>0</v>
      </c>
      <c r="J13" s="9">
        <f t="shared" si="0"/>
        <v>0</v>
      </c>
      <c r="K13" s="9">
        <f t="shared" si="1"/>
        <v>6000</v>
      </c>
      <c r="L13" s="9">
        <f t="shared" si="2"/>
        <v>6000</v>
      </c>
    </row>
    <row r="14" spans="1:13" ht="21.6" customHeight="1" thickBot="1" x14ac:dyDescent="0.3">
      <c r="A14" s="155" t="s">
        <v>32</v>
      </c>
      <c r="B14" s="156"/>
      <c r="C14" s="49">
        <f t="shared" ref="C14:L14" si="3">SUM(C3:C13)</f>
        <v>194070</v>
      </c>
      <c r="D14" s="7">
        <f t="shared" si="3"/>
        <v>5194.170000000001</v>
      </c>
      <c r="E14" s="7">
        <f t="shared" si="3"/>
        <v>98.65</v>
      </c>
      <c r="F14" s="7">
        <f t="shared" si="3"/>
        <v>0</v>
      </c>
      <c r="G14" s="7">
        <f t="shared" si="3"/>
        <v>0</v>
      </c>
      <c r="H14" s="7">
        <f t="shared" si="3"/>
        <v>27572.66</v>
      </c>
      <c r="I14" s="7">
        <f t="shared" si="3"/>
        <v>524.63</v>
      </c>
      <c r="J14" s="49">
        <f t="shared" si="3"/>
        <v>28097.29</v>
      </c>
      <c r="K14" s="49">
        <f t="shared" si="3"/>
        <v>165972.71</v>
      </c>
      <c r="L14" s="7">
        <f t="shared" si="3"/>
        <v>102502.93883928597</v>
      </c>
    </row>
    <row r="15" spans="1:13" ht="11.25" customHeight="1" x14ac:dyDescent="0.25">
      <c r="A15" s="52"/>
      <c r="B15" s="41"/>
      <c r="C15" s="40"/>
      <c r="D15" s="40"/>
      <c r="E15" s="40"/>
      <c r="F15" s="40"/>
      <c r="G15" s="40"/>
      <c r="H15" s="39"/>
      <c r="I15" s="39"/>
      <c r="J15" s="39"/>
      <c r="K15" s="39"/>
      <c r="L15" s="51"/>
    </row>
    <row r="16" spans="1:13" ht="11.25" customHeight="1" thickBot="1" x14ac:dyDescent="0.3">
      <c r="A16" s="38"/>
      <c r="B16" s="37"/>
      <c r="C16" s="36"/>
      <c r="D16" s="36"/>
      <c r="E16" s="36"/>
      <c r="F16" s="36"/>
      <c r="G16" s="36"/>
      <c r="H16" s="35"/>
      <c r="I16" s="35"/>
      <c r="J16" s="35"/>
      <c r="K16" s="35"/>
      <c r="L16" s="50"/>
    </row>
    <row r="17" spans="1:13" s="8" customFormat="1" ht="11.45" customHeight="1" x14ac:dyDescent="0.25">
      <c r="A17" s="13" t="s">
        <v>31</v>
      </c>
      <c r="B17" s="12">
        <v>55090100</v>
      </c>
      <c r="C17" s="11">
        <v>26923</v>
      </c>
      <c r="D17" s="10">
        <v>0</v>
      </c>
      <c r="E17" s="10">
        <v>0</v>
      </c>
      <c r="F17" s="10">
        <v>1200</v>
      </c>
      <c r="G17" s="10">
        <v>62.4</v>
      </c>
      <c r="H17" s="9">
        <f>D17+F17+'10-01-20'!H17</f>
        <v>8895</v>
      </c>
      <c r="I17" s="9">
        <f>E17+G17+'10-01-20'!I17</f>
        <v>462.53</v>
      </c>
      <c r="J17" s="9">
        <f t="shared" ref="J17:J19" si="4">H17+I17</f>
        <v>9357.5300000000007</v>
      </c>
      <c r="K17" s="9">
        <f>C17-J17</f>
        <v>17565.47</v>
      </c>
      <c r="L17" s="9">
        <f t="shared" ref="L17:L19" si="5">C17-((J17/8)*26.0714285714285)</f>
        <v>-3572.5218749999149</v>
      </c>
    </row>
    <row r="18" spans="1:13" s="8" customFormat="1" ht="11.45" customHeight="1" x14ac:dyDescent="0.25">
      <c r="A18" s="22" t="s">
        <v>30</v>
      </c>
      <c r="B18" s="21">
        <v>55160100</v>
      </c>
      <c r="C18" s="11">
        <v>16062</v>
      </c>
      <c r="D18" s="9">
        <v>0</v>
      </c>
      <c r="E18" s="9">
        <v>0</v>
      </c>
      <c r="F18" s="10">
        <v>0</v>
      </c>
      <c r="G18" s="10">
        <v>0</v>
      </c>
      <c r="H18" s="9">
        <f>D18+F18+'10-01-20'!H18</f>
        <v>0</v>
      </c>
      <c r="I18" s="9">
        <f>E18+G18+'10-01-20'!I18</f>
        <v>0</v>
      </c>
      <c r="J18" s="9">
        <f t="shared" si="4"/>
        <v>0</v>
      </c>
      <c r="K18" s="9">
        <f t="shared" ref="K18:K19" si="6">C18-J18</f>
        <v>16062</v>
      </c>
      <c r="L18" s="9">
        <f t="shared" si="5"/>
        <v>16062</v>
      </c>
    </row>
    <row r="19" spans="1:13" s="8" customFormat="1" ht="11.45" customHeight="1" x14ac:dyDescent="0.25">
      <c r="A19" s="13" t="s">
        <v>29</v>
      </c>
      <c r="B19" s="12">
        <v>55100100</v>
      </c>
      <c r="C19" s="11">
        <v>2026</v>
      </c>
      <c r="D19" s="10">
        <v>19.260000000000002</v>
      </c>
      <c r="E19" s="10">
        <v>0.36</v>
      </c>
      <c r="F19" s="10">
        <v>0</v>
      </c>
      <c r="G19" s="10">
        <v>0</v>
      </c>
      <c r="H19" s="9">
        <f>D19+F19+'10-01-20'!H19</f>
        <v>448.53999999999996</v>
      </c>
      <c r="I19" s="9">
        <f>E19+G19+'10-01-20'!I19</f>
        <v>7.6149999999999993</v>
      </c>
      <c r="J19" s="9">
        <f t="shared" si="4"/>
        <v>456.15499999999997</v>
      </c>
      <c r="K19" s="9">
        <f t="shared" si="6"/>
        <v>1569.845</v>
      </c>
      <c r="L19" s="9">
        <f t="shared" si="5"/>
        <v>539.42343750000418</v>
      </c>
    </row>
    <row r="20" spans="1:13" ht="21.6" customHeight="1" thickBot="1" x14ac:dyDescent="0.3">
      <c r="A20" s="155" t="s">
        <v>28</v>
      </c>
      <c r="B20" s="156"/>
      <c r="C20" s="7">
        <f t="shared" ref="C20:L20" si="7">SUM(C17:C19)</f>
        <v>45011</v>
      </c>
      <c r="D20" s="7">
        <f t="shared" si="7"/>
        <v>19.260000000000002</v>
      </c>
      <c r="E20" s="7">
        <f t="shared" si="7"/>
        <v>0.36</v>
      </c>
      <c r="F20" s="7">
        <f t="shared" si="7"/>
        <v>1200</v>
      </c>
      <c r="G20" s="7">
        <f t="shared" si="7"/>
        <v>62.4</v>
      </c>
      <c r="H20" s="7">
        <f t="shared" si="7"/>
        <v>9343.5400000000009</v>
      </c>
      <c r="I20" s="7">
        <f t="shared" si="7"/>
        <v>470.14499999999998</v>
      </c>
      <c r="J20" s="49">
        <f t="shared" si="7"/>
        <v>9813.6850000000013</v>
      </c>
      <c r="K20" s="7">
        <f t="shared" si="7"/>
        <v>35197.315000000002</v>
      </c>
      <c r="L20" s="7">
        <f t="shared" si="7"/>
        <v>13028.90156250009</v>
      </c>
    </row>
    <row r="21" spans="1:13" ht="11.25" customHeight="1" x14ac:dyDescent="0.25">
      <c r="A21" s="42"/>
      <c r="B21" s="41"/>
      <c r="C21" s="40"/>
      <c r="D21" s="39"/>
      <c r="E21" s="39"/>
      <c r="F21" s="39"/>
      <c r="G21" s="39"/>
      <c r="H21" s="39"/>
      <c r="I21" s="39"/>
      <c r="J21" s="39"/>
      <c r="K21" s="39"/>
      <c r="L21" s="51"/>
    </row>
    <row r="22" spans="1:13" ht="11.25" customHeight="1" thickBot="1" x14ac:dyDescent="0.3">
      <c r="A22" s="38"/>
      <c r="B22" s="37"/>
      <c r="C22" s="36"/>
      <c r="D22" s="35"/>
      <c r="E22" s="35"/>
      <c r="F22" s="35"/>
      <c r="G22" s="35"/>
      <c r="H22" s="35"/>
      <c r="I22" s="35"/>
      <c r="J22" s="35"/>
      <c r="K22" s="35"/>
      <c r="L22" s="50"/>
    </row>
    <row r="23" spans="1:13" s="44" customFormat="1" ht="11.45" customHeight="1" x14ac:dyDescent="0.25">
      <c r="A23" s="13" t="s">
        <v>27</v>
      </c>
      <c r="B23" s="12">
        <v>55200000</v>
      </c>
      <c r="C23" s="11">
        <v>25000</v>
      </c>
      <c r="D23" s="10">
        <v>495</v>
      </c>
      <c r="E23" s="10">
        <v>9.4</v>
      </c>
      <c r="F23" s="10">
        <v>0</v>
      </c>
      <c r="G23" s="10">
        <v>0</v>
      </c>
      <c r="H23" s="9">
        <f>D23+F23+'10-01-20'!H23</f>
        <v>3660</v>
      </c>
      <c r="I23" s="9">
        <f>E23+G23+'10-01-20'!I23</f>
        <v>69.5</v>
      </c>
      <c r="J23" s="9">
        <f t="shared" ref="J23:J25" si="8">H23+I23</f>
        <v>3729.5</v>
      </c>
      <c r="K23" s="9">
        <f>C23-J23</f>
        <v>21270.5</v>
      </c>
      <c r="L23" s="9">
        <f t="shared" ref="L23:L25" si="9">C23-((J23/8)*26.0714285714285)</f>
        <v>12845.825892857178</v>
      </c>
      <c r="M23" s="31"/>
    </row>
    <row r="24" spans="1:13" s="44" customFormat="1" ht="11.45" hidden="1" customHeight="1" x14ac:dyDescent="0.25">
      <c r="A24" s="13" t="s">
        <v>26</v>
      </c>
      <c r="B24" s="48" t="s">
        <v>25</v>
      </c>
      <c r="C24" s="84">
        <v>0</v>
      </c>
      <c r="D24" s="45"/>
      <c r="E24" s="45"/>
      <c r="F24" s="45"/>
      <c r="G24" s="45"/>
      <c r="H24" s="9">
        <f>D24+F24+'10-01-20'!H24</f>
        <v>0</v>
      </c>
      <c r="I24" s="9">
        <f>E24+G24+'10-01-20'!I24</f>
        <v>-9.9999999999997868E-3</v>
      </c>
      <c r="J24" s="9">
        <f t="shared" si="8"/>
        <v>-9.9999999999997868E-3</v>
      </c>
      <c r="K24" s="75">
        <f t="shared" ref="K24:K25" si="10">C24-J24</f>
        <v>9.9999999999997868E-3</v>
      </c>
      <c r="L24" s="9">
        <f t="shared" si="9"/>
        <v>3.2589285714284925E-2</v>
      </c>
      <c r="M24" s="31"/>
    </row>
    <row r="25" spans="1:13" s="44" customFormat="1" ht="10.9" customHeight="1" x14ac:dyDescent="0.25">
      <c r="A25" s="28" t="s">
        <v>24</v>
      </c>
      <c r="B25" s="47" t="s">
        <v>23</v>
      </c>
      <c r="C25" s="46">
        <v>0</v>
      </c>
      <c r="D25" s="45">
        <v>0</v>
      </c>
      <c r="E25" s="45">
        <v>0</v>
      </c>
      <c r="F25" s="45">
        <v>0</v>
      </c>
      <c r="G25" s="45">
        <v>0</v>
      </c>
      <c r="H25" s="9">
        <f>D25+F25+'10-01-20'!H25</f>
        <v>0</v>
      </c>
      <c r="I25" s="9">
        <f>E25+G25+'10-01-20'!I25</f>
        <v>0</v>
      </c>
      <c r="J25" s="9">
        <f t="shared" si="8"/>
        <v>0</v>
      </c>
      <c r="K25" s="9">
        <f t="shared" si="10"/>
        <v>0</v>
      </c>
      <c r="L25" s="9">
        <f t="shared" si="9"/>
        <v>0</v>
      </c>
    </row>
    <row r="26" spans="1:13" ht="24.75" customHeight="1" thickBot="1" x14ac:dyDescent="0.3">
      <c r="A26" s="157" t="s">
        <v>22</v>
      </c>
      <c r="B26" s="158"/>
      <c r="C26" s="43">
        <f>SUM(C23:C24)</f>
        <v>25000</v>
      </c>
      <c r="D26" s="43">
        <f t="shared" ref="D26:L26" si="11">SUM(D23:D25)</f>
        <v>495</v>
      </c>
      <c r="E26" s="43">
        <f t="shared" si="11"/>
        <v>9.4</v>
      </c>
      <c r="F26" s="43">
        <f t="shared" si="11"/>
        <v>0</v>
      </c>
      <c r="G26" s="43">
        <f t="shared" si="11"/>
        <v>0</v>
      </c>
      <c r="H26" s="43">
        <f t="shared" si="11"/>
        <v>3660</v>
      </c>
      <c r="I26" s="43">
        <f t="shared" si="11"/>
        <v>69.489999999999995</v>
      </c>
      <c r="J26" s="43">
        <f t="shared" si="11"/>
        <v>3729.49</v>
      </c>
      <c r="K26" s="43">
        <f t="shared" si="11"/>
        <v>21270.51</v>
      </c>
      <c r="L26" s="34">
        <f t="shared" si="11"/>
        <v>12845.858482142892</v>
      </c>
    </row>
    <row r="27" spans="1:13" ht="11.25" customHeight="1" x14ac:dyDescent="0.25">
      <c r="A27" s="42"/>
      <c r="B27" s="41"/>
      <c r="C27" s="40"/>
      <c r="D27" s="40"/>
      <c r="E27" s="40"/>
      <c r="F27" s="40"/>
      <c r="G27" s="40"/>
      <c r="H27" s="39"/>
      <c r="I27" s="39"/>
      <c r="J27" s="39"/>
      <c r="K27" s="39"/>
      <c r="L27" s="39"/>
    </row>
    <row r="28" spans="1:13" ht="11.25" customHeight="1" thickBot="1" x14ac:dyDescent="0.3">
      <c r="A28" s="38"/>
      <c r="B28" s="37"/>
      <c r="C28" s="36"/>
      <c r="D28" s="36"/>
      <c r="E28" s="36"/>
      <c r="F28" s="36"/>
      <c r="G28" s="36"/>
      <c r="H28" s="35"/>
      <c r="I28" s="35"/>
      <c r="J28" s="35"/>
      <c r="K28" s="35"/>
      <c r="L28" s="35"/>
    </row>
    <row r="29" spans="1:13" ht="21.6" customHeight="1" x14ac:dyDescent="0.25">
      <c r="A29" s="159" t="s">
        <v>21</v>
      </c>
      <c r="B29" s="159"/>
      <c r="C29" s="34">
        <f t="shared" ref="C29:L29" si="12">C14+C20+C26</f>
        <v>264081</v>
      </c>
      <c r="D29" s="34">
        <f t="shared" si="12"/>
        <v>5708.4300000000012</v>
      </c>
      <c r="E29" s="34">
        <f t="shared" si="12"/>
        <v>108.41000000000001</v>
      </c>
      <c r="F29" s="34">
        <f t="shared" si="12"/>
        <v>1200</v>
      </c>
      <c r="G29" s="34">
        <f t="shared" si="12"/>
        <v>62.4</v>
      </c>
      <c r="H29" s="34">
        <f t="shared" si="12"/>
        <v>40576.199999999997</v>
      </c>
      <c r="I29" s="34">
        <f t="shared" si="12"/>
        <v>1064.2649999999999</v>
      </c>
      <c r="J29" s="34">
        <f t="shared" si="12"/>
        <v>41640.465000000004</v>
      </c>
      <c r="K29" s="34">
        <f t="shared" si="12"/>
        <v>222440.535</v>
      </c>
      <c r="L29" s="34">
        <f t="shared" si="12"/>
        <v>128377.69888392896</v>
      </c>
    </row>
    <row r="30" spans="1:13" ht="10.9" customHeight="1" x14ac:dyDescent="0.25">
      <c r="A30" s="17"/>
      <c r="B30" s="16"/>
      <c r="C30" s="14"/>
      <c r="D30" s="15"/>
      <c r="E30" s="15"/>
      <c r="F30" s="15"/>
      <c r="G30" s="15"/>
      <c r="H30" s="14"/>
      <c r="I30" s="14"/>
      <c r="J30" s="14"/>
      <c r="K30" s="14"/>
      <c r="L30" s="14"/>
    </row>
    <row r="31" spans="1:13" ht="11.25" customHeight="1" x14ac:dyDescent="0.25">
      <c r="A31" s="17"/>
      <c r="B31" s="16"/>
      <c r="C31" s="14"/>
      <c r="D31" s="15"/>
      <c r="E31" s="15"/>
      <c r="F31" s="15"/>
      <c r="G31" s="15"/>
      <c r="H31" s="14"/>
      <c r="I31" s="14"/>
      <c r="J31" s="14"/>
      <c r="K31" s="14"/>
      <c r="L31" s="14"/>
    </row>
    <row r="32" spans="1:13" s="30" customFormat="1" ht="11.25" customHeight="1" x14ac:dyDescent="0.25">
      <c r="A32" s="28" t="s">
        <v>20</v>
      </c>
      <c r="B32" s="90" t="s">
        <v>19</v>
      </c>
      <c r="C32" s="11">
        <v>0</v>
      </c>
      <c r="D32" s="91">
        <v>0</v>
      </c>
      <c r="E32" s="91">
        <v>0</v>
      </c>
      <c r="F32" s="91">
        <v>0</v>
      </c>
      <c r="G32" s="91">
        <v>0</v>
      </c>
      <c r="H32" s="9">
        <f>D32+F32+'10-01-20'!H32</f>
        <v>0</v>
      </c>
      <c r="I32" s="9">
        <f>E32+G32+'10-01-20'!I32</f>
        <v>0</v>
      </c>
      <c r="J32" s="11">
        <f t="shared" ref="J32:J47" si="13">H32+I32</f>
        <v>0</v>
      </c>
      <c r="K32" s="11">
        <f>C32-J32</f>
        <v>0</v>
      </c>
      <c r="L32" s="9">
        <f t="shared" ref="L32:L48" si="14">C32-((J32/8)*26.0714285714285)</f>
        <v>0</v>
      </c>
    </row>
    <row r="33" spans="1:13" s="30" customFormat="1" ht="12" customHeight="1" x14ac:dyDescent="0.25">
      <c r="A33" s="32" t="s">
        <v>123</v>
      </c>
      <c r="B33" s="12" t="s">
        <v>55</v>
      </c>
      <c r="C33" s="11">
        <f>2795.22+12000</f>
        <v>14795.22</v>
      </c>
      <c r="D33" s="91">
        <v>0</v>
      </c>
      <c r="E33" s="91">
        <v>0</v>
      </c>
      <c r="F33" s="91">
        <v>0</v>
      </c>
      <c r="G33" s="91">
        <v>0</v>
      </c>
      <c r="H33" s="9">
        <f>D33+F33+'10-01-20'!H33</f>
        <v>2612</v>
      </c>
      <c r="I33" s="9">
        <f>E33+G33+'10-01-20'!I33</f>
        <v>84.06</v>
      </c>
      <c r="J33" s="11">
        <f t="shared" si="13"/>
        <v>2696.06</v>
      </c>
      <c r="K33" s="11">
        <f>C33-J33</f>
        <v>12099.16</v>
      </c>
      <c r="L33" s="9">
        <f t="shared" si="14"/>
        <v>6008.9530357143103</v>
      </c>
    </row>
    <row r="34" spans="1:13" s="30" customFormat="1" ht="11.25" hidden="1" customHeight="1" x14ac:dyDescent="0.25">
      <c r="A34" s="32" t="s">
        <v>18</v>
      </c>
      <c r="B34" s="90" t="s">
        <v>17</v>
      </c>
      <c r="C34" s="85">
        <v>0</v>
      </c>
      <c r="D34" s="91"/>
      <c r="E34" s="91"/>
      <c r="F34" s="91"/>
      <c r="G34" s="91"/>
      <c r="H34" s="9">
        <f>D34+F34+'10-01-20'!H34</f>
        <v>0</v>
      </c>
      <c r="I34" s="9">
        <f>E34+G34+'10-01-20'!I34</f>
        <v>-1.0000000000005116E-2</v>
      </c>
      <c r="J34" s="11">
        <f t="shared" si="13"/>
        <v>-1.0000000000005116E-2</v>
      </c>
      <c r="K34" s="11">
        <f t="shared" ref="K34:K47" si="15">C34-J34</f>
        <v>1.0000000000005116E-2</v>
      </c>
      <c r="L34" s="9">
        <f t="shared" si="14"/>
        <v>3.2589285714302293E-2</v>
      </c>
    </row>
    <row r="35" spans="1:13" s="26" customFormat="1" ht="11.25" customHeight="1" x14ac:dyDescent="0.25">
      <c r="A35" s="28" t="s">
        <v>16</v>
      </c>
      <c r="B35" s="21" t="s">
        <v>15</v>
      </c>
      <c r="C35" s="11">
        <v>0</v>
      </c>
      <c r="D35" s="11">
        <v>0</v>
      </c>
      <c r="E35" s="11">
        <v>0</v>
      </c>
      <c r="F35" s="11">
        <v>0</v>
      </c>
      <c r="G35" s="11">
        <v>0</v>
      </c>
      <c r="H35" s="9">
        <f>D35+F35+'10-01-20'!H35</f>
        <v>0</v>
      </c>
      <c r="I35" s="9">
        <f>E35+G35+'10-01-20'!I35</f>
        <v>0</v>
      </c>
      <c r="J35" s="11">
        <f t="shared" si="13"/>
        <v>0</v>
      </c>
      <c r="K35" s="11">
        <f t="shared" si="15"/>
        <v>0</v>
      </c>
      <c r="L35" s="9">
        <f t="shared" si="14"/>
        <v>0</v>
      </c>
    </row>
    <row r="36" spans="1:13" s="26" customFormat="1" ht="11.25" customHeight="1" x14ac:dyDescent="0.25">
      <c r="A36" s="28" t="s">
        <v>14</v>
      </c>
      <c r="B36" s="21" t="s">
        <v>13</v>
      </c>
      <c r="C36" s="11">
        <v>0</v>
      </c>
      <c r="D36" s="131">
        <v>70.430000000000007</v>
      </c>
      <c r="E36" s="131">
        <v>1.33</v>
      </c>
      <c r="F36" s="11">
        <v>0</v>
      </c>
      <c r="G36" s="11">
        <v>0</v>
      </c>
      <c r="H36" s="9">
        <f>D36+F36+'10-01-20'!H36</f>
        <v>454.53</v>
      </c>
      <c r="I36" s="9">
        <f>E36+G36+'10-01-20'!I36</f>
        <v>8.6</v>
      </c>
      <c r="J36" s="11">
        <f t="shared" si="13"/>
        <v>463.13</v>
      </c>
      <c r="K36" s="152">
        <f t="shared" si="15"/>
        <v>-463.13</v>
      </c>
      <c r="L36" s="9">
        <f t="shared" si="14"/>
        <v>-1509.30758928571</v>
      </c>
      <c r="M36" s="23"/>
    </row>
    <row r="37" spans="1:13" s="26" customFormat="1" ht="11.25" customHeight="1" x14ac:dyDescent="0.25">
      <c r="A37" s="28" t="s">
        <v>12</v>
      </c>
      <c r="B37" s="21">
        <v>55110100</v>
      </c>
      <c r="C37" s="11">
        <v>2659</v>
      </c>
      <c r="D37" s="11">
        <v>300</v>
      </c>
      <c r="E37" s="11">
        <v>5.7</v>
      </c>
      <c r="F37" s="11">
        <v>0</v>
      </c>
      <c r="G37" s="11">
        <v>0</v>
      </c>
      <c r="H37" s="9">
        <f>D37+F37+'10-01-20'!H37</f>
        <v>795</v>
      </c>
      <c r="I37" s="9">
        <f>E37+G37+'10-01-20'!I37</f>
        <v>15.100000000000001</v>
      </c>
      <c r="J37" s="11">
        <f t="shared" si="13"/>
        <v>810.1</v>
      </c>
      <c r="K37" s="11">
        <f t="shared" si="15"/>
        <v>1848.9</v>
      </c>
      <c r="L37" s="9">
        <f t="shared" si="14"/>
        <v>18.941964285721497</v>
      </c>
      <c r="M37" s="23"/>
    </row>
    <row r="38" spans="1:13" s="26" customFormat="1" ht="11.45" customHeight="1" x14ac:dyDescent="0.25">
      <c r="A38" s="28" t="s">
        <v>11</v>
      </c>
      <c r="B38" s="90" t="s">
        <v>10</v>
      </c>
      <c r="C38" s="11">
        <v>0</v>
      </c>
      <c r="D38" s="91">
        <v>0</v>
      </c>
      <c r="E38" s="91">
        <v>0</v>
      </c>
      <c r="F38" s="91">
        <v>0</v>
      </c>
      <c r="G38" s="91">
        <v>0</v>
      </c>
      <c r="H38" s="9">
        <f>D38+F38+'10-01-20'!H38</f>
        <v>0</v>
      </c>
      <c r="I38" s="9">
        <f>E38+G38+'10-01-20'!I38</f>
        <v>0</v>
      </c>
      <c r="J38" s="11">
        <f t="shared" si="13"/>
        <v>0</v>
      </c>
      <c r="K38" s="11">
        <f t="shared" si="15"/>
        <v>0</v>
      </c>
      <c r="L38" s="9">
        <f t="shared" si="14"/>
        <v>0</v>
      </c>
    </row>
    <row r="39" spans="1:13" s="26" customFormat="1" ht="11.45" customHeight="1" x14ac:dyDescent="0.25">
      <c r="A39" s="25" t="s">
        <v>68</v>
      </c>
      <c r="B39" s="24" t="s">
        <v>69</v>
      </c>
      <c r="C39" s="11">
        <v>1500</v>
      </c>
      <c r="D39" s="11">
        <v>0</v>
      </c>
      <c r="E39" s="11">
        <v>0</v>
      </c>
      <c r="F39" s="11">
        <v>0</v>
      </c>
      <c r="G39" s="11">
        <v>0</v>
      </c>
      <c r="H39" s="9">
        <f>D39+F39+'10-01-20'!H39</f>
        <v>378.53</v>
      </c>
      <c r="I39" s="9">
        <f>E39+G39+'10-01-20'!I39</f>
        <v>6.9969999999999999</v>
      </c>
      <c r="J39" s="11">
        <f t="shared" si="13"/>
        <v>385.52699999999999</v>
      </c>
      <c r="K39" s="11">
        <f t="shared" si="15"/>
        <v>1114.473</v>
      </c>
      <c r="L39" s="9">
        <f t="shared" si="14"/>
        <v>243.59504464286078</v>
      </c>
    </row>
    <row r="40" spans="1:13" s="26" customFormat="1" ht="11.45" customHeight="1" x14ac:dyDescent="0.25">
      <c r="A40" s="94" t="s">
        <v>89</v>
      </c>
      <c r="B40" s="24" t="s">
        <v>88</v>
      </c>
      <c r="C40" s="93">
        <v>1200</v>
      </c>
      <c r="D40" s="93">
        <f>52.04+38.46</f>
        <v>90.5</v>
      </c>
      <c r="E40" s="93">
        <f>0.98+0.73</f>
        <v>1.71</v>
      </c>
      <c r="F40" s="93">
        <v>0</v>
      </c>
      <c r="G40" s="93">
        <v>0</v>
      </c>
      <c r="H40" s="89">
        <f>D40+F40</f>
        <v>90.5</v>
      </c>
      <c r="I40" s="89">
        <f>E40+G40</f>
        <v>1.71</v>
      </c>
      <c r="J40" s="93">
        <f t="shared" ref="J40" si="16">H40+I40</f>
        <v>92.21</v>
      </c>
      <c r="K40" s="93">
        <f>C40-J40</f>
        <v>1107.79</v>
      </c>
      <c r="L40" s="89">
        <f t="shared" si="14"/>
        <v>899.49419642857231</v>
      </c>
    </row>
    <row r="41" spans="1:13" s="23" customFormat="1" ht="11.45" customHeight="1" x14ac:dyDescent="0.25">
      <c r="A41" s="25" t="s">
        <v>61</v>
      </c>
      <c r="B41" s="24" t="s">
        <v>62</v>
      </c>
      <c r="C41" s="11">
        <v>9800</v>
      </c>
      <c r="D41" s="11">
        <v>324</v>
      </c>
      <c r="E41" s="11">
        <v>6.15</v>
      </c>
      <c r="F41" s="11">
        <v>757.5</v>
      </c>
      <c r="G41" s="11">
        <v>39.39</v>
      </c>
      <c r="H41" s="9">
        <f>D41+F41+'10-01-20'!H40</f>
        <v>6387</v>
      </c>
      <c r="I41" s="9">
        <f>E41+G41+'10-01-20'!I40</f>
        <v>311.27999999999997</v>
      </c>
      <c r="J41" s="11">
        <f>H41+I41</f>
        <v>6698.28</v>
      </c>
      <c r="K41" s="11">
        <f>C41-J41</f>
        <v>3101.7200000000003</v>
      </c>
      <c r="L41" s="9">
        <f t="shared" si="14"/>
        <v>-12029.216071428509</v>
      </c>
    </row>
    <row r="42" spans="1:13" s="23" customFormat="1" ht="11.45" customHeight="1" x14ac:dyDescent="0.25">
      <c r="A42" s="25" t="s">
        <v>59</v>
      </c>
      <c r="B42" s="24" t="s">
        <v>60</v>
      </c>
      <c r="C42" s="11">
        <f>2453.12+2598.45</f>
        <v>5051.57</v>
      </c>
      <c r="D42" s="11">
        <v>300</v>
      </c>
      <c r="E42" s="11">
        <v>5.7</v>
      </c>
      <c r="F42" s="11">
        <v>0</v>
      </c>
      <c r="G42" s="11">
        <v>0</v>
      </c>
      <c r="H42" s="9">
        <f>D42+F42+'10-01-20'!H41</f>
        <v>1551.58</v>
      </c>
      <c r="I42" s="9">
        <f>E42+G42+'10-01-20'!I41</f>
        <v>29.47</v>
      </c>
      <c r="J42" s="11">
        <f>H42+I42</f>
        <v>1581.05</v>
      </c>
      <c r="K42" s="11">
        <f>C42-J42</f>
        <v>3470.5199999999995</v>
      </c>
      <c r="L42" s="9">
        <f t="shared" si="14"/>
        <v>-100.95901785712886</v>
      </c>
    </row>
    <row r="43" spans="1:13" s="23" customFormat="1" ht="11.45" customHeight="1" x14ac:dyDescent="0.25">
      <c r="A43" s="25" t="s">
        <v>70</v>
      </c>
      <c r="B43" s="24" t="s">
        <v>71</v>
      </c>
      <c r="C43" s="11">
        <v>5600</v>
      </c>
      <c r="D43" s="11">
        <v>389.1</v>
      </c>
      <c r="E43" s="11">
        <v>7.39</v>
      </c>
      <c r="F43" s="11">
        <v>0</v>
      </c>
      <c r="G43" s="11">
        <v>0</v>
      </c>
      <c r="H43" s="9">
        <f>D43+F43+'10-01-20'!H42</f>
        <v>2441.71</v>
      </c>
      <c r="I43" s="9">
        <f>E43+G43+'10-01-20'!I42</f>
        <v>46.35</v>
      </c>
      <c r="J43" s="11">
        <f t="shared" ref="J43" si="17">H43+I43</f>
        <v>2488.06</v>
      </c>
      <c r="K43" s="11">
        <f t="shared" ref="K43" si="18">C43-J43</f>
        <v>3111.94</v>
      </c>
      <c r="L43" s="9">
        <f t="shared" si="14"/>
        <v>-2508.4098214285486</v>
      </c>
    </row>
    <row r="44" spans="1:13" s="23" customFormat="1" ht="11.45" customHeight="1" x14ac:dyDescent="0.25">
      <c r="A44" s="25" t="s">
        <v>7</v>
      </c>
      <c r="B44" s="24" t="s">
        <v>6</v>
      </c>
      <c r="C44" s="11">
        <v>0</v>
      </c>
      <c r="D44" s="11">
        <v>0</v>
      </c>
      <c r="E44" s="11">
        <v>0</v>
      </c>
      <c r="F44" s="11">
        <v>0</v>
      </c>
      <c r="G44" s="11">
        <v>0</v>
      </c>
      <c r="H44" s="9">
        <f>D44+F44+'10-01-20'!H43</f>
        <v>0</v>
      </c>
      <c r="I44" s="9">
        <f>E44+G44+'10-01-20'!I43</f>
        <v>0</v>
      </c>
      <c r="J44" s="11">
        <f>H44+I44</f>
        <v>0</v>
      </c>
      <c r="K44" s="11">
        <f>C44-J44</f>
        <v>0</v>
      </c>
      <c r="L44" s="9">
        <f t="shared" si="14"/>
        <v>0</v>
      </c>
    </row>
    <row r="45" spans="1:13" s="23" customFormat="1" ht="11.45" customHeight="1" x14ac:dyDescent="0.25">
      <c r="A45" s="25" t="s">
        <v>9</v>
      </c>
      <c r="B45" s="24" t="s">
        <v>8</v>
      </c>
      <c r="C45" s="11">
        <v>0</v>
      </c>
      <c r="D45" s="91">
        <v>0</v>
      </c>
      <c r="E45" s="91">
        <v>0</v>
      </c>
      <c r="F45" s="91">
        <v>0</v>
      </c>
      <c r="G45" s="91">
        <v>0</v>
      </c>
      <c r="H45" s="9">
        <f>D45+F45+'10-01-20'!H44</f>
        <v>0</v>
      </c>
      <c r="I45" s="9">
        <f>E45+G45+'10-01-20'!I44</f>
        <v>0</v>
      </c>
      <c r="J45" s="11">
        <f t="shared" si="13"/>
        <v>0</v>
      </c>
      <c r="K45" s="11">
        <f t="shared" si="15"/>
        <v>0</v>
      </c>
      <c r="L45" s="9">
        <f t="shared" si="14"/>
        <v>0</v>
      </c>
    </row>
    <row r="46" spans="1:13" s="23" customFormat="1" ht="11.45" customHeight="1" x14ac:dyDescent="0.25">
      <c r="A46" s="25" t="s">
        <v>63</v>
      </c>
      <c r="B46" s="24" t="s">
        <v>66</v>
      </c>
      <c r="C46" s="11">
        <v>1784.19</v>
      </c>
      <c r="D46" s="91">
        <v>0</v>
      </c>
      <c r="E46" s="91">
        <v>0</v>
      </c>
      <c r="F46" s="91">
        <v>0</v>
      </c>
      <c r="G46" s="91">
        <v>0</v>
      </c>
      <c r="H46" s="9">
        <f>D46+F46+'10-01-20'!H45</f>
        <v>1504</v>
      </c>
      <c r="I46" s="9">
        <f>E46+G46+'10-01-20'!I45</f>
        <v>78.179999999999993</v>
      </c>
      <c r="J46" s="11">
        <f t="shared" si="13"/>
        <v>1582.18</v>
      </c>
      <c r="K46" s="11">
        <f t="shared" si="15"/>
        <v>202.01</v>
      </c>
      <c r="L46" s="9">
        <f t="shared" si="14"/>
        <v>-3372.0216071428426</v>
      </c>
    </row>
    <row r="47" spans="1:13" s="23" customFormat="1" ht="11.45" hidden="1" customHeight="1" x14ac:dyDescent="0.25">
      <c r="A47" s="25" t="s">
        <v>64</v>
      </c>
      <c r="B47" s="24" t="s">
        <v>65</v>
      </c>
      <c r="C47" s="71"/>
      <c r="D47" s="91"/>
      <c r="E47" s="91"/>
      <c r="F47" s="91"/>
      <c r="G47" s="91"/>
      <c r="H47" s="9">
        <f>D47+F47+'10-01-20'!H46</f>
        <v>0</v>
      </c>
      <c r="I47" s="9">
        <f>E47+G47+'10-01-20'!I46</f>
        <v>0</v>
      </c>
      <c r="J47" s="11">
        <f t="shared" si="13"/>
        <v>0</v>
      </c>
      <c r="K47" s="11">
        <f t="shared" si="15"/>
        <v>0</v>
      </c>
      <c r="L47" s="9">
        <f t="shared" si="14"/>
        <v>0</v>
      </c>
    </row>
    <row r="48" spans="1:13" ht="11.25" customHeight="1" x14ac:dyDescent="0.25">
      <c r="A48" s="25" t="s">
        <v>57</v>
      </c>
      <c r="B48" s="24" t="s">
        <v>58</v>
      </c>
      <c r="C48" s="70">
        <v>843.44</v>
      </c>
      <c r="D48" s="70">
        <v>76.930000000000007</v>
      </c>
      <c r="E48" s="70">
        <v>1.46</v>
      </c>
      <c r="F48" s="70">
        <v>0</v>
      </c>
      <c r="G48" s="70">
        <v>0</v>
      </c>
      <c r="H48" s="9">
        <f>D48+F48+'10-01-20'!H47</f>
        <v>676.63000000000011</v>
      </c>
      <c r="I48" s="9">
        <f>E48+G48+'10-01-20'!I47</f>
        <v>12.82</v>
      </c>
      <c r="J48" s="11">
        <f>H48+I48</f>
        <v>689.45000000000016</v>
      </c>
      <c r="K48" s="11">
        <f>C48-J48</f>
        <v>153.9899999999999</v>
      </c>
      <c r="L48" s="9">
        <f t="shared" si="14"/>
        <v>-1403.4283035714229</v>
      </c>
    </row>
    <row r="49" spans="1:12" ht="21.6" customHeight="1" x14ac:dyDescent="0.25">
      <c r="A49" s="153" t="s">
        <v>5</v>
      </c>
      <c r="B49" s="154"/>
      <c r="C49" s="7">
        <f t="shared" ref="C49:L49" si="19">SUM(C32:C48)</f>
        <v>43233.420000000006</v>
      </c>
      <c r="D49" s="7">
        <f t="shared" si="19"/>
        <v>1550.9600000000003</v>
      </c>
      <c r="E49" s="7">
        <f t="shared" si="19"/>
        <v>29.44</v>
      </c>
      <c r="F49" s="7">
        <f t="shared" si="19"/>
        <v>757.5</v>
      </c>
      <c r="G49" s="7">
        <f t="shared" si="19"/>
        <v>39.39</v>
      </c>
      <c r="H49" s="7">
        <f t="shared" si="19"/>
        <v>16891.48</v>
      </c>
      <c r="I49" s="7">
        <f t="shared" si="19"/>
        <v>594.55700000000002</v>
      </c>
      <c r="J49" s="7">
        <f t="shared" si="19"/>
        <v>17486.036999999997</v>
      </c>
      <c r="K49" s="7">
        <f t="shared" si="19"/>
        <v>25747.383000000002</v>
      </c>
      <c r="L49" s="7">
        <f t="shared" si="19"/>
        <v>-13752.325580356985</v>
      </c>
    </row>
    <row r="50" spans="1:12" ht="10.9" customHeight="1" x14ac:dyDescent="0.25">
      <c r="A50" s="17"/>
      <c r="B50" s="16"/>
      <c r="C50" s="14"/>
      <c r="D50" s="15"/>
      <c r="E50" s="15"/>
      <c r="F50" s="15"/>
      <c r="G50" s="15"/>
      <c r="H50" s="14"/>
      <c r="I50" s="14"/>
      <c r="J50" s="14"/>
      <c r="K50" s="14"/>
      <c r="L50" s="14"/>
    </row>
    <row r="51" spans="1:12" ht="10.9" customHeight="1" x14ac:dyDescent="0.25">
      <c r="A51" s="17"/>
      <c r="B51" s="16"/>
      <c r="C51" s="14"/>
      <c r="D51" s="15"/>
      <c r="E51" s="15"/>
      <c r="F51" s="15"/>
      <c r="G51" s="15"/>
      <c r="H51" s="14"/>
      <c r="I51" s="14"/>
      <c r="J51" s="14"/>
      <c r="K51" s="14"/>
      <c r="L51" s="14"/>
    </row>
    <row r="52" spans="1:12" s="92" customFormat="1" ht="10.9" customHeight="1" x14ac:dyDescent="0.25">
      <c r="A52" s="22" t="s">
        <v>4</v>
      </c>
      <c r="B52" s="29" t="s">
        <v>3</v>
      </c>
      <c r="C52" s="9">
        <v>62583</v>
      </c>
      <c r="D52" s="10">
        <v>843.37</v>
      </c>
      <c r="E52" s="10">
        <v>16.02</v>
      </c>
      <c r="F52" s="10">
        <v>0</v>
      </c>
      <c r="G52" s="10">
        <v>0</v>
      </c>
      <c r="H52" s="9">
        <f>D52+F52+'10-01-20'!H51</f>
        <v>6991.619999999999</v>
      </c>
      <c r="I52" s="9">
        <f>E52+G52+'10-01-20'!I51</f>
        <v>159.44200000000004</v>
      </c>
      <c r="J52" s="9">
        <f t="shared" ref="J52" si="20">H52+I52</f>
        <v>7151.061999999999</v>
      </c>
      <c r="K52" s="9">
        <f>C52-J52</f>
        <v>55431.938000000002</v>
      </c>
      <c r="L52" s="9">
        <f>C52-((J52/8)*26.0714285714285)</f>
        <v>39278.199732142923</v>
      </c>
    </row>
    <row r="53" spans="1:12" ht="21.6" customHeight="1" x14ac:dyDescent="0.25">
      <c r="A53" s="20" t="s">
        <v>2</v>
      </c>
      <c r="B53" s="19"/>
      <c r="C53" s="18">
        <f t="shared" ref="C53:L53" si="21">C52</f>
        <v>62583</v>
      </c>
      <c r="D53" s="18">
        <f t="shared" si="21"/>
        <v>843.37</v>
      </c>
      <c r="E53" s="18">
        <f t="shared" si="21"/>
        <v>16.02</v>
      </c>
      <c r="F53" s="18">
        <f t="shared" si="21"/>
        <v>0</v>
      </c>
      <c r="G53" s="18">
        <f t="shared" si="21"/>
        <v>0</v>
      </c>
      <c r="H53" s="18">
        <f t="shared" si="21"/>
        <v>6991.619999999999</v>
      </c>
      <c r="I53" s="18">
        <f t="shared" si="21"/>
        <v>159.44200000000004</v>
      </c>
      <c r="J53" s="18">
        <f t="shared" si="21"/>
        <v>7151.061999999999</v>
      </c>
      <c r="K53" s="18">
        <f t="shared" si="21"/>
        <v>55431.938000000002</v>
      </c>
      <c r="L53" s="18">
        <f t="shared" si="21"/>
        <v>39278.199732142923</v>
      </c>
    </row>
    <row r="54" spans="1:12" ht="10.9" customHeight="1" x14ac:dyDescent="0.25">
      <c r="A54" s="17"/>
      <c r="B54" s="16"/>
      <c r="C54" s="14"/>
      <c r="D54" s="15"/>
      <c r="E54" s="15"/>
      <c r="F54" s="15"/>
      <c r="G54" s="15"/>
      <c r="H54" s="14"/>
      <c r="I54" s="14"/>
      <c r="J54" s="14"/>
      <c r="K54" s="14"/>
      <c r="L54" s="14"/>
    </row>
    <row r="55" spans="1:12" ht="10.9" customHeight="1" x14ac:dyDescent="0.25">
      <c r="A55" s="17"/>
      <c r="B55" s="16"/>
      <c r="C55" s="14"/>
      <c r="D55" s="15"/>
      <c r="E55" s="15"/>
      <c r="F55" s="15"/>
      <c r="G55" s="15"/>
      <c r="H55" s="14"/>
      <c r="I55" s="14"/>
      <c r="J55" s="14"/>
      <c r="K55" s="14"/>
      <c r="L55" s="14"/>
    </row>
    <row r="56" spans="1:12" s="92" customFormat="1" ht="10.9" customHeight="1" x14ac:dyDescent="0.25">
      <c r="A56" s="13" t="s">
        <v>1</v>
      </c>
      <c r="B56" s="33">
        <v>55180000</v>
      </c>
      <c r="C56" s="9">
        <v>37736</v>
      </c>
      <c r="D56" s="10">
        <v>0</v>
      </c>
      <c r="E56" s="10">
        <v>0</v>
      </c>
      <c r="F56" s="10">
        <v>438.6</v>
      </c>
      <c r="G56" s="10">
        <v>22.8</v>
      </c>
      <c r="H56" s="9">
        <f>D56+F56+'10-01-20'!H55</f>
        <v>3391.8399999999997</v>
      </c>
      <c r="I56" s="9">
        <f>E56+G56+'10-01-20'!I55</f>
        <v>176.32000000000002</v>
      </c>
      <c r="J56" s="9">
        <f t="shared" ref="J56" si="22">H56+I56</f>
        <v>3568.16</v>
      </c>
      <c r="K56" s="9">
        <f>C56-J56</f>
        <v>34167.839999999997</v>
      </c>
      <c r="L56" s="9">
        <f>C56-((J56/8)*26.0714285714285)</f>
        <v>26107.62142857146</v>
      </c>
    </row>
    <row r="57" spans="1:12" s="3" customFormat="1" ht="21.6" customHeight="1" x14ac:dyDescent="0.25">
      <c r="A57" s="153" t="s">
        <v>0</v>
      </c>
      <c r="B57" s="154"/>
      <c r="C57" s="7">
        <f t="shared" ref="C57:L57" si="23">SUM(C56)</f>
        <v>37736</v>
      </c>
      <c r="D57" s="7">
        <f t="shared" si="23"/>
        <v>0</v>
      </c>
      <c r="E57" s="7">
        <f t="shared" si="23"/>
        <v>0</v>
      </c>
      <c r="F57" s="7">
        <f t="shared" si="23"/>
        <v>438.6</v>
      </c>
      <c r="G57" s="7">
        <f t="shared" si="23"/>
        <v>22.8</v>
      </c>
      <c r="H57" s="7">
        <f t="shared" si="23"/>
        <v>3391.8399999999997</v>
      </c>
      <c r="I57" s="7">
        <f t="shared" si="23"/>
        <v>176.32000000000002</v>
      </c>
      <c r="J57" s="7">
        <f t="shared" si="23"/>
        <v>3568.16</v>
      </c>
      <c r="K57" s="7">
        <f t="shared" si="23"/>
        <v>34167.839999999997</v>
      </c>
      <c r="L57" s="7">
        <f t="shared" si="23"/>
        <v>26107.62142857146</v>
      </c>
    </row>
    <row r="58" spans="1:12" s="3" customFormat="1" ht="11.25" customHeight="1" x14ac:dyDescent="0.25">
      <c r="A58" s="6"/>
      <c r="B58" s="5"/>
      <c r="C58" s="4"/>
      <c r="D58" s="4"/>
      <c r="E58" s="4"/>
      <c r="F58" s="4"/>
      <c r="G58" s="4"/>
      <c r="H58" s="4"/>
      <c r="I58" s="4"/>
      <c r="J58" s="4"/>
      <c r="K58" s="4"/>
      <c r="L58" s="4"/>
    </row>
    <row r="59" spans="1:12" s="2" customFormat="1" ht="10.5" customHeight="1" x14ac:dyDescent="0.25">
      <c r="A59" s="160" t="s">
        <v>72</v>
      </c>
      <c r="B59" s="160"/>
      <c r="C59" s="160"/>
      <c r="D59" s="160"/>
      <c r="E59" s="160"/>
      <c r="F59" s="160"/>
      <c r="G59" s="82">
        <v>12000</v>
      </c>
    </row>
    <row r="60" spans="1:12" s="2" customFormat="1" ht="10.5" customHeight="1" x14ac:dyDescent="0.25">
      <c r="A60" s="160" t="s">
        <v>73</v>
      </c>
      <c r="B60" s="160"/>
      <c r="C60" s="160"/>
      <c r="D60" s="160"/>
      <c r="E60" s="160"/>
      <c r="F60" s="160"/>
      <c r="G60" s="82">
        <v>5600</v>
      </c>
    </row>
    <row r="61" spans="1:12" ht="10.5" customHeight="1" x14ac:dyDescent="0.25">
      <c r="A61" s="160" t="s">
        <v>76</v>
      </c>
      <c r="B61" s="160"/>
      <c r="C61" s="160"/>
      <c r="D61" s="160"/>
      <c r="E61" s="160"/>
      <c r="F61" s="160"/>
      <c r="G61" s="82">
        <v>9800</v>
      </c>
    </row>
    <row r="62" spans="1:12" ht="10.5" customHeight="1" x14ac:dyDescent="0.25">
      <c r="A62" s="160" t="s">
        <v>75</v>
      </c>
      <c r="B62" s="160"/>
      <c r="C62" s="160"/>
      <c r="D62" s="160"/>
      <c r="E62" s="160"/>
      <c r="F62" s="160"/>
      <c r="G62" s="82">
        <v>1500</v>
      </c>
    </row>
    <row r="63" spans="1:12" ht="10.5" customHeight="1" x14ac:dyDescent="0.25">
      <c r="A63" s="160" t="s">
        <v>74</v>
      </c>
      <c r="B63" s="160"/>
      <c r="C63" s="160"/>
      <c r="D63" s="160"/>
      <c r="E63" s="160"/>
      <c r="F63" s="160"/>
      <c r="G63" s="82">
        <v>843.44</v>
      </c>
    </row>
    <row r="64" spans="1:12" ht="10.5" customHeight="1" x14ac:dyDescent="0.25">
      <c r="A64" s="160" t="s">
        <v>77</v>
      </c>
      <c r="B64" s="160"/>
      <c r="C64" s="160"/>
      <c r="D64" s="160"/>
      <c r="E64" s="160"/>
      <c r="F64" s="160"/>
      <c r="G64" s="82">
        <v>1784.19</v>
      </c>
    </row>
    <row r="65" spans="1:13" ht="10.5" customHeight="1" x14ac:dyDescent="0.25">
      <c r="A65" s="160" t="s">
        <v>78</v>
      </c>
      <c r="B65" s="160"/>
      <c r="C65" s="160"/>
      <c r="D65" s="160"/>
      <c r="E65" s="160"/>
      <c r="F65" s="160"/>
      <c r="G65" s="82">
        <v>2453.12</v>
      </c>
    </row>
    <row r="66" spans="1:13" s="2" customFormat="1" ht="10.5" customHeight="1" x14ac:dyDescent="0.25">
      <c r="A66" s="160" t="s">
        <v>84</v>
      </c>
      <c r="B66" s="160"/>
      <c r="C66" s="160"/>
      <c r="D66" s="160"/>
      <c r="E66" s="160"/>
      <c r="F66" s="160"/>
      <c r="G66" s="82">
        <v>2598.4499999999998</v>
      </c>
      <c r="M66" s="1"/>
    </row>
    <row r="67" spans="1:13" s="2" customFormat="1" ht="10.5" customHeight="1" x14ac:dyDescent="0.25">
      <c r="A67" s="160" t="s">
        <v>85</v>
      </c>
      <c r="B67" s="160"/>
      <c r="C67" s="160"/>
      <c r="D67" s="160"/>
      <c r="E67" s="160"/>
      <c r="F67" s="160"/>
      <c r="G67" s="82">
        <v>2659</v>
      </c>
      <c r="M67" s="1"/>
    </row>
    <row r="68" spans="1:13" s="2" customFormat="1" ht="10.5" customHeight="1" x14ac:dyDescent="0.25">
      <c r="A68" s="160" t="s">
        <v>90</v>
      </c>
      <c r="B68" s="160"/>
      <c r="C68" s="160"/>
      <c r="D68" s="160"/>
      <c r="E68" s="160"/>
      <c r="F68" s="160"/>
      <c r="G68" s="82">
        <v>1200</v>
      </c>
      <c r="M68" s="1"/>
    </row>
  </sheetData>
  <mergeCells count="16">
    <mergeCell ref="A57:B57"/>
    <mergeCell ref="A68:F68"/>
    <mergeCell ref="A14:B14"/>
    <mergeCell ref="A20:B20"/>
    <mergeCell ref="A26:B26"/>
    <mergeCell ref="A29:B29"/>
    <mergeCell ref="A49:B49"/>
    <mergeCell ref="A65:F65"/>
    <mergeCell ref="A66:F66"/>
    <mergeCell ref="A67:F67"/>
    <mergeCell ref="A59:F59"/>
    <mergeCell ref="A60:F60"/>
    <mergeCell ref="A61:F61"/>
    <mergeCell ref="A62:F62"/>
    <mergeCell ref="A63:F63"/>
    <mergeCell ref="A64:F64"/>
  </mergeCells>
  <pageMargins left="0.25" right="0" top="0.4" bottom="0" header="0.3" footer="0"/>
  <pageSetup scale="86" fitToWidth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M71"/>
  <sheetViews>
    <sheetView zoomScale="160" zoomScaleNormal="160" workbookViewId="0">
      <pane ySplit="2" topLeftCell="A30" activePane="bottomLeft" state="frozen"/>
      <selection pane="bottomLeft" activeCell="K37" sqref="K37"/>
    </sheetView>
  </sheetViews>
  <sheetFormatPr defaultColWidth="28" defaultRowHeight="15" x14ac:dyDescent="0.25"/>
  <cols>
    <col min="1" max="1" width="33.140625" style="1" bestFit="1" customWidth="1"/>
    <col min="2" max="2" width="18.7109375" style="1" bestFit="1" customWidth="1"/>
    <col min="3" max="3" width="10.42578125" style="77" customWidth="1"/>
    <col min="4" max="4" width="8.140625" style="2" bestFit="1" customWidth="1"/>
    <col min="5" max="5" width="6.28515625" style="2" bestFit="1" customWidth="1"/>
    <col min="6" max="6" width="8.28515625" style="2" bestFit="1" customWidth="1"/>
    <col min="7" max="7" width="8.7109375" style="2" bestFit="1" customWidth="1"/>
    <col min="8" max="8" width="9.28515625" style="2" bestFit="1" customWidth="1"/>
    <col min="9" max="9" width="10.7109375" style="2" bestFit="1" customWidth="1"/>
    <col min="10" max="10" width="9.7109375" style="2" bestFit="1" customWidth="1"/>
    <col min="11" max="11" width="11.140625" style="2" customWidth="1"/>
    <col min="12" max="12" width="13.42578125" style="2" bestFit="1" customWidth="1"/>
    <col min="13" max="16384" width="28" style="1"/>
  </cols>
  <sheetData>
    <row r="1" spans="1:13" ht="11.25" customHeight="1" x14ac:dyDescent="0.25">
      <c r="A1" s="68"/>
      <c r="B1" s="67"/>
      <c r="C1" s="76"/>
      <c r="D1" s="66"/>
      <c r="E1" s="66"/>
      <c r="F1" s="66"/>
      <c r="G1" s="66"/>
      <c r="H1" s="66"/>
      <c r="I1" s="66"/>
      <c r="J1" s="66"/>
      <c r="K1" s="66"/>
      <c r="L1" s="65" t="s">
        <v>91</v>
      </c>
    </row>
    <row r="2" spans="1:13" s="61" customFormat="1" ht="34.5" x14ac:dyDescent="0.25">
      <c r="A2" s="64" t="s">
        <v>53</v>
      </c>
      <c r="B2" s="64" t="s">
        <v>52</v>
      </c>
      <c r="C2" s="63" t="s">
        <v>51</v>
      </c>
      <c r="D2" s="63" t="s">
        <v>50</v>
      </c>
      <c r="E2" s="63" t="s">
        <v>48</v>
      </c>
      <c r="F2" s="63" t="s">
        <v>49</v>
      </c>
      <c r="G2" s="63" t="s">
        <v>48</v>
      </c>
      <c r="H2" s="62" t="s">
        <v>47</v>
      </c>
      <c r="I2" s="62" t="s">
        <v>46</v>
      </c>
      <c r="J2" s="62" t="s">
        <v>45</v>
      </c>
      <c r="K2" s="62" t="s">
        <v>44</v>
      </c>
      <c r="L2" s="62" t="s">
        <v>43</v>
      </c>
    </row>
    <row r="3" spans="1:13" s="60" customFormat="1" ht="11.25" customHeight="1" x14ac:dyDescent="0.25">
      <c r="A3" s="22" t="s">
        <v>42</v>
      </c>
      <c r="B3" s="21">
        <v>55010300</v>
      </c>
      <c r="C3" s="9">
        <v>0</v>
      </c>
      <c r="D3" s="9">
        <v>0</v>
      </c>
      <c r="E3" s="9">
        <v>0</v>
      </c>
      <c r="F3" s="9">
        <v>0</v>
      </c>
      <c r="G3" s="9">
        <v>0</v>
      </c>
      <c r="H3" s="9">
        <f>D3+F3+'10-15-20'!H3</f>
        <v>0</v>
      </c>
      <c r="I3" s="9">
        <f>E3+G3+'10-15-20'!I3</f>
        <v>0</v>
      </c>
      <c r="J3" s="9">
        <f t="shared" ref="J3:J14" si="0">H3+I3</f>
        <v>0</v>
      </c>
      <c r="K3" s="9">
        <f>C3-J3</f>
        <v>0</v>
      </c>
      <c r="L3" s="9">
        <f>C3-((J3/9)*26.0714285714285)</f>
        <v>0</v>
      </c>
    </row>
    <row r="4" spans="1:13" s="59" customFormat="1" ht="11.25" customHeight="1" x14ac:dyDescent="0.25">
      <c r="A4" s="22" t="s">
        <v>41</v>
      </c>
      <c r="B4" s="21">
        <v>55010500</v>
      </c>
      <c r="C4" s="9">
        <v>3229</v>
      </c>
      <c r="D4" s="10">
        <v>0</v>
      </c>
      <c r="E4" s="10">
        <v>0</v>
      </c>
      <c r="F4" s="10">
        <v>0</v>
      </c>
      <c r="G4" s="10">
        <v>0</v>
      </c>
      <c r="H4" s="9">
        <f>D4+F4+'10-15-20'!H4</f>
        <v>0</v>
      </c>
      <c r="I4" s="9">
        <f>E4+G4+'10-15-20'!I4</f>
        <v>0</v>
      </c>
      <c r="J4" s="9">
        <f t="shared" si="0"/>
        <v>0</v>
      </c>
      <c r="K4" s="9">
        <f t="shared" ref="K4:K14" si="1">C4-J4</f>
        <v>3229</v>
      </c>
      <c r="L4" s="9">
        <f t="shared" ref="L4:L14" si="2">C4-((J4/9)*26.0714285714285)</f>
        <v>3229</v>
      </c>
    </row>
    <row r="5" spans="1:13" s="8" customFormat="1" ht="11.25" customHeight="1" x14ac:dyDescent="0.25">
      <c r="A5" s="58" t="s">
        <v>40</v>
      </c>
      <c r="B5" s="57">
        <v>55020200</v>
      </c>
      <c r="C5" s="103">
        <v>24649</v>
      </c>
      <c r="D5" s="55">
        <v>336.54</v>
      </c>
      <c r="E5" s="55">
        <v>6.39</v>
      </c>
      <c r="F5" s="55">
        <v>0</v>
      </c>
      <c r="G5" s="55">
        <v>0</v>
      </c>
      <c r="H5" s="9">
        <f>D5+F5+'10-15-20'!H5</f>
        <v>5823.4700000000012</v>
      </c>
      <c r="I5" s="9">
        <f>E5+G5+'10-15-20'!I5</f>
        <v>110.57999999999998</v>
      </c>
      <c r="J5" s="9">
        <f t="shared" si="0"/>
        <v>5934.0500000000011</v>
      </c>
      <c r="K5" s="9">
        <f t="shared" si="1"/>
        <v>18714.949999999997</v>
      </c>
      <c r="L5" s="9">
        <f t="shared" si="2"/>
        <v>7459.0932539683017</v>
      </c>
    </row>
    <row r="6" spans="1:13" s="8" customFormat="1" ht="11.25" customHeight="1" x14ac:dyDescent="0.25">
      <c r="A6" s="22" t="s">
        <v>39</v>
      </c>
      <c r="B6" s="21">
        <v>55020300</v>
      </c>
      <c r="C6" s="9">
        <v>17974</v>
      </c>
      <c r="D6" s="10">
        <v>482.59</v>
      </c>
      <c r="E6" s="10">
        <v>9.16</v>
      </c>
      <c r="F6" s="10">
        <v>0</v>
      </c>
      <c r="G6" s="10">
        <v>0</v>
      </c>
      <c r="H6" s="9">
        <f>D6+F6+'10-15-20'!H6</f>
        <v>2074.09</v>
      </c>
      <c r="I6" s="9">
        <f>E6+G6+'10-15-20'!I6</f>
        <v>39.370000000000005</v>
      </c>
      <c r="J6" s="9">
        <f t="shared" si="0"/>
        <v>2113.46</v>
      </c>
      <c r="K6" s="9">
        <f t="shared" si="1"/>
        <v>15860.54</v>
      </c>
      <c r="L6" s="9">
        <f t="shared" si="2"/>
        <v>11851.675396825414</v>
      </c>
    </row>
    <row r="7" spans="1:13" s="8" customFormat="1" ht="11.25" customHeight="1" x14ac:dyDescent="0.25">
      <c r="A7" s="22" t="s">
        <v>38</v>
      </c>
      <c r="B7" s="21">
        <v>55020400</v>
      </c>
      <c r="C7" s="9">
        <v>17974</v>
      </c>
      <c r="D7" s="10">
        <v>506.6</v>
      </c>
      <c r="E7" s="10">
        <v>9.6199999999999992</v>
      </c>
      <c r="F7" s="10">
        <v>0</v>
      </c>
      <c r="G7" s="10">
        <v>0</v>
      </c>
      <c r="H7" s="9">
        <f>D7+F7+'10-15-20'!H7</f>
        <v>1674.0500000000002</v>
      </c>
      <c r="I7" s="9">
        <f>E7+G7+'10-15-20'!I7</f>
        <v>31.769999999999996</v>
      </c>
      <c r="J7" s="9">
        <f t="shared" si="0"/>
        <v>1705.8200000000002</v>
      </c>
      <c r="K7" s="9">
        <f t="shared" si="1"/>
        <v>16268.18</v>
      </c>
      <c r="L7" s="9">
        <f t="shared" si="2"/>
        <v>13032.537301587316</v>
      </c>
    </row>
    <row r="8" spans="1:13" s="8" customFormat="1" ht="11.25" customHeight="1" x14ac:dyDescent="0.25">
      <c r="A8" s="95" t="s">
        <v>92</v>
      </c>
      <c r="B8" s="96">
        <v>55030100</v>
      </c>
      <c r="C8" s="73">
        <v>2109</v>
      </c>
      <c r="D8" s="73">
        <f>87.7+131.55</f>
        <v>219.25</v>
      </c>
      <c r="E8" s="73">
        <f>1.66+2.49</f>
        <v>4.1500000000000004</v>
      </c>
      <c r="F8" s="73">
        <v>0</v>
      </c>
      <c r="G8" s="73">
        <v>0</v>
      </c>
      <c r="H8" s="73">
        <f>D8+F8</f>
        <v>219.25</v>
      </c>
      <c r="I8" s="73">
        <f>E8+G8</f>
        <v>4.1500000000000004</v>
      </c>
      <c r="J8" s="73">
        <f t="shared" ref="J8" si="3">H8+I8</f>
        <v>223.4</v>
      </c>
      <c r="K8" s="73">
        <f t="shared" ref="K8" si="4">C8-J8</f>
        <v>1885.6</v>
      </c>
      <c r="L8" s="73">
        <f t="shared" ref="L8" si="5">C8-((J8/9)*26.0714285714285)</f>
        <v>1461.8492063492081</v>
      </c>
    </row>
    <row r="9" spans="1:13" s="8" customFormat="1" ht="11.25" customHeight="1" x14ac:dyDescent="0.25">
      <c r="A9" s="54" t="s">
        <v>37</v>
      </c>
      <c r="B9" s="21">
        <v>55030200</v>
      </c>
      <c r="C9" s="9">
        <v>24330</v>
      </c>
      <c r="D9" s="10">
        <v>227.37</v>
      </c>
      <c r="E9" s="10">
        <v>4.32</v>
      </c>
      <c r="F9" s="10">
        <v>0</v>
      </c>
      <c r="G9" s="10">
        <v>0</v>
      </c>
      <c r="H9" s="9">
        <f>D9+F9+'10-15-20'!H8</f>
        <v>3918.2200000000003</v>
      </c>
      <c r="I9" s="9">
        <f>E9+G9+'10-15-20'!I8</f>
        <v>74.400000000000006</v>
      </c>
      <c r="J9" s="9">
        <f t="shared" si="0"/>
        <v>3992.6200000000003</v>
      </c>
      <c r="K9" s="9">
        <f t="shared" si="1"/>
        <v>20337.38</v>
      </c>
      <c r="L9" s="9">
        <f t="shared" si="2"/>
        <v>12764.076984127016</v>
      </c>
    </row>
    <row r="10" spans="1:13" s="8" customFormat="1" ht="11.25" customHeight="1" x14ac:dyDescent="0.25">
      <c r="A10" s="22" t="s">
        <v>36</v>
      </c>
      <c r="B10" s="21">
        <v>55050200</v>
      </c>
      <c r="C10" s="9">
        <v>34000</v>
      </c>
      <c r="D10" s="10">
        <f>189.42+1457.93</f>
        <v>1647.3500000000001</v>
      </c>
      <c r="E10" s="10">
        <f>3.59+27.7</f>
        <v>31.29</v>
      </c>
      <c r="F10" s="10">
        <v>0</v>
      </c>
      <c r="G10" s="10">
        <v>0</v>
      </c>
      <c r="H10" s="9">
        <f>D10+F10+'10-15-20'!H9</f>
        <v>7070.6500000000005</v>
      </c>
      <c r="I10" s="9">
        <f>E10+G10+'10-15-20'!I9</f>
        <v>134.29</v>
      </c>
      <c r="J10" s="9">
        <f t="shared" si="0"/>
        <v>7204.9400000000005</v>
      </c>
      <c r="K10" s="9">
        <f t="shared" si="1"/>
        <v>26795.059999999998</v>
      </c>
      <c r="L10" s="9">
        <f t="shared" si="2"/>
        <v>13128.546825396883</v>
      </c>
    </row>
    <row r="11" spans="1:13" s="8" customFormat="1" ht="11.25" hidden="1" customHeight="1" x14ac:dyDescent="0.25">
      <c r="A11" s="22" t="s">
        <v>80</v>
      </c>
      <c r="B11" s="21">
        <v>55050300</v>
      </c>
      <c r="C11" s="97"/>
      <c r="D11" s="9"/>
      <c r="E11" s="9"/>
      <c r="F11" s="9"/>
      <c r="G11" s="9"/>
      <c r="H11" s="9">
        <f>D11+F11+'10-15-20'!H10</f>
        <v>-310</v>
      </c>
      <c r="I11" s="9">
        <f>E11+G11+'10-15-20'!I10</f>
        <v>-5.8900000000000006</v>
      </c>
      <c r="J11" s="9">
        <f t="shared" si="0"/>
        <v>-315.89</v>
      </c>
      <c r="K11" s="9">
        <f t="shared" si="1"/>
        <v>315.89</v>
      </c>
      <c r="L11" s="9">
        <f t="shared" si="2"/>
        <v>915.07817460317199</v>
      </c>
      <c r="M11" s="23"/>
    </row>
    <row r="12" spans="1:13" s="23" customFormat="1" ht="11.25" customHeight="1" x14ac:dyDescent="0.25">
      <c r="A12" s="22" t="s">
        <v>35</v>
      </c>
      <c r="B12" s="21">
        <v>55070100</v>
      </c>
      <c r="C12" s="9">
        <v>42741</v>
      </c>
      <c r="D12" s="10">
        <v>890.9</v>
      </c>
      <c r="E12" s="10">
        <v>16.920000000000002</v>
      </c>
      <c r="F12" s="10">
        <v>0</v>
      </c>
      <c r="G12" s="10">
        <v>0</v>
      </c>
      <c r="H12" s="9">
        <f>D12+F12+'10-15-20'!H11</f>
        <v>7001.91</v>
      </c>
      <c r="I12" s="9">
        <f>E12+G12+'10-15-20'!I11</f>
        <v>134.02999999999997</v>
      </c>
      <c r="J12" s="9">
        <f t="shared" si="0"/>
        <v>7135.94</v>
      </c>
      <c r="K12" s="9">
        <f t="shared" si="1"/>
        <v>35605.06</v>
      </c>
      <c r="L12" s="9">
        <f t="shared" si="2"/>
        <v>22069.427777777837</v>
      </c>
    </row>
    <row r="13" spans="1:13" s="8" customFormat="1" ht="11.25" customHeight="1" x14ac:dyDescent="0.25">
      <c r="A13" s="22" t="s">
        <v>34</v>
      </c>
      <c r="B13" s="21">
        <v>55080100</v>
      </c>
      <c r="C13" s="9">
        <v>23173</v>
      </c>
      <c r="D13" s="10">
        <v>782.11</v>
      </c>
      <c r="E13" s="10">
        <v>14.86</v>
      </c>
      <c r="F13" s="10">
        <v>0</v>
      </c>
      <c r="G13" s="10">
        <v>0</v>
      </c>
      <c r="H13" s="9">
        <f>D13+F13+'10-15-20'!H12</f>
        <v>5193.7299999999996</v>
      </c>
      <c r="I13" s="9">
        <f>E13+G13+'10-15-20'!I12</f>
        <v>98.64</v>
      </c>
      <c r="J13" s="9">
        <f t="shared" si="0"/>
        <v>5292.37</v>
      </c>
      <c r="K13" s="9">
        <f t="shared" si="1"/>
        <v>17880.63</v>
      </c>
      <c r="L13" s="9">
        <f t="shared" si="2"/>
        <v>7841.9281746032175</v>
      </c>
    </row>
    <row r="14" spans="1:13" s="44" customFormat="1" ht="11.25" customHeight="1" x14ac:dyDescent="0.25">
      <c r="A14" s="53" t="s">
        <v>33</v>
      </c>
      <c r="B14" s="12">
        <v>55190000</v>
      </c>
      <c r="C14" s="9">
        <v>6000</v>
      </c>
      <c r="D14" s="10">
        <v>5.15</v>
      </c>
      <c r="E14" s="10">
        <v>0.09</v>
      </c>
      <c r="F14" s="10">
        <v>0</v>
      </c>
      <c r="G14" s="10">
        <v>0</v>
      </c>
      <c r="H14" s="9">
        <f>D14+F14+'10-15-20'!H13</f>
        <v>5.15</v>
      </c>
      <c r="I14" s="9">
        <f>E14+G14+'10-15-20'!I13</f>
        <v>0.09</v>
      </c>
      <c r="J14" s="9">
        <f t="shared" si="0"/>
        <v>5.24</v>
      </c>
      <c r="K14" s="9">
        <f t="shared" si="1"/>
        <v>5994.76</v>
      </c>
      <c r="L14" s="9">
        <f t="shared" si="2"/>
        <v>5984.8206349206348</v>
      </c>
    </row>
    <row r="15" spans="1:13" ht="21.6" customHeight="1" thickBot="1" x14ac:dyDescent="0.3">
      <c r="A15" s="155" t="s">
        <v>32</v>
      </c>
      <c r="B15" s="156"/>
      <c r="C15" s="49">
        <f t="shared" ref="C15:L15" si="6">SUM(C3:C14)</f>
        <v>196179</v>
      </c>
      <c r="D15" s="7">
        <f t="shared" si="6"/>
        <v>5097.8599999999988</v>
      </c>
      <c r="E15" s="7">
        <f t="shared" si="6"/>
        <v>96.800000000000011</v>
      </c>
      <c r="F15" s="7">
        <f t="shared" si="6"/>
        <v>0</v>
      </c>
      <c r="G15" s="7">
        <f t="shared" si="6"/>
        <v>0</v>
      </c>
      <c r="H15" s="7">
        <f t="shared" si="6"/>
        <v>32670.520000000004</v>
      </c>
      <c r="I15" s="7">
        <f t="shared" si="6"/>
        <v>621.42999999999995</v>
      </c>
      <c r="J15" s="49">
        <f t="shared" si="6"/>
        <v>33291.949999999997</v>
      </c>
      <c r="K15" s="49">
        <f t="shared" si="6"/>
        <v>162887.04999999999</v>
      </c>
      <c r="L15" s="7">
        <f t="shared" si="6"/>
        <v>99738.033730159004</v>
      </c>
    </row>
    <row r="16" spans="1:13" ht="11.25" customHeight="1" x14ac:dyDescent="0.25">
      <c r="A16" s="52"/>
      <c r="B16" s="41"/>
      <c r="C16" s="39"/>
      <c r="D16" s="39"/>
      <c r="E16" s="39"/>
      <c r="F16" s="39"/>
      <c r="G16" s="39"/>
      <c r="H16" s="39"/>
      <c r="I16" s="39"/>
      <c r="J16" s="39"/>
      <c r="K16" s="39"/>
      <c r="L16" s="51"/>
    </row>
    <row r="17" spans="1:13" ht="11.25" customHeight="1" thickBot="1" x14ac:dyDescent="0.3">
      <c r="A17" s="38"/>
      <c r="B17" s="37"/>
      <c r="C17" s="35"/>
      <c r="D17" s="35"/>
      <c r="E17" s="35"/>
      <c r="F17" s="35"/>
      <c r="G17" s="35"/>
      <c r="H17" s="35"/>
      <c r="I17" s="35"/>
      <c r="J17" s="35"/>
      <c r="K17" s="35"/>
      <c r="L17" s="50"/>
    </row>
    <row r="18" spans="1:13" s="8" customFormat="1" ht="11.45" customHeight="1" x14ac:dyDescent="0.25">
      <c r="A18" s="13" t="s">
        <v>31</v>
      </c>
      <c r="B18" s="12">
        <v>55090100</v>
      </c>
      <c r="C18" s="9">
        <v>26923</v>
      </c>
      <c r="D18" s="10">
        <v>0</v>
      </c>
      <c r="E18" s="10">
        <v>0</v>
      </c>
      <c r="F18" s="10">
        <v>1200</v>
      </c>
      <c r="G18" s="10">
        <v>62.4</v>
      </c>
      <c r="H18" s="9">
        <f>D18+F18+'10-15-20'!H17</f>
        <v>10095</v>
      </c>
      <c r="I18" s="9">
        <f>E18+G18+'10-15-20'!I17</f>
        <v>524.92999999999995</v>
      </c>
      <c r="J18" s="9">
        <f t="shared" ref="J18:J20" si="7">H18+I18</f>
        <v>10619.93</v>
      </c>
      <c r="K18" s="9">
        <f>C18-J18</f>
        <v>16303.07</v>
      </c>
      <c r="L18" s="9">
        <f t="shared" ref="L18:L20" si="8">C18-((J18/9)*26.0714285714285)</f>
        <v>-3841.0829365078498</v>
      </c>
    </row>
    <row r="19" spans="1:13" s="8" customFormat="1" ht="11.45" customHeight="1" x14ac:dyDescent="0.25">
      <c r="A19" s="22" t="s">
        <v>30</v>
      </c>
      <c r="B19" s="21">
        <v>55160100</v>
      </c>
      <c r="C19" s="9">
        <f>16062-2109</f>
        <v>13953</v>
      </c>
      <c r="D19" s="9">
        <v>0</v>
      </c>
      <c r="E19" s="9">
        <v>0</v>
      </c>
      <c r="F19" s="10">
        <v>0</v>
      </c>
      <c r="G19" s="10">
        <v>0</v>
      </c>
      <c r="H19" s="9">
        <f>D19+F19+'10-15-20'!H18</f>
        <v>0</v>
      </c>
      <c r="I19" s="9">
        <f>E19+G19+'10-15-20'!I18</f>
        <v>0</v>
      </c>
      <c r="J19" s="9">
        <f t="shared" si="7"/>
        <v>0</v>
      </c>
      <c r="K19" s="9">
        <f t="shared" ref="K19:K20" si="9">C19-J19</f>
        <v>13953</v>
      </c>
      <c r="L19" s="9">
        <f t="shared" si="8"/>
        <v>13953</v>
      </c>
    </row>
    <row r="20" spans="1:13" s="8" customFormat="1" ht="11.45" customHeight="1" x14ac:dyDescent="0.25">
      <c r="A20" s="13" t="s">
        <v>29</v>
      </c>
      <c r="B20" s="12">
        <v>55100100</v>
      </c>
      <c r="C20" s="9">
        <v>2026</v>
      </c>
      <c r="D20" s="10">
        <v>0</v>
      </c>
      <c r="E20" s="10">
        <v>0</v>
      </c>
      <c r="F20" s="10">
        <v>0</v>
      </c>
      <c r="G20" s="10">
        <v>0</v>
      </c>
      <c r="H20" s="9">
        <f>D20+F20+'10-15-20'!H19</f>
        <v>448.53999999999996</v>
      </c>
      <c r="I20" s="9">
        <f>E20+G20+'10-15-20'!I19</f>
        <v>7.6149999999999993</v>
      </c>
      <c r="J20" s="9">
        <f t="shared" si="7"/>
        <v>456.15499999999997</v>
      </c>
      <c r="K20" s="9">
        <f t="shared" si="9"/>
        <v>1569.845</v>
      </c>
      <c r="L20" s="9">
        <f t="shared" si="8"/>
        <v>704.59861111111491</v>
      </c>
    </row>
    <row r="21" spans="1:13" ht="21.6" customHeight="1" thickBot="1" x14ac:dyDescent="0.3">
      <c r="A21" s="155" t="s">
        <v>28</v>
      </c>
      <c r="B21" s="156"/>
      <c r="C21" s="7">
        <f t="shared" ref="C21:L21" si="10">SUM(C18:C20)</f>
        <v>42902</v>
      </c>
      <c r="D21" s="7">
        <f t="shared" si="10"/>
        <v>0</v>
      </c>
      <c r="E21" s="7">
        <f t="shared" si="10"/>
        <v>0</v>
      </c>
      <c r="F21" s="7">
        <f t="shared" si="10"/>
        <v>1200</v>
      </c>
      <c r="G21" s="7">
        <f t="shared" si="10"/>
        <v>62.4</v>
      </c>
      <c r="H21" s="7">
        <f t="shared" si="10"/>
        <v>10543.54</v>
      </c>
      <c r="I21" s="7">
        <f t="shared" si="10"/>
        <v>532.54499999999996</v>
      </c>
      <c r="J21" s="49">
        <f t="shared" si="10"/>
        <v>11076.085000000001</v>
      </c>
      <c r="K21" s="7">
        <f t="shared" si="10"/>
        <v>31825.915000000001</v>
      </c>
      <c r="L21" s="7">
        <f t="shared" si="10"/>
        <v>10816.515674603264</v>
      </c>
    </row>
    <row r="22" spans="1:13" ht="11.25" customHeight="1" x14ac:dyDescent="0.25">
      <c r="A22" s="42"/>
      <c r="B22" s="41"/>
      <c r="C22" s="39"/>
      <c r="D22" s="39"/>
      <c r="E22" s="39"/>
      <c r="F22" s="39"/>
      <c r="G22" s="39"/>
      <c r="H22" s="39"/>
      <c r="I22" s="39"/>
      <c r="J22" s="39"/>
      <c r="K22" s="39"/>
      <c r="L22" s="51"/>
    </row>
    <row r="23" spans="1:13" ht="11.25" customHeight="1" thickBot="1" x14ac:dyDescent="0.3">
      <c r="A23" s="38"/>
      <c r="B23" s="37"/>
      <c r="C23" s="35"/>
      <c r="D23" s="35"/>
      <c r="E23" s="35"/>
      <c r="F23" s="35"/>
      <c r="G23" s="35"/>
      <c r="H23" s="35"/>
      <c r="I23" s="35"/>
      <c r="J23" s="35"/>
      <c r="K23" s="35"/>
      <c r="L23" s="50"/>
    </row>
    <row r="24" spans="1:13" s="44" customFormat="1" ht="11.45" customHeight="1" x14ac:dyDescent="0.25">
      <c r="A24" s="13" t="s">
        <v>27</v>
      </c>
      <c r="B24" s="12">
        <v>55200000</v>
      </c>
      <c r="C24" s="9">
        <v>25000</v>
      </c>
      <c r="D24" s="10">
        <v>566.25</v>
      </c>
      <c r="E24" s="10">
        <v>10.75</v>
      </c>
      <c r="F24" s="10">
        <v>0</v>
      </c>
      <c r="G24" s="10">
        <v>0</v>
      </c>
      <c r="H24" s="9">
        <f>D24+F24+'10-15-20'!H23</f>
        <v>4226.25</v>
      </c>
      <c r="I24" s="9">
        <f>E24+G24+'10-15-20'!I23</f>
        <v>80.25</v>
      </c>
      <c r="J24" s="9">
        <f t="shared" ref="J24:J26" si="11">H24+I24</f>
        <v>4306.5</v>
      </c>
      <c r="K24" s="9">
        <f>C24-J24</f>
        <v>20693.5</v>
      </c>
      <c r="L24" s="9">
        <f t="shared" ref="L24:L26" si="12">C24-((J24/9)*26.0714285714285)</f>
        <v>12524.821428571464</v>
      </c>
      <c r="M24" s="31"/>
    </row>
    <row r="25" spans="1:13" s="44" customFormat="1" ht="11.45" hidden="1" customHeight="1" x14ac:dyDescent="0.25">
      <c r="A25" s="13" t="s">
        <v>26</v>
      </c>
      <c r="B25" s="48" t="s">
        <v>25</v>
      </c>
      <c r="C25" s="46">
        <v>0</v>
      </c>
      <c r="D25" s="45"/>
      <c r="E25" s="45"/>
      <c r="F25" s="45"/>
      <c r="G25" s="45"/>
      <c r="H25" s="9">
        <f>D25+F25+'10-15-20'!H24</f>
        <v>0</v>
      </c>
      <c r="I25" s="9">
        <f>E25+G25+'10-15-20'!I24</f>
        <v>-9.9999999999997868E-3</v>
      </c>
      <c r="J25" s="9">
        <f t="shared" si="11"/>
        <v>-9.9999999999997868E-3</v>
      </c>
      <c r="K25" s="75">
        <f t="shared" ref="K25:K26" si="13">C25-J25</f>
        <v>9.9999999999997868E-3</v>
      </c>
      <c r="L25" s="9">
        <f t="shared" si="12"/>
        <v>2.8968253968253272E-2</v>
      </c>
      <c r="M25" s="31"/>
    </row>
    <row r="26" spans="1:13" s="44" customFormat="1" ht="10.9" customHeight="1" x14ac:dyDescent="0.25">
      <c r="A26" s="28" t="s">
        <v>24</v>
      </c>
      <c r="B26" s="47" t="s">
        <v>23</v>
      </c>
      <c r="C26" s="46">
        <v>0</v>
      </c>
      <c r="D26" s="45">
        <v>0</v>
      </c>
      <c r="E26" s="45">
        <v>0</v>
      </c>
      <c r="F26" s="45">
        <v>0</v>
      </c>
      <c r="G26" s="45">
        <v>0</v>
      </c>
      <c r="H26" s="9">
        <f>D26+F26+'10-15-20'!H25</f>
        <v>0</v>
      </c>
      <c r="I26" s="9">
        <f>E26+G26+'10-15-20'!I25</f>
        <v>0</v>
      </c>
      <c r="J26" s="9">
        <f t="shared" si="11"/>
        <v>0</v>
      </c>
      <c r="K26" s="9">
        <f t="shared" si="13"/>
        <v>0</v>
      </c>
      <c r="L26" s="9">
        <f t="shared" si="12"/>
        <v>0</v>
      </c>
    </row>
    <row r="27" spans="1:13" ht="24.75" customHeight="1" thickBot="1" x14ac:dyDescent="0.3">
      <c r="A27" s="157" t="s">
        <v>22</v>
      </c>
      <c r="B27" s="158"/>
      <c r="C27" s="43">
        <f>SUM(C24:C25)</f>
        <v>25000</v>
      </c>
      <c r="D27" s="43">
        <f t="shared" ref="D27:L27" si="14">SUM(D24:D26)</f>
        <v>566.25</v>
      </c>
      <c r="E27" s="43">
        <f t="shared" si="14"/>
        <v>10.75</v>
      </c>
      <c r="F27" s="43">
        <f t="shared" si="14"/>
        <v>0</v>
      </c>
      <c r="G27" s="43">
        <f t="shared" si="14"/>
        <v>0</v>
      </c>
      <c r="H27" s="43">
        <f t="shared" si="14"/>
        <v>4226.25</v>
      </c>
      <c r="I27" s="43">
        <f t="shared" si="14"/>
        <v>80.239999999999995</v>
      </c>
      <c r="J27" s="43">
        <f t="shared" si="14"/>
        <v>4306.49</v>
      </c>
      <c r="K27" s="43">
        <f t="shared" si="14"/>
        <v>20693.509999999998</v>
      </c>
      <c r="L27" s="34">
        <f t="shared" si="14"/>
        <v>12524.850396825432</v>
      </c>
    </row>
    <row r="28" spans="1:13" ht="11.25" customHeight="1" x14ac:dyDescent="0.25">
      <c r="A28" s="42"/>
      <c r="B28" s="41"/>
      <c r="C28" s="39"/>
      <c r="D28" s="39"/>
      <c r="E28" s="39"/>
      <c r="F28" s="39"/>
      <c r="G28" s="39"/>
      <c r="H28" s="39"/>
      <c r="I28" s="39"/>
      <c r="J28" s="39"/>
      <c r="K28" s="39"/>
      <c r="L28" s="39"/>
    </row>
    <row r="29" spans="1:13" ht="11.25" customHeight="1" thickBot="1" x14ac:dyDescent="0.3">
      <c r="A29" s="38"/>
      <c r="B29" s="37"/>
      <c r="C29" s="35"/>
      <c r="D29" s="35"/>
      <c r="E29" s="35"/>
      <c r="F29" s="35"/>
      <c r="G29" s="35"/>
      <c r="H29" s="35"/>
      <c r="I29" s="35"/>
      <c r="J29" s="35"/>
      <c r="K29" s="35"/>
      <c r="L29" s="35"/>
    </row>
    <row r="30" spans="1:13" ht="21.6" customHeight="1" x14ac:dyDescent="0.25">
      <c r="A30" s="159" t="s">
        <v>21</v>
      </c>
      <c r="B30" s="159"/>
      <c r="C30" s="34">
        <f t="shared" ref="C30:L30" si="15">C15+C21+C27</f>
        <v>264081</v>
      </c>
      <c r="D30" s="34">
        <f t="shared" si="15"/>
        <v>5664.1099999999988</v>
      </c>
      <c r="E30" s="34">
        <f t="shared" si="15"/>
        <v>107.55000000000001</v>
      </c>
      <c r="F30" s="34">
        <f t="shared" si="15"/>
        <v>1200</v>
      </c>
      <c r="G30" s="34">
        <f t="shared" si="15"/>
        <v>62.4</v>
      </c>
      <c r="H30" s="34">
        <f t="shared" si="15"/>
        <v>47440.310000000005</v>
      </c>
      <c r="I30" s="34">
        <f t="shared" si="15"/>
        <v>1234.2149999999999</v>
      </c>
      <c r="J30" s="34">
        <f t="shared" si="15"/>
        <v>48674.524999999994</v>
      </c>
      <c r="K30" s="34">
        <f t="shared" si="15"/>
        <v>215406.47500000001</v>
      </c>
      <c r="L30" s="34">
        <f t="shared" si="15"/>
        <v>123079.3998015877</v>
      </c>
    </row>
    <row r="31" spans="1:13" ht="10.9" customHeight="1" x14ac:dyDescent="0.25">
      <c r="A31" s="17"/>
      <c r="B31" s="16"/>
      <c r="C31" s="15"/>
      <c r="D31" s="15"/>
      <c r="E31" s="15"/>
      <c r="F31" s="15"/>
      <c r="G31" s="15"/>
      <c r="H31" s="15"/>
      <c r="I31" s="15"/>
      <c r="J31" s="15"/>
      <c r="K31" s="15"/>
      <c r="L31" s="15"/>
    </row>
    <row r="32" spans="1:13" ht="11.25" customHeight="1" x14ac:dyDescent="0.25">
      <c r="A32" s="17"/>
      <c r="B32" s="16"/>
      <c r="C32" s="15"/>
      <c r="D32" s="15"/>
      <c r="E32" s="15"/>
      <c r="F32" s="15"/>
      <c r="G32" s="15"/>
      <c r="H32" s="15"/>
      <c r="I32" s="15"/>
      <c r="J32" s="15"/>
      <c r="K32" s="15"/>
      <c r="L32" s="15"/>
    </row>
    <row r="33" spans="1:13" s="30" customFormat="1" ht="11.25" customHeight="1" x14ac:dyDescent="0.25">
      <c r="A33" s="28" t="s">
        <v>20</v>
      </c>
      <c r="B33" s="90" t="s">
        <v>19</v>
      </c>
      <c r="C33" s="9">
        <v>0</v>
      </c>
      <c r="D33" s="10">
        <v>0</v>
      </c>
      <c r="E33" s="10">
        <v>0</v>
      </c>
      <c r="F33" s="10">
        <v>0</v>
      </c>
      <c r="G33" s="10">
        <v>0</v>
      </c>
      <c r="H33" s="9">
        <f>D33+F33+'10-15-20'!H32</f>
        <v>0</v>
      </c>
      <c r="I33" s="9">
        <f>E33+G33+'10-15-20'!I32</f>
        <v>0</v>
      </c>
      <c r="J33" s="9">
        <f t="shared" ref="J33:J48" si="16">H33+I33</f>
        <v>0</v>
      </c>
      <c r="K33" s="9">
        <f>C33-J33</f>
        <v>0</v>
      </c>
      <c r="L33" s="9">
        <f t="shared" ref="L33:L49" si="17">C33-((J33/9)*26.0714285714285)</f>
        <v>0</v>
      </c>
    </row>
    <row r="34" spans="1:13" s="30" customFormat="1" ht="12" customHeight="1" x14ac:dyDescent="0.25">
      <c r="A34" s="32" t="s">
        <v>123</v>
      </c>
      <c r="B34" s="12" t="s">
        <v>55</v>
      </c>
      <c r="C34" s="9">
        <f>2795.22+12000</f>
        <v>14795.22</v>
      </c>
      <c r="D34" s="10">
        <v>0</v>
      </c>
      <c r="E34" s="10">
        <v>0</v>
      </c>
      <c r="F34" s="10">
        <v>0</v>
      </c>
      <c r="G34" s="10">
        <v>0</v>
      </c>
      <c r="H34" s="9">
        <f>D34+F34+'10-15-20'!H33</f>
        <v>2612</v>
      </c>
      <c r="I34" s="9">
        <f>E34+G34+'10-15-20'!I33</f>
        <v>84.06</v>
      </c>
      <c r="J34" s="9">
        <f>H34+I34</f>
        <v>2696.06</v>
      </c>
      <c r="K34" s="9">
        <f>C34-J34</f>
        <v>12099.16</v>
      </c>
      <c r="L34" s="9">
        <f t="shared" si="17"/>
        <v>6985.204920634942</v>
      </c>
    </row>
    <row r="35" spans="1:13" s="30" customFormat="1" ht="11.25" hidden="1" customHeight="1" x14ac:dyDescent="0.25">
      <c r="A35" s="32" t="s">
        <v>18</v>
      </c>
      <c r="B35" s="90" t="s">
        <v>17</v>
      </c>
      <c r="C35" s="105">
        <v>0</v>
      </c>
      <c r="D35" s="10"/>
      <c r="E35" s="10"/>
      <c r="F35" s="10"/>
      <c r="G35" s="10"/>
      <c r="H35" s="9">
        <f>D35+F35+'10-15-20'!H34</f>
        <v>0</v>
      </c>
      <c r="I35" s="9">
        <f>E35+G35+'10-15-20'!I34</f>
        <v>-1.0000000000005116E-2</v>
      </c>
      <c r="J35" s="9">
        <f t="shared" si="16"/>
        <v>-1.0000000000005116E-2</v>
      </c>
      <c r="K35" s="9">
        <f t="shared" ref="K35:K48" si="18">C35-J35</f>
        <v>1.0000000000005116E-2</v>
      </c>
      <c r="L35" s="9">
        <f t="shared" si="17"/>
        <v>2.8968253968268704E-2</v>
      </c>
    </row>
    <row r="36" spans="1:13" s="26" customFormat="1" ht="11.25" customHeight="1" x14ac:dyDescent="0.25">
      <c r="A36" s="28" t="s">
        <v>16</v>
      </c>
      <c r="B36" s="21" t="s">
        <v>15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f>D36+F36+'10-15-20'!H35</f>
        <v>0</v>
      </c>
      <c r="I36" s="9">
        <f>E36+G36+'10-15-20'!I35</f>
        <v>0</v>
      </c>
      <c r="J36" s="9">
        <f t="shared" si="16"/>
        <v>0</v>
      </c>
      <c r="K36" s="9">
        <f t="shared" si="18"/>
        <v>0</v>
      </c>
      <c r="L36" s="9">
        <f t="shared" si="17"/>
        <v>0</v>
      </c>
    </row>
    <row r="37" spans="1:13" s="26" customFormat="1" ht="11.25" customHeight="1" x14ac:dyDescent="0.25">
      <c r="A37" s="28" t="s">
        <v>14</v>
      </c>
      <c r="B37" s="21" t="s">
        <v>13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f>D37+F37+'10-15-20'!H36</f>
        <v>454.53</v>
      </c>
      <c r="I37" s="9">
        <f>E37+G37+'10-15-20'!I36</f>
        <v>8.6</v>
      </c>
      <c r="J37" s="9">
        <f t="shared" si="16"/>
        <v>463.13</v>
      </c>
      <c r="K37" s="107">
        <f t="shared" si="18"/>
        <v>-463.13</v>
      </c>
      <c r="L37" s="9">
        <f t="shared" si="17"/>
        <v>-1341.6067460317422</v>
      </c>
      <c r="M37" s="23"/>
    </row>
    <row r="38" spans="1:13" s="26" customFormat="1" ht="11.25" customHeight="1" x14ac:dyDescent="0.25">
      <c r="A38" s="28" t="s">
        <v>12</v>
      </c>
      <c r="B38" s="21">
        <v>55110100</v>
      </c>
      <c r="C38" s="9">
        <v>2659</v>
      </c>
      <c r="D38" s="9">
        <v>300</v>
      </c>
      <c r="E38" s="9">
        <v>5.7</v>
      </c>
      <c r="F38" s="9">
        <v>0</v>
      </c>
      <c r="G38" s="9">
        <v>0</v>
      </c>
      <c r="H38" s="9">
        <f>D38+F38+'10-15-20'!H37</f>
        <v>1095</v>
      </c>
      <c r="I38" s="9">
        <f>E38+G38+'10-15-20'!I37</f>
        <v>20.8</v>
      </c>
      <c r="J38" s="9">
        <f t="shared" si="16"/>
        <v>1115.8</v>
      </c>
      <c r="K38" s="9">
        <f t="shared" si="18"/>
        <v>1543.2</v>
      </c>
      <c r="L38" s="9">
        <f t="shared" si="17"/>
        <v>-573.27777777776873</v>
      </c>
      <c r="M38" s="23"/>
    </row>
    <row r="39" spans="1:13" s="26" customFormat="1" ht="11.45" customHeight="1" x14ac:dyDescent="0.25">
      <c r="A39" s="28" t="s">
        <v>11</v>
      </c>
      <c r="B39" s="90" t="s">
        <v>10</v>
      </c>
      <c r="C39" s="9">
        <v>0</v>
      </c>
      <c r="D39" s="10">
        <v>5.15</v>
      </c>
      <c r="E39" s="10">
        <v>0.09</v>
      </c>
      <c r="F39" s="10">
        <v>0</v>
      </c>
      <c r="G39" s="10">
        <v>0</v>
      </c>
      <c r="H39" s="9">
        <f>D39+F39+'10-15-20'!H38</f>
        <v>5.15</v>
      </c>
      <c r="I39" s="9">
        <f>E39+G39+'10-15-20'!I38</f>
        <v>0.09</v>
      </c>
      <c r="J39" s="9">
        <f t="shared" si="16"/>
        <v>5.24</v>
      </c>
      <c r="K39" s="75">
        <f t="shared" si="18"/>
        <v>-5.24</v>
      </c>
      <c r="L39" s="9">
        <f t="shared" si="17"/>
        <v>-15.179365079365036</v>
      </c>
    </row>
    <row r="40" spans="1:13" s="26" customFormat="1" ht="11.45" customHeight="1" x14ac:dyDescent="0.25">
      <c r="A40" s="25" t="s">
        <v>68</v>
      </c>
      <c r="B40" s="24" t="s">
        <v>69</v>
      </c>
      <c r="C40" s="9">
        <v>1500</v>
      </c>
      <c r="D40" s="9">
        <v>0</v>
      </c>
      <c r="E40" s="9">
        <v>0</v>
      </c>
      <c r="F40" s="9">
        <v>0</v>
      </c>
      <c r="G40" s="9">
        <v>0</v>
      </c>
      <c r="H40" s="9">
        <f>D40+F40+'10-15-20'!H39</f>
        <v>378.53</v>
      </c>
      <c r="I40" s="9">
        <f>E40+G40+'10-15-20'!I39</f>
        <v>6.9969999999999999</v>
      </c>
      <c r="J40" s="9">
        <f t="shared" si="16"/>
        <v>385.52699999999999</v>
      </c>
      <c r="K40" s="9">
        <f t="shared" si="18"/>
        <v>1114.473</v>
      </c>
      <c r="L40" s="9">
        <f t="shared" si="17"/>
        <v>383.19559523809858</v>
      </c>
    </row>
    <row r="41" spans="1:13" s="26" customFormat="1" ht="11.45" customHeight="1" x14ac:dyDescent="0.25">
      <c r="A41" s="25" t="s">
        <v>89</v>
      </c>
      <c r="B41" s="24" t="s">
        <v>88</v>
      </c>
      <c r="C41" s="9">
        <v>1200</v>
      </c>
      <c r="D41" s="9">
        <v>45.26</v>
      </c>
      <c r="E41" s="9">
        <v>0.85</v>
      </c>
      <c r="F41" s="9">
        <v>0</v>
      </c>
      <c r="G41" s="9">
        <v>0</v>
      </c>
      <c r="H41" s="9">
        <f>D41+F41+'10-15-20'!H40</f>
        <v>135.76</v>
      </c>
      <c r="I41" s="9">
        <f>E41+G41+'10-15-20'!I40</f>
        <v>2.56</v>
      </c>
      <c r="J41" s="9">
        <f t="shared" si="16"/>
        <v>138.32</v>
      </c>
      <c r="K41" s="9">
        <f>C41-J41</f>
        <v>1061.68</v>
      </c>
      <c r="L41" s="9">
        <f t="shared" si="17"/>
        <v>799.31111111111227</v>
      </c>
    </row>
    <row r="42" spans="1:13" s="23" customFormat="1" ht="11.45" customHeight="1" x14ac:dyDescent="0.25">
      <c r="A42" s="25" t="s">
        <v>61</v>
      </c>
      <c r="B42" s="24" t="s">
        <v>62</v>
      </c>
      <c r="C42" s="9">
        <v>9800</v>
      </c>
      <c r="D42" s="9">
        <v>108</v>
      </c>
      <c r="E42" s="9">
        <v>2.0499999999999998</v>
      </c>
      <c r="F42" s="9">
        <v>731.25</v>
      </c>
      <c r="G42" s="9">
        <v>38.020000000000003</v>
      </c>
      <c r="H42" s="9">
        <f>D42+F42+'10-15-20'!H41</f>
        <v>7226.25</v>
      </c>
      <c r="I42" s="9">
        <f>E42+G42+'10-15-20'!I41</f>
        <v>351.34999999999997</v>
      </c>
      <c r="J42" s="9">
        <f>H42+I42</f>
        <v>7577.6</v>
      </c>
      <c r="K42" s="9">
        <f>C42-J42</f>
        <v>2222.3999999999996</v>
      </c>
      <c r="L42" s="9">
        <f t="shared" si="17"/>
        <v>-12150.984126984069</v>
      </c>
    </row>
    <row r="43" spans="1:13" s="23" customFormat="1" ht="11.45" customHeight="1" x14ac:dyDescent="0.25">
      <c r="A43" s="25" t="s">
        <v>59</v>
      </c>
      <c r="B43" s="24" t="s">
        <v>60</v>
      </c>
      <c r="C43" s="9">
        <f>2453.12+2598.45</f>
        <v>5051.57</v>
      </c>
      <c r="D43" s="9">
        <v>699</v>
      </c>
      <c r="E43" s="9">
        <v>13.28</v>
      </c>
      <c r="F43" s="9">
        <v>0</v>
      </c>
      <c r="G43" s="9">
        <v>0</v>
      </c>
      <c r="H43" s="9">
        <f>D43+F43+'10-15-20'!H42</f>
        <v>2250.58</v>
      </c>
      <c r="I43" s="9">
        <f>E43+G43+'10-15-20'!I42</f>
        <v>42.75</v>
      </c>
      <c r="J43" s="9">
        <f>H43+I43</f>
        <v>2293.33</v>
      </c>
      <c r="K43" s="9">
        <f>C43-J43</f>
        <v>2758.24</v>
      </c>
      <c r="L43" s="9">
        <f t="shared" si="17"/>
        <v>-1591.8065873015685</v>
      </c>
    </row>
    <row r="44" spans="1:13" s="23" customFormat="1" ht="11.45" customHeight="1" x14ac:dyDescent="0.25">
      <c r="A44" s="25" t="s">
        <v>70</v>
      </c>
      <c r="B44" s="24" t="s">
        <v>71</v>
      </c>
      <c r="C44" s="9">
        <v>5600</v>
      </c>
      <c r="D44" s="9">
        <v>389.1</v>
      </c>
      <c r="E44" s="9">
        <v>7.39</v>
      </c>
      <c r="F44" s="9">
        <v>0</v>
      </c>
      <c r="G44" s="9">
        <v>0</v>
      </c>
      <c r="H44" s="9">
        <f>D44+F44+'10-15-20'!H43</f>
        <v>2830.81</v>
      </c>
      <c r="I44" s="9">
        <f>E44+G44+'10-15-20'!I43</f>
        <v>53.74</v>
      </c>
      <c r="J44" s="9">
        <f t="shared" ref="J44" si="19">H44+I44</f>
        <v>2884.5499999999997</v>
      </c>
      <c r="K44" s="9">
        <f t="shared" ref="K44" si="20">C44-J44</f>
        <v>2715.4500000000003</v>
      </c>
      <c r="L44" s="9">
        <f t="shared" si="17"/>
        <v>-2756.0376984126742</v>
      </c>
    </row>
    <row r="45" spans="1:13" s="23" customFormat="1" ht="11.45" customHeight="1" x14ac:dyDescent="0.25">
      <c r="A45" s="25" t="s">
        <v>7</v>
      </c>
      <c r="B45" s="24" t="s">
        <v>6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f>D45+F45+'10-15-20'!H44</f>
        <v>0</v>
      </c>
      <c r="I45" s="9">
        <f>E45+G45+'10-15-20'!I44</f>
        <v>0</v>
      </c>
      <c r="J45" s="9">
        <f>H45+I45</f>
        <v>0</v>
      </c>
      <c r="K45" s="9">
        <f>C45-J45</f>
        <v>0</v>
      </c>
      <c r="L45" s="9">
        <f t="shared" si="17"/>
        <v>0</v>
      </c>
    </row>
    <row r="46" spans="1:13" s="23" customFormat="1" ht="11.45" customHeight="1" x14ac:dyDescent="0.25">
      <c r="A46" s="25" t="s">
        <v>9</v>
      </c>
      <c r="B46" s="24" t="s">
        <v>8</v>
      </c>
      <c r="C46" s="9">
        <v>0</v>
      </c>
      <c r="D46" s="10">
        <v>0</v>
      </c>
      <c r="E46" s="10">
        <v>0</v>
      </c>
      <c r="F46" s="10">
        <v>0</v>
      </c>
      <c r="G46" s="10">
        <v>0</v>
      </c>
      <c r="H46" s="9">
        <f>D46+F46+'10-15-20'!H45</f>
        <v>0</v>
      </c>
      <c r="I46" s="9">
        <f>E46+G46+'10-15-20'!I45</f>
        <v>0</v>
      </c>
      <c r="J46" s="9">
        <f t="shared" si="16"/>
        <v>0</v>
      </c>
      <c r="K46" s="9">
        <f t="shared" si="18"/>
        <v>0</v>
      </c>
      <c r="L46" s="9">
        <f t="shared" si="17"/>
        <v>0</v>
      </c>
    </row>
    <row r="47" spans="1:13" s="23" customFormat="1" ht="11.45" customHeight="1" x14ac:dyDescent="0.25">
      <c r="A47" s="25" t="s">
        <v>63</v>
      </c>
      <c r="B47" s="24" t="s">
        <v>66</v>
      </c>
      <c r="C47" s="9">
        <v>1784.19</v>
      </c>
      <c r="D47" s="10">
        <v>0</v>
      </c>
      <c r="E47" s="10">
        <v>0</v>
      </c>
      <c r="F47" s="10">
        <v>0</v>
      </c>
      <c r="G47" s="10">
        <v>0</v>
      </c>
      <c r="H47" s="9">
        <f>D47+F47+'10-15-20'!H46</f>
        <v>1504</v>
      </c>
      <c r="I47" s="9">
        <f>E47+G47+'10-15-20'!I46</f>
        <v>78.179999999999993</v>
      </c>
      <c r="J47" s="9">
        <f t="shared" si="16"/>
        <v>1582.18</v>
      </c>
      <c r="K47" s="9">
        <f t="shared" si="18"/>
        <v>202.01</v>
      </c>
      <c r="L47" s="9">
        <f t="shared" si="17"/>
        <v>-2799.1092063491938</v>
      </c>
    </row>
    <row r="48" spans="1:13" s="23" customFormat="1" ht="11.45" hidden="1" customHeight="1" x14ac:dyDescent="0.25">
      <c r="A48" s="25" t="s">
        <v>64</v>
      </c>
      <c r="B48" s="24" t="s">
        <v>65</v>
      </c>
      <c r="C48" s="97"/>
      <c r="D48" s="10"/>
      <c r="E48" s="10"/>
      <c r="F48" s="10"/>
      <c r="G48" s="10"/>
      <c r="H48" s="9">
        <f>D48+F48+'10-15-20'!H47</f>
        <v>0</v>
      </c>
      <c r="I48" s="9">
        <f>E48+G48+'10-15-20'!I47</f>
        <v>0</v>
      </c>
      <c r="J48" s="9">
        <f t="shared" si="16"/>
        <v>0</v>
      </c>
      <c r="K48" s="9">
        <f t="shared" si="18"/>
        <v>0</v>
      </c>
      <c r="L48" s="9">
        <f t="shared" si="17"/>
        <v>0</v>
      </c>
    </row>
    <row r="49" spans="1:13" ht="11.25" customHeight="1" x14ac:dyDescent="0.25">
      <c r="A49" s="25" t="s">
        <v>57</v>
      </c>
      <c r="B49" s="24" t="s">
        <v>58</v>
      </c>
      <c r="C49" s="109">
        <v>843.44</v>
      </c>
      <c r="D49" s="109">
        <v>0</v>
      </c>
      <c r="E49" s="109">
        <v>0</v>
      </c>
      <c r="F49" s="109">
        <v>0</v>
      </c>
      <c r="G49" s="109">
        <v>0</v>
      </c>
      <c r="H49" s="9">
        <f>D49+F49+'10-15-20'!H48</f>
        <v>676.63000000000011</v>
      </c>
      <c r="I49" s="9">
        <f>E49+G49+'10-15-20'!I48</f>
        <v>12.82</v>
      </c>
      <c r="J49" s="9">
        <f>H49+I49</f>
        <v>689.45000000000016</v>
      </c>
      <c r="K49" s="9">
        <f>C49-J49</f>
        <v>153.9899999999999</v>
      </c>
      <c r="L49" s="9">
        <f t="shared" si="17"/>
        <v>-1153.7762698412646</v>
      </c>
    </row>
    <row r="50" spans="1:13" ht="11.25" customHeight="1" x14ac:dyDescent="0.25">
      <c r="A50" s="74" t="s">
        <v>95</v>
      </c>
      <c r="B50" s="24" t="s">
        <v>94</v>
      </c>
      <c r="C50" s="127">
        <v>2000</v>
      </c>
      <c r="D50" s="127">
        <f>64+170+240+240+42.5</f>
        <v>756.5</v>
      </c>
      <c r="E50" s="127">
        <f>2.05+3.23+4.55+4.56+0.8</f>
        <v>15.189999999999998</v>
      </c>
      <c r="F50" s="127">
        <v>0</v>
      </c>
      <c r="G50" s="127">
        <v>0</v>
      </c>
      <c r="H50" s="73">
        <f>D50+F50</f>
        <v>756.5</v>
      </c>
      <c r="I50" s="73">
        <f>E50+G50</f>
        <v>15.189999999999998</v>
      </c>
      <c r="J50" s="73">
        <f>H50+I50</f>
        <v>771.69</v>
      </c>
      <c r="K50" s="73">
        <f>C50-J50</f>
        <v>1228.31</v>
      </c>
      <c r="L50" s="73">
        <f t="shared" ref="L50" si="21">C50-((J50/9)*26.0714285714285)</f>
        <v>-235.45119047618437</v>
      </c>
      <c r="M50" s="23"/>
    </row>
    <row r="51" spans="1:13" ht="21.6" customHeight="1" x14ac:dyDescent="0.25">
      <c r="A51" s="153" t="s">
        <v>5</v>
      </c>
      <c r="B51" s="154"/>
      <c r="C51" s="7">
        <f t="shared" ref="C51:F51" si="22">SUM(C33:C50)</f>
        <v>45233.420000000006</v>
      </c>
      <c r="D51" s="7">
        <f t="shared" si="22"/>
        <v>2303.0099999999998</v>
      </c>
      <c r="E51" s="7">
        <f t="shared" si="22"/>
        <v>44.55</v>
      </c>
      <c r="F51" s="7">
        <f t="shared" si="22"/>
        <v>731.25</v>
      </c>
      <c r="G51" s="7">
        <f t="shared" ref="G51:L51" si="23">SUM(G33:G50)</f>
        <v>38.020000000000003</v>
      </c>
      <c r="H51" s="7">
        <f t="shared" si="23"/>
        <v>19925.740000000002</v>
      </c>
      <c r="I51" s="7">
        <f t="shared" si="23"/>
        <v>677.12699999999995</v>
      </c>
      <c r="J51" s="7">
        <f t="shared" si="23"/>
        <v>20602.866999999998</v>
      </c>
      <c r="K51" s="7">
        <f t="shared" si="23"/>
        <v>24630.553</v>
      </c>
      <c r="L51" s="7">
        <f t="shared" si="23"/>
        <v>-14449.488373015711</v>
      </c>
    </row>
    <row r="52" spans="1:13" ht="10.9" customHeight="1" x14ac:dyDescent="0.25">
      <c r="A52" s="17"/>
      <c r="B52" s="16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3" ht="10.9" customHeight="1" x14ac:dyDescent="0.25">
      <c r="A53" s="17"/>
      <c r="B53" s="16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3" s="92" customFormat="1" ht="10.9" customHeight="1" x14ac:dyDescent="0.25">
      <c r="A54" s="22" t="s">
        <v>4</v>
      </c>
      <c r="B54" s="29" t="s">
        <v>3</v>
      </c>
      <c r="C54" s="9">
        <v>62583</v>
      </c>
      <c r="D54" s="10">
        <v>835.48</v>
      </c>
      <c r="E54" s="10">
        <v>15.87</v>
      </c>
      <c r="F54" s="10">
        <v>0</v>
      </c>
      <c r="G54" s="10">
        <v>0</v>
      </c>
      <c r="H54" s="9">
        <f>D54+F54+'10-15-20'!H52</f>
        <v>7827.0999999999985</v>
      </c>
      <c r="I54" s="9">
        <f>E54+G54+'10-15-20'!I52</f>
        <v>175.31200000000004</v>
      </c>
      <c r="J54" s="9">
        <f t="shared" ref="J54" si="24">H54+I54</f>
        <v>8002.4119999999984</v>
      </c>
      <c r="K54" s="9">
        <f>C54-J54</f>
        <v>54580.588000000003</v>
      </c>
      <c r="L54" s="9">
        <f>C54-((J54/9)*26.0714285714285)</f>
        <v>39401.409682539757</v>
      </c>
    </row>
    <row r="55" spans="1:13" ht="21.6" customHeight="1" x14ac:dyDescent="0.25">
      <c r="A55" s="20" t="s">
        <v>2</v>
      </c>
      <c r="B55" s="19"/>
      <c r="C55" s="18">
        <f t="shared" ref="C55:L55" si="25">C54</f>
        <v>62583</v>
      </c>
      <c r="D55" s="18">
        <f t="shared" si="25"/>
        <v>835.48</v>
      </c>
      <c r="E55" s="18">
        <f t="shared" si="25"/>
        <v>15.87</v>
      </c>
      <c r="F55" s="18">
        <f t="shared" si="25"/>
        <v>0</v>
      </c>
      <c r="G55" s="18">
        <f t="shared" si="25"/>
        <v>0</v>
      </c>
      <c r="H55" s="18">
        <f t="shared" si="25"/>
        <v>7827.0999999999985</v>
      </c>
      <c r="I55" s="18">
        <f t="shared" si="25"/>
        <v>175.31200000000004</v>
      </c>
      <c r="J55" s="18">
        <f t="shared" si="25"/>
        <v>8002.4119999999984</v>
      </c>
      <c r="K55" s="18">
        <f t="shared" si="25"/>
        <v>54580.588000000003</v>
      </c>
      <c r="L55" s="18">
        <f t="shared" si="25"/>
        <v>39401.409682539757</v>
      </c>
    </row>
    <row r="56" spans="1:13" ht="10.9" customHeight="1" x14ac:dyDescent="0.25">
      <c r="A56" s="17"/>
      <c r="B56" s="16"/>
      <c r="C56" s="15"/>
      <c r="D56" s="15"/>
      <c r="E56" s="15"/>
      <c r="F56" s="15"/>
      <c r="G56" s="15"/>
      <c r="H56" s="15"/>
      <c r="I56" s="15"/>
      <c r="J56" s="15"/>
      <c r="K56" s="15"/>
      <c r="L56" s="15"/>
    </row>
    <row r="57" spans="1:13" ht="10.9" customHeight="1" x14ac:dyDescent="0.25">
      <c r="A57" s="17"/>
      <c r="B57" s="16"/>
      <c r="C57" s="15"/>
      <c r="D57" s="15"/>
      <c r="E57" s="15"/>
      <c r="F57" s="15"/>
      <c r="G57" s="15"/>
      <c r="H57" s="15"/>
      <c r="I57" s="15"/>
      <c r="J57" s="15"/>
      <c r="K57" s="15"/>
      <c r="L57" s="15"/>
    </row>
    <row r="58" spans="1:13" s="92" customFormat="1" ht="10.9" customHeight="1" x14ac:dyDescent="0.25">
      <c r="A58" s="13" t="s">
        <v>1</v>
      </c>
      <c r="B58" s="33">
        <v>55180000</v>
      </c>
      <c r="C58" s="9">
        <v>37736</v>
      </c>
      <c r="D58" s="10">
        <v>0</v>
      </c>
      <c r="E58" s="10">
        <v>0</v>
      </c>
      <c r="F58" s="10">
        <v>365.5</v>
      </c>
      <c r="G58" s="10">
        <v>19</v>
      </c>
      <c r="H58" s="9">
        <f>D58+F58+'10-15-20'!H56</f>
        <v>3757.3399999999997</v>
      </c>
      <c r="I58" s="9">
        <f>E58+G58+'10-15-20'!I56</f>
        <v>195.32000000000002</v>
      </c>
      <c r="J58" s="9">
        <f t="shared" ref="J58" si="26">H58+I58</f>
        <v>3952.66</v>
      </c>
      <c r="K58" s="9">
        <f>C58-J58</f>
        <v>33783.339999999997</v>
      </c>
      <c r="L58" s="9">
        <f>C58-((J58/9)*26.0714285714285)</f>
        <v>26285.834126984162</v>
      </c>
    </row>
    <row r="59" spans="1:13" s="3" customFormat="1" ht="21.6" customHeight="1" x14ac:dyDescent="0.25">
      <c r="A59" s="153" t="s">
        <v>0</v>
      </c>
      <c r="B59" s="154"/>
      <c r="C59" s="7">
        <f t="shared" ref="C59:L59" si="27">SUM(C58)</f>
        <v>37736</v>
      </c>
      <c r="D59" s="7">
        <f t="shared" si="27"/>
        <v>0</v>
      </c>
      <c r="E59" s="7">
        <f t="shared" si="27"/>
        <v>0</v>
      </c>
      <c r="F59" s="7">
        <f t="shared" si="27"/>
        <v>365.5</v>
      </c>
      <c r="G59" s="7">
        <f t="shared" si="27"/>
        <v>19</v>
      </c>
      <c r="H59" s="7">
        <f t="shared" si="27"/>
        <v>3757.3399999999997</v>
      </c>
      <c r="I59" s="7">
        <f t="shared" si="27"/>
        <v>195.32000000000002</v>
      </c>
      <c r="J59" s="7">
        <f t="shared" si="27"/>
        <v>3952.66</v>
      </c>
      <c r="K59" s="7">
        <f t="shared" si="27"/>
        <v>33783.339999999997</v>
      </c>
      <c r="L59" s="7">
        <f t="shared" si="27"/>
        <v>26285.834126984162</v>
      </c>
    </row>
    <row r="60" spans="1:13" s="3" customFormat="1" ht="11.25" customHeight="1" x14ac:dyDescent="0.25">
      <c r="A60" s="6"/>
      <c r="B60" s="5"/>
      <c r="C60" s="4"/>
      <c r="D60" s="4"/>
      <c r="E60" s="4"/>
      <c r="F60" s="4"/>
      <c r="G60" s="4"/>
      <c r="H60" s="4"/>
      <c r="I60" s="4"/>
      <c r="J60" s="4"/>
      <c r="K60" s="4"/>
      <c r="L60" s="4"/>
    </row>
    <row r="61" spans="1:13" s="2" customFormat="1" ht="10.5" customHeight="1" x14ac:dyDescent="0.25">
      <c r="A61" s="160" t="s">
        <v>72</v>
      </c>
      <c r="B61" s="160"/>
      <c r="C61" s="160"/>
      <c r="D61" s="160"/>
      <c r="E61" s="160"/>
      <c r="F61" s="160"/>
      <c r="G61" s="82">
        <v>12000</v>
      </c>
    </row>
    <row r="62" spans="1:13" s="2" customFormat="1" ht="10.5" customHeight="1" x14ac:dyDescent="0.25">
      <c r="A62" s="160" t="s">
        <v>73</v>
      </c>
      <c r="B62" s="160"/>
      <c r="C62" s="160"/>
      <c r="D62" s="160"/>
      <c r="E62" s="160"/>
      <c r="F62" s="160"/>
      <c r="G62" s="82">
        <v>5600</v>
      </c>
    </row>
    <row r="63" spans="1:13" ht="10.5" customHeight="1" x14ac:dyDescent="0.25">
      <c r="A63" s="160" t="s">
        <v>76</v>
      </c>
      <c r="B63" s="160"/>
      <c r="C63" s="160"/>
      <c r="D63" s="160"/>
      <c r="E63" s="160"/>
      <c r="F63" s="160"/>
      <c r="G63" s="82">
        <v>9800</v>
      </c>
    </row>
    <row r="64" spans="1:13" ht="10.5" customHeight="1" x14ac:dyDescent="0.25">
      <c r="A64" s="160" t="s">
        <v>75</v>
      </c>
      <c r="B64" s="160"/>
      <c r="C64" s="160"/>
      <c r="D64" s="160"/>
      <c r="E64" s="160"/>
      <c r="F64" s="160"/>
      <c r="G64" s="82">
        <v>1500</v>
      </c>
    </row>
    <row r="65" spans="1:13" ht="10.5" customHeight="1" x14ac:dyDescent="0.25">
      <c r="A65" s="160" t="s">
        <v>74</v>
      </c>
      <c r="B65" s="160"/>
      <c r="C65" s="160"/>
      <c r="D65" s="160"/>
      <c r="E65" s="160"/>
      <c r="F65" s="160"/>
      <c r="G65" s="82">
        <v>843.44</v>
      </c>
    </row>
    <row r="66" spans="1:13" ht="10.5" customHeight="1" x14ac:dyDescent="0.25">
      <c r="A66" s="160" t="s">
        <v>77</v>
      </c>
      <c r="B66" s="160"/>
      <c r="C66" s="160"/>
      <c r="D66" s="160"/>
      <c r="E66" s="160"/>
      <c r="F66" s="160"/>
      <c r="G66" s="82">
        <v>1784.19</v>
      </c>
    </row>
    <row r="67" spans="1:13" ht="10.5" customHeight="1" x14ac:dyDescent="0.25">
      <c r="A67" s="160" t="s">
        <v>78</v>
      </c>
      <c r="B67" s="160"/>
      <c r="C67" s="160"/>
      <c r="D67" s="160"/>
      <c r="E67" s="160"/>
      <c r="F67" s="160"/>
      <c r="G67" s="82">
        <v>2453.12</v>
      </c>
    </row>
    <row r="68" spans="1:13" s="2" customFormat="1" ht="10.5" customHeight="1" x14ac:dyDescent="0.25">
      <c r="A68" s="160" t="s">
        <v>84</v>
      </c>
      <c r="B68" s="160"/>
      <c r="C68" s="160"/>
      <c r="D68" s="160"/>
      <c r="E68" s="160"/>
      <c r="F68" s="160"/>
      <c r="G68" s="82">
        <v>2598.4499999999998</v>
      </c>
      <c r="M68" s="1"/>
    </row>
    <row r="69" spans="1:13" s="2" customFormat="1" ht="10.5" customHeight="1" x14ac:dyDescent="0.25">
      <c r="A69" s="160" t="s">
        <v>85</v>
      </c>
      <c r="B69" s="160"/>
      <c r="C69" s="160"/>
      <c r="D69" s="160"/>
      <c r="E69" s="160"/>
      <c r="F69" s="160"/>
      <c r="G69" s="82">
        <v>2659</v>
      </c>
      <c r="M69" s="1"/>
    </row>
    <row r="70" spans="1:13" s="2" customFormat="1" ht="10.5" customHeight="1" x14ac:dyDescent="0.25">
      <c r="A70" s="160" t="s">
        <v>90</v>
      </c>
      <c r="B70" s="160"/>
      <c r="C70" s="160"/>
      <c r="D70" s="160"/>
      <c r="E70" s="160"/>
      <c r="F70" s="160"/>
      <c r="G70" s="82">
        <v>1200</v>
      </c>
      <c r="M70" s="1"/>
    </row>
    <row r="71" spans="1:13" s="2" customFormat="1" ht="10.5" customHeight="1" x14ac:dyDescent="0.25">
      <c r="A71" s="160" t="s">
        <v>93</v>
      </c>
      <c r="B71" s="160"/>
      <c r="C71" s="160"/>
      <c r="D71" s="160"/>
      <c r="E71" s="160"/>
      <c r="F71" s="160"/>
      <c r="G71" s="82">
        <v>2109</v>
      </c>
    </row>
  </sheetData>
  <mergeCells count="17">
    <mergeCell ref="A66:F66"/>
    <mergeCell ref="A15:B15"/>
    <mergeCell ref="A21:B21"/>
    <mergeCell ref="A27:B27"/>
    <mergeCell ref="A30:B30"/>
    <mergeCell ref="A51:B51"/>
    <mergeCell ref="A59:B59"/>
    <mergeCell ref="A61:F61"/>
    <mergeCell ref="A62:F62"/>
    <mergeCell ref="A63:F63"/>
    <mergeCell ref="A64:F64"/>
    <mergeCell ref="A65:F65"/>
    <mergeCell ref="A67:F67"/>
    <mergeCell ref="A68:F68"/>
    <mergeCell ref="A69:F69"/>
    <mergeCell ref="A70:F70"/>
    <mergeCell ref="A71:F71"/>
  </mergeCells>
  <pageMargins left="0.25" right="0" top="0.4" bottom="0" header="0.3" footer="0"/>
  <pageSetup scale="86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27</vt:i4>
      </vt:variant>
      <vt:variant>
        <vt:lpstr>Named Ranges</vt:lpstr>
      </vt:variant>
      <vt:variant>
        <vt:i4>27</vt:i4>
      </vt:variant>
    </vt:vector>
  </HeadingPairs>
  <TitlesOfParts>
    <vt:vector size="54" baseType="lpstr">
      <vt:lpstr>07-09-20</vt:lpstr>
      <vt:lpstr>07-23-20</vt:lpstr>
      <vt:lpstr>08-06-20</vt:lpstr>
      <vt:lpstr>08-20-20</vt:lpstr>
      <vt:lpstr>09-03-20</vt:lpstr>
      <vt:lpstr>09-17-20</vt:lpstr>
      <vt:lpstr>10-01-20</vt:lpstr>
      <vt:lpstr>10-15-20</vt:lpstr>
      <vt:lpstr>10-29-20</vt:lpstr>
      <vt:lpstr>11-12-20</vt:lpstr>
      <vt:lpstr>11-26-20</vt:lpstr>
      <vt:lpstr>12-10-20</vt:lpstr>
      <vt:lpstr>12-24-20</vt:lpstr>
      <vt:lpstr>01-07-21</vt:lpstr>
      <vt:lpstr>01-21-21</vt:lpstr>
      <vt:lpstr>02-04-21</vt:lpstr>
      <vt:lpstr>02-18-21</vt:lpstr>
      <vt:lpstr>03-04-21</vt:lpstr>
      <vt:lpstr>03-18-21</vt:lpstr>
      <vt:lpstr>04-01-21</vt:lpstr>
      <vt:lpstr>04-15-21</vt:lpstr>
      <vt:lpstr>04-29-21</vt:lpstr>
      <vt:lpstr>05-13-21</vt:lpstr>
      <vt:lpstr>05-27-21</vt:lpstr>
      <vt:lpstr>06-10-21</vt:lpstr>
      <vt:lpstr>06-24-21</vt:lpstr>
      <vt:lpstr>06-30-21</vt:lpstr>
      <vt:lpstr>'01-07-21'!Print_Area</vt:lpstr>
      <vt:lpstr>'01-21-21'!Print_Area</vt:lpstr>
      <vt:lpstr>'02-04-21'!Print_Area</vt:lpstr>
      <vt:lpstr>'02-18-21'!Print_Area</vt:lpstr>
      <vt:lpstr>'03-04-21'!Print_Area</vt:lpstr>
      <vt:lpstr>'03-18-21'!Print_Area</vt:lpstr>
      <vt:lpstr>'04-01-21'!Print_Area</vt:lpstr>
      <vt:lpstr>'04-15-21'!Print_Area</vt:lpstr>
      <vt:lpstr>'04-29-21'!Print_Area</vt:lpstr>
      <vt:lpstr>'05-13-21'!Print_Area</vt:lpstr>
      <vt:lpstr>'05-27-21'!Print_Area</vt:lpstr>
      <vt:lpstr>'06-10-21'!Print_Area</vt:lpstr>
      <vt:lpstr>'06-24-21'!Print_Area</vt:lpstr>
      <vt:lpstr>'06-30-21'!Print_Area</vt:lpstr>
      <vt:lpstr>'07-09-20'!Print_Area</vt:lpstr>
      <vt:lpstr>'07-23-20'!Print_Area</vt:lpstr>
      <vt:lpstr>'08-06-20'!Print_Area</vt:lpstr>
      <vt:lpstr>'08-20-20'!Print_Area</vt:lpstr>
      <vt:lpstr>'09-03-20'!Print_Area</vt:lpstr>
      <vt:lpstr>'09-17-20'!Print_Area</vt:lpstr>
      <vt:lpstr>'10-01-20'!Print_Area</vt:lpstr>
      <vt:lpstr>'10-15-20'!Print_Area</vt:lpstr>
      <vt:lpstr>'10-29-20'!Print_Area</vt:lpstr>
      <vt:lpstr>'11-12-20'!Print_Area</vt:lpstr>
      <vt:lpstr>'11-26-20'!Print_Area</vt:lpstr>
      <vt:lpstr>'12-10-20'!Print_Area</vt:lpstr>
      <vt:lpstr>'12-24-20'!Print_Area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Krueger, Gregory</dc:creator>
  <cp:lastModifiedBy>Krueger, Gregory</cp:lastModifiedBy>
  <cp:lastPrinted>2021-03-12T16:13:43Z</cp:lastPrinted>
  <dcterms:created xsi:type="dcterms:W3CDTF">2020-07-20T14:13:52Z</dcterms:created>
  <dcterms:modified xsi:type="dcterms:W3CDTF">2021-08-04T12:37:56Z</dcterms:modified>
</cp:coreProperties>
</file>