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130AF6F7-BE44-4635-88B5-7E96EE87758D}" xr6:coauthVersionLast="36" xr6:coauthVersionMax="36" xr10:uidLastSave="{00000000-0000-0000-0000-000000000000}"/>
  <bookViews>
    <workbookView xWindow="0" yWindow="0" windowWidth="8550" windowHeight="7980" firstSheet="17" activeTab="26" xr2:uid="{00000000-000D-0000-FFFF-FFFF00000000}"/>
  </bookViews>
  <sheets>
    <sheet name="07-08-21" sheetId="27" r:id="rId1"/>
    <sheet name="07-22-21" sheetId="28" r:id="rId2"/>
    <sheet name="08-05-21" sheetId="29" r:id="rId3"/>
    <sheet name="08-19-21" sheetId="30" r:id="rId4"/>
    <sheet name="09-02-21" sheetId="31" r:id="rId5"/>
    <sheet name="09-16-21" sheetId="32" r:id="rId6"/>
    <sheet name="09-30-21" sheetId="33" r:id="rId7"/>
    <sheet name="10-14-21" sheetId="34" r:id="rId8"/>
    <sheet name="10-28-21" sheetId="35" r:id="rId9"/>
    <sheet name="11-11-21" sheetId="36" r:id="rId10"/>
    <sheet name="11-25-21" sheetId="37" r:id="rId11"/>
    <sheet name="12-09-21" sheetId="38" r:id="rId12"/>
    <sheet name="12-23-21" sheetId="39" r:id="rId13"/>
    <sheet name="01-06-22" sheetId="40" r:id="rId14"/>
    <sheet name="01-20-22" sheetId="41" r:id="rId15"/>
    <sheet name="02-03-22" sheetId="42" r:id="rId16"/>
    <sheet name="02-17-22" sheetId="43" r:id="rId17"/>
    <sheet name="03-03-22" sheetId="44" r:id="rId18"/>
    <sheet name="03-17-22" sheetId="45" r:id="rId19"/>
    <sheet name="03-31-22" sheetId="46" r:id="rId20"/>
    <sheet name="04-14-22" sheetId="47" r:id="rId21"/>
    <sheet name="04-28-22" sheetId="48" r:id="rId22"/>
    <sheet name="05-12-22" sheetId="49" r:id="rId23"/>
    <sheet name="05-26-22" sheetId="50" r:id="rId24"/>
    <sheet name="06-09-22" sheetId="51" r:id="rId25"/>
    <sheet name="06-23-22" sheetId="52" r:id="rId26"/>
    <sheet name="06-30-22 FINAL" sheetId="53" r:id="rId27"/>
  </sheets>
  <definedNames>
    <definedName name="_xlnm.Print_Area" localSheetId="13">'01-06-22'!$A$1:$L$68</definedName>
    <definedName name="_xlnm.Print_Area" localSheetId="14">'01-20-22'!$A$1:$L$69</definedName>
    <definedName name="_xlnm.Print_Area" localSheetId="15">'02-03-22'!$A$1:$L$69</definedName>
    <definedName name="_xlnm.Print_Area" localSheetId="16">'02-17-22'!$A$1:$L$70</definedName>
    <definedName name="_xlnm.Print_Area" localSheetId="17">'03-03-22'!$A$1:$L$70</definedName>
    <definedName name="_xlnm.Print_Area" localSheetId="18">'03-17-22'!$A$1:$L$70</definedName>
    <definedName name="_xlnm.Print_Area" localSheetId="19">'03-31-22'!$A$1:$L$70</definedName>
    <definedName name="_xlnm.Print_Area" localSheetId="20">'04-14-22'!$A$1:$L$73</definedName>
    <definedName name="_xlnm.Print_Area" localSheetId="21">'04-28-22'!$A$1:$L$73</definedName>
    <definedName name="_xlnm.Print_Area" localSheetId="22">'05-12-22'!$A$1:$L$73</definedName>
    <definedName name="_xlnm.Print_Area" localSheetId="23">'05-26-22'!$A$1:$L$73</definedName>
    <definedName name="_xlnm.Print_Area" localSheetId="24">'06-09-22'!$A$1:$L$73</definedName>
    <definedName name="_xlnm.Print_Area" localSheetId="25">'06-23-22'!$A$1:$L$73</definedName>
    <definedName name="_xlnm.Print_Area" localSheetId="26">'06-30-22 FINAL'!$A$1:$L$73</definedName>
    <definedName name="_xlnm.Print_Area" localSheetId="0">'07-08-21'!$A$1:$L$63</definedName>
    <definedName name="_xlnm.Print_Area" localSheetId="1">'07-22-21'!$A$1:$L$64</definedName>
    <definedName name="_xlnm.Print_Area" localSheetId="2">'08-05-21'!$A$1:$L$65</definedName>
    <definedName name="_xlnm.Print_Area" localSheetId="3">'08-19-21'!$A$1:$L$65</definedName>
    <definedName name="_xlnm.Print_Area" localSheetId="4">'09-02-21'!$A$1:$L$67</definedName>
    <definedName name="_xlnm.Print_Area" localSheetId="5">'09-16-21'!$A$1:$L$68</definedName>
    <definedName name="_xlnm.Print_Area" localSheetId="6">'09-30-21'!$A$1:$L$68</definedName>
    <definedName name="_xlnm.Print_Area" localSheetId="7">'10-14-21'!$A$1:$L$68</definedName>
    <definedName name="_xlnm.Print_Area" localSheetId="8">'10-28-21'!$A$1:$L$68</definedName>
    <definedName name="_xlnm.Print_Area" localSheetId="9">'11-11-21'!$A$1:$L$68</definedName>
    <definedName name="_xlnm.Print_Area" localSheetId="10">'11-25-21'!$A$1:$L$68</definedName>
    <definedName name="_xlnm.Print_Area" localSheetId="11">'12-09-21'!$A$1:$L$68</definedName>
    <definedName name="_xlnm.Print_Area" localSheetId="12">'12-23-21'!$A$1:$L$68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53" l="1"/>
  <c r="L57" i="53"/>
  <c r="L56" i="53"/>
  <c r="L55" i="53"/>
  <c r="L54" i="53"/>
  <c r="L50" i="53"/>
  <c r="L46" i="53"/>
  <c r="L42" i="53"/>
  <c r="L41" i="53"/>
  <c r="L39" i="53"/>
  <c r="L24" i="53"/>
  <c r="L5" i="53"/>
  <c r="I72" i="53"/>
  <c r="I73" i="53" s="1"/>
  <c r="H72" i="53"/>
  <c r="J72" i="53" s="1"/>
  <c r="I68" i="53"/>
  <c r="H68" i="53"/>
  <c r="I67" i="53"/>
  <c r="H67" i="53"/>
  <c r="I63" i="53"/>
  <c r="H63" i="53"/>
  <c r="I62" i="53"/>
  <c r="H62" i="53"/>
  <c r="I61" i="53"/>
  <c r="H61" i="53"/>
  <c r="J61" i="53" s="1"/>
  <c r="L61" i="53" s="1"/>
  <c r="I60" i="53"/>
  <c r="H60" i="53"/>
  <c r="I59" i="53"/>
  <c r="H59" i="53"/>
  <c r="I58" i="53"/>
  <c r="H58" i="53"/>
  <c r="I57" i="53"/>
  <c r="H57" i="53"/>
  <c r="I56" i="53"/>
  <c r="H56" i="53"/>
  <c r="J56" i="53" s="1"/>
  <c r="I55" i="53"/>
  <c r="H55" i="53"/>
  <c r="I54" i="53"/>
  <c r="H54" i="53"/>
  <c r="I53" i="53"/>
  <c r="H53" i="53"/>
  <c r="I52" i="53"/>
  <c r="H52" i="53"/>
  <c r="I51" i="53"/>
  <c r="J51" i="53" s="1"/>
  <c r="L51" i="53" s="1"/>
  <c r="H51" i="53"/>
  <c r="I50" i="53"/>
  <c r="H50" i="53"/>
  <c r="I49" i="53"/>
  <c r="H49" i="53"/>
  <c r="J49" i="53" s="1"/>
  <c r="L49" i="53" s="1"/>
  <c r="I48" i="53"/>
  <c r="H48" i="53"/>
  <c r="J48" i="53" s="1"/>
  <c r="L48" i="53" s="1"/>
  <c r="I47" i="53"/>
  <c r="H47" i="53"/>
  <c r="I46" i="53"/>
  <c r="H46" i="53"/>
  <c r="I45" i="53"/>
  <c r="H45" i="53"/>
  <c r="I44" i="53"/>
  <c r="H44" i="53"/>
  <c r="I43" i="53"/>
  <c r="H43" i="53"/>
  <c r="J43" i="53" s="1"/>
  <c r="L43" i="53" s="1"/>
  <c r="I42" i="53"/>
  <c r="H42" i="53"/>
  <c r="I41" i="53"/>
  <c r="H41" i="53"/>
  <c r="I40" i="53"/>
  <c r="H40" i="53"/>
  <c r="I39" i="53"/>
  <c r="H39" i="53"/>
  <c r="I38" i="53"/>
  <c r="H38" i="53"/>
  <c r="J38" i="53" s="1"/>
  <c r="L38" i="53" s="1"/>
  <c r="I30" i="53"/>
  <c r="H30" i="53"/>
  <c r="I26" i="53"/>
  <c r="H26" i="53"/>
  <c r="J26" i="53" s="1"/>
  <c r="L26" i="53" s="1"/>
  <c r="I25" i="53"/>
  <c r="H25" i="53"/>
  <c r="I24" i="53"/>
  <c r="H24" i="53"/>
  <c r="I19" i="53"/>
  <c r="H19" i="53"/>
  <c r="I18" i="53"/>
  <c r="H18" i="53"/>
  <c r="I17" i="53"/>
  <c r="H17" i="53"/>
  <c r="J17" i="53" s="1"/>
  <c r="L17" i="53" s="1"/>
  <c r="I16" i="53"/>
  <c r="H16" i="53"/>
  <c r="I15" i="53"/>
  <c r="H15" i="53"/>
  <c r="I14" i="53"/>
  <c r="H14" i="53"/>
  <c r="I13" i="53"/>
  <c r="H13" i="53"/>
  <c r="I12" i="53"/>
  <c r="H12" i="53"/>
  <c r="J12" i="53" s="1"/>
  <c r="L12" i="53" s="1"/>
  <c r="I11" i="53"/>
  <c r="J11" i="53" s="1"/>
  <c r="L11" i="53" s="1"/>
  <c r="H11" i="53"/>
  <c r="I10" i="53"/>
  <c r="H10" i="53"/>
  <c r="J10" i="53" s="1"/>
  <c r="L10" i="53" s="1"/>
  <c r="I6" i="53"/>
  <c r="J6" i="53" s="1"/>
  <c r="L6" i="53" s="1"/>
  <c r="H6" i="53"/>
  <c r="I5" i="53"/>
  <c r="H5" i="53"/>
  <c r="I4" i="53"/>
  <c r="H4" i="53"/>
  <c r="J4" i="53" s="1"/>
  <c r="L4" i="53" s="1"/>
  <c r="I3" i="53"/>
  <c r="H3" i="53"/>
  <c r="G73" i="53"/>
  <c r="F73" i="53"/>
  <c r="E73" i="53"/>
  <c r="D73" i="53"/>
  <c r="C73" i="53"/>
  <c r="G69" i="53"/>
  <c r="F69" i="53"/>
  <c r="E69" i="53"/>
  <c r="D69" i="53"/>
  <c r="C69" i="53"/>
  <c r="J68" i="53"/>
  <c r="L68" i="53" s="1"/>
  <c r="G64" i="53"/>
  <c r="F64" i="53"/>
  <c r="E64" i="53"/>
  <c r="D64" i="53"/>
  <c r="J63" i="53"/>
  <c r="L63" i="53" s="1"/>
  <c r="C62" i="53"/>
  <c r="J55" i="53"/>
  <c r="J54" i="53"/>
  <c r="C51" i="53"/>
  <c r="C49" i="53"/>
  <c r="C46" i="53"/>
  <c r="C45" i="53"/>
  <c r="J42" i="53"/>
  <c r="C40" i="53"/>
  <c r="C39" i="53"/>
  <c r="C38" i="53"/>
  <c r="G32" i="53"/>
  <c r="F32" i="53"/>
  <c r="E32" i="53"/>
  <c r="D32" i="53"/>
  <c r="C32" i="53"/>
  <c r="I31" i="53"/>
  <c r="H31" i="53"/>
  <c r="C30" i="53"/>
  <c r="G27" i="53"/>
  <c r="F27" i="53"/>
  <c r="E27" i="53"/>
  <c r="D27" i="53"/>
  <c r="C27" i="53"/>
  <c r="J24" i="53"/>
  <c r="J23" i="53"/>
  <c r="K23" i="53" s="1"/>
  <c r="I23" i="53"/>
  <c r="H23" i="53"/>
  <c r="G20" i="53"/>
  <c r="F20" i="53"/>
  <c r="C16" i="53"/>
  <c r="C11" i="53"/>
  <c r="G7" i="53"/>
  <c r="F7" i="53"/>
  <c r="E7" i="53"/>
  <c r="D7" i="53"/>
  <c r="J5" i="53"/>
  <c r="C5" i="53"/>
  <c r="C3" i="53"/>
  <c r="C7" i="53" s="1"/>
  <c r="J73" i="53" l="1"/>
  <c r="L72" i="53"/>
  <c r="H73" i="53"/>
  <c r="H69" i="53"/>
  <c r="K5" i="53"/>
  <c r="I27" i="53"/>
  <c r="H27" i="53"/>
  <c r="J25" i="53"/>
  <c r="L25" i="53" s="1"/>
  <c r="J40" i="53"/>
  <c r="L40" i="53" s="1"/>
  <c r="J15" i="53"/>
  <c r="L15" i="53" s="1"/>
  <c r="J14" i="53"/>
  <c r="L14" i="53" s="1"/>
  <c r="I20" i="53"/>
  <c r="J13" i="53"/>
  <c r="L13" i="53" s="1"/>
  <c r="J59" i="53"/>
  <c r="L59" i="53" s="1"/>
  <c r="J62" i="53"/>
  <c r="L62" i="53" s="1"/>
  <c r="J53" i="53"/>
  <c r="L53" i="53" s="1"/>
  <c r="J52" i="53"/>
  <c r="L52" i="53" s="1"/>
  <c r="K51" i="53"/>
  <c r="J16" i="53"/>
  <c r="J3" i="53"/>
  <c r="L3" i="53" s="1"/>
  <c r="I7" i="53"/>
  <c r="L73" i="53"/>
  <c r="J67" i="53"/>
  <c r="K61" i="53"/>
  <c r="K56" i="53"/>
  <c r="J44" i="53"/>
  <c r="L44" i="53" s="1"/>
  <c r="J50" i="53"/>
  <c r="J57" i="53"/>
  <c r="K57" i="53" s="1"/>
  <c r="I64" i="53"/>
  <c r="J45" i="53"/>
  <c r="L45" i="53" s="1"/>
  <c r="J58" i="53"/>
  <c r="J47" i="53"/>
  <c r="L47" i="53" s="1"/>
  <c r="J39" i="53"/>
  <c r="K38" i="53"/>
  <c r="J46" i="53"/>
  <c r="K46" i="53" s="1"/>
  <c r="J60" i="53"/>
  <c r="L60" i="53" s="1"/>
  <c r="J41" i="53"/>
  <c r="K41" i="53" s="1"/>
  <c r="J30" i="53"/>
  <c r="H32" i="53"/>
  <c r="J19" i="53"/>
  <c r="L19" i="53" s="1"/>
  <c r="J18" i="53"/>
  <c r="L18" i="53" s="1"/>
  <c r="H7" i="53"/>
  <c r="F35" i="53"/>
  <c r="G35" i="53"/>
  <c r="K10" i="53"/>
  <c r="K50" i="53"/>
  <c r="K17" i="53"/>
  <c r="K4" i="53"/>
  <c r="K42" i="53"/>
  <c r="K68" i="53"/>
  <c r="K63" i="53"/>
  <c r="K6" i="53"/>
  <c r="K12" i="53"/>
  <c r="K43" i="53"/>
  <c r="K26" i="53"/>
  <c r="K54" i="53"/>
  <c r="K15" i="53"/>
  <c r="K47" i="53"/>
  <c r="K24" i="53"/>
  <c r="K48" i="53"/>
  <c r="K55" i="53"/>
  <c r="L23" i="53"/>
  <c r="K11" i="53"/>
  <c r="D20" i="53"/>
  <c r="D35" i="53" s="1"/>
  <c r="K39" i="53"/>
  <c r="C64" i="53"/>
  <c r="C20" i="53"/>
  <c r="C35" i="53" s="1"/>
  <c r="J31" i="53"/>
  <c r="E20" i="53"/>
  <c r="E35" i="53" s="1"/>
  <c r="K72" i="53"/>
  <c r="K73" i="53" s="1"/>
  <c r="H20" i="53"/>
  <c r="J27" i="53"/>
  <c r="H64" i="53"/>
  <c r="K40" i="53"/>
  <c r="K49" i="53"/>
  <c r="I32" i="53"/>
  <c r="I69" i="53"/>
  <c r="E17" i="52"/>
  <c r="D17" i="52"/>
  <c r="E12" i="52"/>
  <c r="D12" i="52"/>
  <c r="J7" i="53" l="1"/>
  <c r="J32" i="53"/>
  <c r="L30" i="53"/>
  <c r="L32" i="53" s="1"/>
  <c r="J69" i="53"/>
  <c r="L67" i="53"/>
  <c r="L69" i="53" s="1"/>
  <c r="K25" i="53"/>
  <c r="K16" i="53"/>
  <c r="L16" i="53"/>
  <c r="L20" i="53" s="1"/>
  <c r="K14" i="53"/>
  <c r="K13" i="53"/>
  <c r="K59" i="53"/>
  <c r="K62" i="53"/>
  <c r="K45" i="53"/>
  <c r="K53" i="53"/>
  <c r="K52" i="53"/>
  <c r="K44" i="53"/>
  <c r="J20" i="53"/>
  <c r="H35" i="53"/>
  <c r="K3" i="53"/>
  <c r="K7" i="53" s="1"/>
  <c r="I35" i="53"/>
  <c r="K67" i="53"/>
  <c r="K69" i="53" s="1"/>
  <c r="K60" i="53"/>
  <c r="L64" i="53"/>
  <c r="K58" i="53"/>
  <c r="J64" i="53"/>
  <c r="K30" i="53"/>
  <c r="K32" i="53" s="1"/>
  <c r="K27" i="53"/>
  <c r="K19" i="53"/>
  <c r="K18" i="53"/>
  <c r="L7" i="53"/>
  <c r="L27" i="53"/>
  <c r="L31" i="53"/>
  <c r="K31" i="53"/>
  <c r="L58" i="52"/>
  <c r="L57" i="52"/>
  <c r="L56" i="52"/>
  <c r="L55" i="52"/>
  <c r="L54" i="52"/>
  <c r="L50" i="52"/>
  <c r="L46" i="52"/>
  <c r="L42" i="52"/>
  <c r="L41" i="52"/>
  <c r="I72" i="52"/>
  <c r="I73" i="52" s="1"/>
  <c r="H72" i="52"/>
  <c r="I68" i="52"/>
  <c r="H68" i="52"/>
  <c r="J68" i="52" s="1"/>
  <c r="L68" i="52" s="1"/>
  <c r="I67" i="52"/>
  <c r="H67" i="52"/>
  <c r="I63" i="52"/>
  <c r="H63" i="52"/>
  <c r="I62" i="52"/>
  <c r="H62" i="52"/>
  <c r="I61" i="52"/>
  <c r="H61" i="52"/>
  <c r="I60" i="52"/>
  <c r="H60" i="52"/>
  <c r="I59" i="52"/>
  <c r="H59" i="52"/>
  <c r="I58" i="52"/>
  <c r="H58" i="52"/>
  <c r="I57" i="52"/>
  <c r="H57" i="52"/>
  <c r="J57" i="52" s="1"/>
  <c r="I56" i="52"/>
  <c r="H56" i="52"/>
  <c r="J56" i="52" s="1"/>
  <c r="I55" i="52"/>
  <c r="J55" i="52" s="1"/>
  <c r="H55" i="52"/>
  <c r="I54" i="52"/>
  <c r="H54" i="52"/>
  <c r="I53" i="52"/>
  <c r="H53" i="52"/>
  <c r="I52" i="52"/>
  <c r="H52" i="52"/>
  <c r="I51" i="52"/>
  <c r="H51" i="52"/>
  <c r="I50" i="52"/>
  <c r="H50" i="52"/>
  <c r="J50" i="52" s="1"/>
  <c r="I49" i="52"/>
  <c r="H49" i="52"/>
  <c r="I48" i="52"/>
  <c r="H48" i="52"/>
  <c r="J48" i="52" s="1"/>
  <c r="L48" i="52" s="1"/>
  <c r="I47" i="52"/>
  <c r="J47" i="52" s="1"/>
  <c r="L47" i="52" s="1"/>
  <c r="H47" i="52"/>
  <c r="I46" i="52"/>
  <c r="H46" i="52"/>
  <c r="I45" i="52"/>
  <c r="H45" i="52"/>
  <c r="I44" i="52"/>
  <c r="H44" i="52"/>
  <c r="J44" i="52" s="1"/>
  <c r="L44" i="52" s="1"/>
  <c r="I43" i="52"/>
  <c r="H43" i="52"/>
  <c r="J43" i="52" s="1"/>
  <c r="L43" i="52" s="1"/>
  <c r="I42" i="52"/>
  <c r="H42" i="52"/>
  <c r="J42" i="52" s="1"/>
  <c r="I41" i="52"/>
  <c r="H41" i="52"/>
  <c r="I40" i="52"/>
  <c r="H40" i="52"/>
  <c r="I30" i="52"/>
  <c r="I32" i="52" s="1"/>
  <c r="H30" i="52"/>
  <c r="I26" i="52"/>
  <c r="H26" i="52"/>
  <c r="J26" i="52" s="1"/>
  <c r="L26" i="52" s="1"/>
  <c r="I25" i="52"/>
  <c r="H25" i="52"/>
  <c r="I24" i="52"/>
  <c r="H24" i="52"/>
  <c r="J24" i="52" s="1"/>
  <c r="L24" i="52" s="1"/>
  <c r="I19" i="52"/>
  <c r="H19" i="52"/>
  <c r="I18" i="52"/>
  <c r="H18" i="52"/>
  <c r="I17" i="52"/>
  <c r="H17" i="52"/>
  <c r="I16" i="52"/>
  <c r="H16" i="52"/>
  <c r="I15" i="52"/>
  <c r="H15" i="52"/>
  <c r="I14" i="52"/>
  <c r="H14" i="52"/>
  <c r="I13" i="52"/>
  <c r="H13" i="52"/>
  <c r="I12" i="52"/>
  <c r="H12" i="52"/>
  <c r="I11" i="52"/>
  <c r="H11" i="52"/>
  <c r="I10" i="52"/>
  <c r="H10" i="52"/>
  <c r="I6" i="52"/>
  <c r="H6" i="52"/>
  <c r="J6" i="52" s="1"/>
  <c r="L6" i="52" s="1"/>
  <c r="I5" i="52"/>
  <c r="H5" i="52"/>
  <c r="I4" i="52"/>
  <c r="H4" i="52"/>
  <c r="I3" i="52"/>
  <c r="H3" i="52"/>
  <c r="G73" i="52"/>
  <c r="F73" i="52"/>
  <c r="E73" i="52"/>
  <c r="D73" i="52"/>
  <c r="C73" i="52"/>
  <c r="J72" i="52"/>
  <c r="L72" i="52" s="1"/>
  <c r="G69" i="52"/>
  <c r="F69" i="52"/>
  <c r="E69" i="52"/>
  <c r="D69" i="52"/>
  <c r="C69" i="52"/>
  <c r="G64" i="52"/>
  <c r="F64" i="52"/>
  <c r="E64" i="52"/>
  <c r="D64" i="52"/>
  <c r="C62" i="52"/>
  <c r="J54" i="52"/>
  <c r="C51" i="52"/>
  <c r="C49" i="52"/>
  <c r="C46" i="52"/>
  <c r="C45" i="52"/>
  <c r="C40" i="52"/>
  <c r="I39" i="52"/>
  <c r="H39" i="52"/>
  <c r="C39" i="52"/>
  <c r="I38" i="52"/>
  <c r="H38" i="52"/>
  <c r="C38" i="52"/>
  <c r="G32" i="52"/>
  <c r="F32" i="52"/>
  <c r="E32" i="52"/>
  <c r="D32" i="52"/>
  <c r="C32" i="52"/>
  <c r="I31" i="52"/>
  <c r="H31" i="52"/>
  <c r="J31" i="52" s="1"/>
  <c r="C30" i="52"/>
  <c r="G27" i="52"/>
  <c r="F27" i="52"/>
  <c r="E27" i="52"/>
  <c r="D27" i="52"/>
  <c r="C27" i="52"/>
  <c r="I23" i="52"/>
  <c r="H23" i="52"/>
  <c r="J23" i="52" s="1"/>
  <c r="G20" i="52"/>
  <c r="F20" i="52"/>
  <c r="E20" i="52"/>
  <c r="D20" i="52"/>
  <c r="C16" i="52"/>
  <c r="J11" i="52"/>
  <c r="K11" i="52" s="1"/>
  <c r="C11" i="52"/>
  <c r="C20" i="52" s="1"/>
  <c r="C35" i="52" s="1"/>
  <c r="G7" i="52"/>
  <c r="F7" i="52"/>
  <c r="E7" i="52"/>
  <c r="D7" i="52"/>
  <c r="C5" i="52"/>
  <c r="C7" i="52" s="1"/>
  <c r="C3" i="52"/>
  <c r="J35" i="53" l="1"/>
  <c r="K20" i="53"/>
  <c r="K35" i="53" s="1"/>
  <c r="K64" i="53"/>
  <c r="L35" i="53"/>
  <c r="I69" i="52"/>
  <c r="H69" i="52"/>
  <c r="L11" i="52"/>
  <c r="J3" i="52"/>
  <c r="J30" i="52"/>
  <c r="L30" i="52" s="1"/>
  <c r="J19" i="52"/>
  <c r="L19" i="52" s="1"/>
  <c r="G35" i="52"/>
  <c r="H27" i="52"/>
  <c r="J25" i="52"/>
  <c r="L25" i="52" s="1"/>
  <c r="E35" i="52"/>
  <c r="J15" i="52"/>
  <c r="L15" i="52" s="1"/>
  <c r="J14" i="52"/>
  <c r="L14" i="52" s="1"/>
  <c r="J13" i="52"/>
  <c r="L13" i="52" s="1"/>
  <c r="J12" i="52"/>
  <c r="L12" i="52" s="1"/>
  <c r="J10" i="52"/>
  <c r="L10" i="52" s="1"/>
  <c r="J62" i="52"/>
  <c r="L62" i="52" s="1"/>
  <c r="J52" i="52"/>
  <c r="L52" i="52" s="1"/>
  <c r="J61" i="52"/>
  <c r="L61" i="52" s="1"/>
  <c r="J51" i="52"/>
  <c r="L51" i="52" s="1"/>
  <c r="J49" i="52"/>
  <c r="L49" i="52" s="1"/>
  <c r="J40" i="52"/>
  <c r="L40" i="52" s="1"/>
  <c r="J73" i="52"/>
  <c r="K72" i="52"/>
  <c r="K73" i="52" s="1"/>
  <c r="H73" i="52"/>
  <c r="J67" i="52"/>
  <c r="K51" i="52"/>
  <c r="H64" i="52"/>
  <c r="J63" i="52"/>
  <c r="L63" i="52" s="1"/>
  <c r="J38" i="52"/>
  <c r="I64" i="52"/>
  <c r="L39" i="52"/>
  <c r="J45" i="52"/>
  <c r="J39" i="52"/>
  <c r="K39" i="52" s="1"/>
  <c r="J58" i="52"/>
  <c r="J46" i="52"/>
  <c r="K46" i="52" s="1"/>
  <c r="J59" i="52"/>
  <c r="L59" i="52" s="1"/>
  <c r="J41" i="52"/>
  <c r="J53" i="52"/>
  <c r="L53" i="52" s="1"/>
  <c r="J60" i="52"/>
  <c r="L60" i="52" s="1"/>
  <c r="K24" i="52"/>
  <c r="I27" i="52"/>
  <c r="J17" i="52"/>
  <c r="L17" i="52" s="1"/>
  <c r="H20" i="52"/>
  <c r="J18" i="52"/>
  <c r="L18" i="52" s="1"/>
  <c r="I7" i="52"/>
  <c r="D35" i="52"/>
  <c r="F35" i="52"/>
  <c r="J5" i="52"/>
  <c r="K25" i="52"/>
  <c r="K42" i="52"/>
  <c r="K54" i="52"/>
  <c r="K55" i="52"/>
  <c r="K50" i="52"/>
  <c r="K15" i="52"/>
  <c r="K43" i="52"/>
  <c r="I20" i="52"/>
  <c r="K23" i="52"/>
  <c r="L23" i="52"/>
  <c r="J16" i="52"/>
  <c r="L16" i="52" s="1"/>
  <c r="K52" i="52"/>
  <c r="L31" i="52"/>
  <c r="K31" i="52"/>
  <c r="K47" i="52"/>
  <c r="K41" i="52"/>
  <c r="K53" i="52"/>
  <c r="K60" i="52"/>
  <c r="K26" i="52"/>
  <c r="K57" i="52"/>
  <c r="K48" i="52"/>
  <c r="J4" i="52"/>
  <c r="L4" i="52" s="1"/>
  <c r="H7" i="52"/>
  <c r="C64" i="52"/>
  <c r="K68" i="52"/>
  <c r="L73" i="52"/>
  <c r="H32" i="52"/>
  <c r="K6" i="52"/>
  <c r="K38" i="52"/>
  <c r="K44" i="52"/>
  <c r="K56" i="52"/>
  <c r="C45" i="51"/>
  <c r="K5" i="52" l="1"/>
  <c r="L5" i="52"/>
  <c r="K3" i="52"/>
  <c r="L3" i="52"/>
  <c r="J69" i="52"/>
  <c r="L67" i="52"/>
  <c r="L69" i="52" s="1"/>
  <c r="J32" i="52"/>
  <c r="K30" i="52"/>
  <c r="K32" i="52" s="1"/>
  <c r="K19" i="52"/>
  <c r="J27" i="52"/>
  <c r="K14" i="52"/>
  <c r="K13" i="52"/>
  <c r="K12" i="52"/>
  <c r="J20" i="52"/>
  <c r="K10" i="52"/>
  <c r="K63" i="52"/>
  <c r="K59" i="52"/>
  <c r="K62" i="52"/>
  <c r="K45" i="52"/>
  <c r="L45" i="52"/>
  <c r="K61" i="52"/>
  <c r="K49" i="52"/>
  <c r="K40" i="52"/>
  <c r="K58" i="52"/>
  <c r="J64" i="52"/>
  <c r="L27" i="52"/>
  <c r="K17" i="52"/>
  <c r="J7" i="52"/>
  <c r="K67" i="52"/>
  <c r="K69" i="52" s="1"/>
  <c r="L38" i="52"/>
  <c r="I35" i="52"/>
  <c r="H35" i="52"/>
  <c r="K18" i="52"/>
  <c r="K27" i="52"/>
  <c r="K4" i="52"/>
  <c r="L32" i="52"/>
  <c r="K16" i="52"/>
  <c r="L20" i="52"/>
  <c r="E17" i="51"/>
  <c r="D17" i="51"/>
  <c r="E16" i="51"/>
  <c r="D16" i="51"/>
  <c r="E15" i="51"/>
  <c r="D15" i="51"/>
  <c r="L7" i="52" l="1"/>
  <c r="K7" i="52"/>
  <c r="J35" i="52"/>
  <c r="K64" i="52"/>
  <c r="L64" i="52"/>
  <c r="K20" i="52"/>
  <c r="L35" i="52"/>
  <c r="L58" i="51"/>
  <c r="L57" i="51"/>
  <c r="L56" i="51"/>
  <c r="L55" i="51"/>
  <c r="L54" i="51"/>
  <c r="L50" i="51"/>
  <c r="L46" i="51"/>
  <c r="L42" i="51"/>
  <c r="L41" i="51"/>
  <c r="L39" i="51"/>
  <c r="I72" i="51"/>
  <c r="J72" i="51" s="1"/>
  <c r="L72" i="51" s="1"/>
  <c r="H72" i="51"/>
  <c r="I68" i="51"/>
  <c r="H68" i="51"/>
  <c r="I67" i="51"/>
  <c r="H67" i="51"/>
  <c r="I63" i="51"/>
  <c r="J63" i="51" s="1"/>
  <c r="L63" i="51" s="1"/>
  <c r="H63" i="51"/>
  <c r="I62" i="51"/>
  <c r="H62" i="51"/>
  <c r="I61" i="51"/>
  <c r="H61" i="51"/>
  <c r="I60" i="51"/>
  <c r="H60" i="51"/>
  <c r="J60" i="51" s="1"/>
  <c r="I59" i="51"/>
  <c r="H59" i="51"/>
  <c r="I58" i="51"/>
  <c r="H58" i="51"/>
  <c r="J58" i="51" s="1"/>
  <c r="I57" i="51"/>
  <c r="H57" i="51"/>
  <c r="J57" i="51" s="1"/>
  <c r="I56" i="51"/>
  <c r="H56" i="51"/>
  <c r="I55" i="51"/>
  <c r="J55" i="51" s="1"/>
  <c r="H55" i="51"/>
  <c r="I54" i="51"/>
  <c r="H54" i="51"/>
  <c r="I53" i="51"/>
  <c r="H53" i="51"/>
  <c r="I52" i="51"/>
  <c r="H52" i="51"/>
  <c r="I51" i="51"/>
  <c r="H51" i="51"/>
  <c r="I50" i="51"/>
  <c r="H50" i="51"/>
  <c r="I49" i="51"/>
  <c r="H49" i="51"/>
  <c r="I48" i="51"/>
  <c r="H48" i="51"/>
  <c r="I47" i="51"/>
  <c r="J47" i="51" s="1"/>
  <c r="L47" i="51" s="1"/>
  <c r="H47" i="51"/>
  <c r="I46" i="51"/>
  <c r="H46" i="51"/>
  <c r="I45" i="51"/>
  <c r="H45" i="51"/>
  <c r="I44" i="51"/>
  <c r="H44" i="51"/>
  <c r="I43" i="51"/>
  <c r="H43" i="51"/>
  <c r="I42" i="51"/>
  <c r="H42" i="51"/>
  <c r="I41" i="51"/>
  <c r="H41" i="51"/>
  <c r="I40" i="51"/>
  <c r="H40" i="51"/>
  <c r="I39" i="51"/>
  <c r="J39" i="51" s="1"/>
  <c r="H39" i="51"/>
  <c r="I38" i="51"/>
  <c r="H38" i="51"/>
  <c r="I30" i="51"/>
  <c r="I32" i="51" s="1"/>
  <c r="H30" i="51"/>
  <c r="I26" i="51"/>
  <c r="J26" i="51" s="1"/>
  <c r="L26" i="51" s="1"/>
  <c r="H26" i="51"/>
  <c r="I25" i="51"/>
  <c r="H25" i="51"/>
  <c r="I24" i="51"/>
  <c r="J24" i="51" s="1"/>
  <c r="L24" i="51" s="1"/>
  <c r="H24" i="51"/>
  <c r="I19" i="51"/>
  <c r="H19" i="51"/>
  <c r="I18" i="51"/>
  <c r="H18" i="5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J11" i="51" s="1"/>
  <c r="L11" i="51" s="1"/>
  <c r="H11" i="51"/>
  <c r="I10" i="51"/>
  <c r="H10" i="51"/>
  <c r="I6" i="51"/>
  <c r="H6" i="51"/>
  <c r="J6" i="51" s="1"/>
  <c r="L6" i="51" s="1"/>
  <c r="I5" i="51"/>
  <c r="H5" i="51"/>
  <c r="I4" i="51"/>
  <c r="H4" i="51"/>
  <c r="J4" i="51" s="1"/>
  <c r="L4" i="51" s="1"/>
  <c r="I3" i="51"/>
  <c r="H3" i="51"/>
  <c r="G73" i="51"/>
  <c r="F73" i="51"/>
  <c r="E73" i="51"/>
  <c r="D73" i="51"/>
  <c r="C73" i="51"/>
  <c r="G69" i="51"/>
  <c r="F69" i="51"/>
  <c r="E69" i="51"/>
  <c r="D69" i="51"/>
  <c r="C69" i="51"/>
  <c r="E64" i="51"/>
  <c r="D64" i="51"/>
  <c r="C62" i="51"/>
  <c r="J54" i="51"/>
  <c r="C51" i="51"/>
  <c r="C49" i="51"/>
  <c r="J46" i="51"/>
  <c r="K46" i="51" s="1"/>
  <c r="C46" i="51"/>
  <c r="J43" i="51"/>
  <c r="L43" i="51" s="1"/>
  <c r="J42" i="51"/>
  <c r="J41" i="51"/>
  <c r="C40" i="51"/>
  <c r="C39" i="51"/>
  <c r="C38" i="51"/>
  <c r="G32" i="51"/>
  <c r="F32" i="51"/>
  <c r="E32" i="51"/>
  <c r="D32" i="51"/>
  <c r="C32" i="51"/>
  <c r="J31" i="51"/>
  <c r="K31" i="51" s="1"/>
  <c r="I31" i="51"/>
  <c r="H31" i="51"/>
  <c r="C30" i="51"/>
  <c r="G27" i="51"/>
  <c r="F27" i="51"/>
  <c r="E27" i="51"/>
  <c r="C27" i="51"/>
  <c r="D27" i="51"/>
  <c r="I23" i="51"/>
  <c r="H23" i="51"/>
  <c r="J23" i="51" s="1"/>
  <c r="G20" i="51"/>
  <c r="E20" i="51"/>
  <c r="F20" i="51"/>
  <c r="C16" i="51"/>
  <c r="D20" i="51"/>
  <c r="C11" i="51"/>
  <c r="C20" i="51" s="1"/>
  <c r="C35" i="51" s="1"/>
  <c r="G7" i="51"/>
  <c r="F7" i="51"/>
  <c r="E7" i="51"/>
  <c r="D7" i="51"/>
  <c r="C7" i="51"/>
  <c r="C5" i="51"/>
  <c r="C3" i="51"/>
  <c r="K35" i="52" l="1"/>
  <c r="K60" i="51"/>
  <c r="L60" i="51"/>
  <c r="J68" i="51"/>
  <c r="L68" i="51" s="1"/>
  <c r="H69" i="51"/>
  <c r="J30" i="51"/>
  <c r="L30" i="51" s="1"/>
  <c r="H27" i="51"/>
  <c r="E35" i="51"/>
  <c r="J18" i="51"/>
  <c r="L18" i="51" s="1"/>
  <c r="J14" i="51"/>
  <c r="L14" i="51" s="1"/>
  <c r="J13" i="51"/>
  <c r="L13" i="51" s="1"/>
  <c r="J12" i="51"/>
  <c r="L12" i="51" s="1"/>
  <c r="J59" i="51"/>
  <c r="L59" i="51" s="1"/>
  <c r="J62" i="51"/>
  <c r="L62" i="51" s="1"/>
  <c r="J52" i="51"/>
  <c r="L52" i="51" s="1"/>
  <c r="J53" i="51"/>
  <c r="L53" i="51" s="1"/>
  <c r="J61" i="51"/>
  <c r="L61" i="51" s="1"/>
  <c r="J51" i="51"/>
  <c r="L51" i="51" s="1"/>
  <c r="J17" i="51"/>
  <c r="L17" i="51" s="1"/>
  <c r="J16" i="51"/>
  <c r="L16" i="51" s="1"/>
  <c r="I73" i="51"/>
  <c r="J3" i="51"/>
  <c r="L3" i="51" s="1"/>
  <c r="H73" i="51"/>
  <c r="J67" i="51"/>
  <c r="K63" i="51"/>
  <c r="J48" i="51"/>
  <c r="J56" i="51"/>
  <c r="J50" i="51"/>
  <c r="J49" i="51"/>
  <c r="J44" i="51"/>
  <c r="L44" i="51" s="1"/>
  <c r="I64" i="51"/>
  <c r="J45" i="51"/>
  <c r="L45" i="51" s="1"/>
  <c r="J40" i="51"/>
  <c r="G35" i="51"/>
  <c r="I27" i="51"/>
  <c r="J15" i="51"/>
  <c r="L15" i="51" s="1"/>
  <c r="J19" i="51"/>
  <c r="L19" i="51" s="1"/>
  <c r="J5" i="51"/>
  <c r="I7" i="51"/>
  <c r="F35" i="51"/>
  <c r="K24" i="51"/>
  <c r="K56" i="51"/>
  <c r="J38" i="51"/>
  <c r="L38" i="51" s="1"/>
  <c r="H64" i="51"/>
  <c r="K57" i="51"/>
  <c r="J73" i="51"/>
  <c r="L73" i="51"/>
  <c r="K72" i="51"/>
  <c r="K73" i="51" s="1"/>
  <c r="J10" i="51"/>
  <c r="L10" i="51" s="1"/>
  <c r="I20" i="51"/>
  <c r="K42" i="51"/>
  <c r="K26" i="51"/>
  <c r="K58" i="51"/>
  <c r="K41" i="51"/>
  <c r="K4" i="51"/>
  <c r="K6" i="51"/>
  <c r="K39" i="51"/>
  <c r="D35" i="51"/>
  <c r="L23" i="51"/>
  <c r="K23" i="51"/>
  <c r="K47" i="51"/>
  <c r="K54" i="51"/>
  <c r="J25" i="51"/>
  <c r="L25" i="51" s="1"/>
  <c r="C64" i="51"/>
  <c r="K51" i="51"/>
  <c r="H20" i="51"/>
  <c r="H7" i="51"/>
  <c r="K11" i="51"/>
  <c r="H32" i="51"/>
  <c r="F64" i="51"/>
  <c r="G64" i="51"/>
  <c r="K43" i="51"/>
  <c r="K55" i="51"/>
  <c r="L31" i="51"/>
  <c r="I69" i="51"/>
  <c r="C38" i="50"/>
  <c r="J7" i="51" l="1"/>
  <c r="L5" i="51"/>
  <c r="L7" i="51" s="1"/>
  <c r="K44" i="51"/>
  <c r="K48" i="51"/>
  <c r="L48" i="51"/>
  <c r="K68" i="51"/>
  <c r="K67" i="51"/>
  <c r="L67" i="51"/>
  <c r="L69" i="51" s="1"/>
  <c r="K30" i="51"/>
  <c r="K32" i="51" s="1"/>
  <c r="J32" i="51"/>
  <c r="K18" i="51"/>
  <c r="K14" i="51"/>
  <c r="K13" i="51"/>
  <c r="K12" i="51"/>
  <c r="K59" i="51"/>
  <c r="K62" i="51"/>
  <c r="K52" i="51"/>
  <c r="K53" i="51"/>
  <c r="K61" i="51"/>
  <c r="K49" i="51"/>
  <c r="L49" i="51"/>
  <c r="K40" i="51"/>
  <c r="L40" i="51"/>
  <c r="K17" i="51"/>
  <c r="K16" i="51"/>
  <c r="K3" i="51"/>
  <c r="J69" i="51"/>
  <c r="K50" i="51"/>
  <c r="K45" i="51"/>
  <c r="J64" i="51"/>
  <c r="K19" i="51"/>
  <c r="K15" i="51"/>
  <c r="K5" i="51"/>
  <c r="K7" i="51" s="1"/>
  <c r="I35" i="51"/>
  <c r="L27" i="51"/>
  <c r="K25" i="51"/>
  <c r="K27" i="51" s="1"/>
  <c r="K10" i="51"/>
  <c r="J20" i="51"/>
  <c r="L20" i="51"/>
  <c r="K38" i="51"/>
  <c r="J27" i="51"/>
  <c r="L32" i="51"/>
  <c r="H35" i="51"/>
  <c r="E25" i="50"/>
  <c r="D25" i="50"/>
  <c r="E18" i="50"/>
  <c r="D18" i="50"/>
  <c r="E17" i="50"/>
  <c r="D17" i="50"/>
  <c r="E16" i="50"/>
  <c r="D16" i="50"/>
  <c r="E14" i="50"/>
  <c r="D14" i="50"/>
  <c r="E13" i="50"/>
  <c r="D13" i="50"/>
  <c r="G10" i="50"/>
  <c r="F10" i="50"/>
  <c r="G40" i="50"/>
  <c r="F40" i="50"/>
  <c r="K69" i="51" l="1"/>
  <c r="K64" i="51"/>
  <c r="L64" i="51"/>
  <c r="K20" i="51"/>
  <c r="K35" i="51" s="1"/>
  <c r="L35" i="51"/>
  <c r="J35" i="51"/>
  <c r="G38" i="50"/>
  <c r="F38" i="50"/>
  <c r="G18" i="50"/>
  <c r="F18" i="50"/>
  <c r="K3" i="50"/>
  <c r="G3" i="50"/>
  <c r="F3" i="50"/>
  <c r="E3" i="50"/>
  <c r="D3" i="50"/>
  <c r="L58" i="50" l="1"/>
  <c r="L57" i="50"/>
  <c r="L56" i="50"/>
  <c r="L55" i="50"/>
  <c r="L54" i="50"/>
  <c r="L50" i="50"/>
  <c r="L46" i="50"/>
  <c r="L39" i="50"/>
  <c r="I72" i="50"/>
  <c r="I73" i="50" s="1"/>
  <c r="H72" i="50"/>
  <c r="H73" i="50" s="1"/>
  <c r="I68" i="50"/>
  <c r="H68" i="50"/>
  <c r="I67" i="50"/>
  <c r="H67" i="50"/>
  <c r="I63" i="50"/>
  <c r="J63" i="50" s="1"/>
  <c r="L63" i="50" s="1"/>
  <c r="H63" i="50"/>
  <c r="I62" i="50"/>
  <c r="H62" i="50"/>
  <c r="I61" i="50"/>
  <c r="H61" i="50"/>
  <c r="I60" i="50"/>
  <c r="H60" i="50"/>
  <c r="J60" i="50" s="1"/>
  <c r="L60" i="50" s="1"/>
  <c r="I59" i="50"/>
  <c r="H59" i="50"/>
  <c r="I58" i="50"/>
  <c r="H58" i="50"/>
  <c r="J58" i="50" s="1"/>
  <c r="I57" i="50"/>
  <c r="H57" i="50"/>
  <c r="J57" i="50" s="1"/>
  <c r="I56" i="50"/>
  <c r="H56" i="50"/>
  <c r="I55" i="50"/>
  <c r="H55" i="50"/>
  <c r="I54" i="50"/>
  <c r="J54" i="50" s="1"/>
  <c r="H54" i="50"/>
  <c r="I53" i="50"/>
  <c r="H53" i="50"/>
  <c r="I52" i="50"/>
  <c r="H52" i="50"/>
  <c r="I51" i="50"/>
  <c r="H51" i="50"/>
  <c r="I50" i="50"/>
  <c r="H50" i="50"/>
  <c r="I49" i="50"/>
  <c r="H49" i="50"/>
  <c r="I48" i="50"/>
  <c r="H48" i="50"/>
  <c r="J48" i="50" s="1"/>
  <c r="L48" i="50" s="1"/>
  <c r="I47" i="50"/>
  <c r="H47" i="50"/>
  <c r="I46" i="50"/>
  <c r="J46" i="50" s="1"/>
  <c r="H46" i="50"/>
  <c r="I45" i="50"/>
  <c r="H45" i="50"/>
  <c r="I44" i="50"/>
  <c r="H44" i="50"/>
  <c r="I43" i="50"/>
  <c r="H43" i="50"/>
  <c r="I42" i="50"/>
  <c r="H42" i="50"/>
  <c r="J42" i="50" s="1"/>
  <c r="L42" i="50" s="1"/>
  <c r="I41" i="50"/>
  <c r="H41" i="50"/>
  <c r="I40" i="50"/>
  <c r="H40" i="50"/>
  <c r="I39" i="50"/>
  <c r="J39" i="50" s="1"/>
  <c r="H39" i="50"/>
  <c r="I38" i="50"/>
  <c r="H38" i="50"/>
  <c r="I30" i="50"/>
  <c r="I32" i="50" s="1"/>
  <c r="H30" i="50"/>
  <c r="I26" i="50"/>
  <c r="H26" i="50"/>
  <c r="I25" i="50"/>
  <c r="H25" i="50"/>
  <c r="I24" i="50"/>
  <c r="H24" i="50"/>
  <c r="I19" i="50"/>
  <c r="H19" i="50"/>
  <c r="I18" i="50"/>
  <c r="H18" i="50"/>
  <c r="I17" i="50"/>
  <c r="H17" i="50"/>
  <c r="I16" i="50"/>
  <c r="H16" i="50"/>
  <c r="I15" i="50"/>
  <c r="H15" i="50"/>
  <c r="I14" i="50"/>
  <c r="H14" i="50"/>
  <c r="I13" i="50"/>
  <c r="H13" i="50"/>
  <c r="I12" i="50"/>
  <c r="H12" i="50"/>
  <c r="I11" i="50"/>
  <c r="H11" i="50"/>
  <c r="I10" i="50"/>
  <c r="H10" i="50"/>
  <c r="I6" i="50"/>
  <c r="H6" i="50"/>
  <c r="I5" i="50"/>
  <c r="H5" i="50"/>
  <c r="J5" i="50" s="1"/>
  <c r="L5" i="50" s="1"/>
  <c r="I4" i="50"/>
  <c r="H4" i="50"/>
  <c r="I3" i="50"/>
  <c r="H3" i="50"/>
  <c r="G73" i="50"/>
  <c r="F73" i="50"/>
  <c r="E73" i="50"/>
  <c r="D73" i="50"/>
  <c r="C73" i="50"/>
  <c r="G69" i="50"/>
  <c r="F69" i="50"/>
  <c r="E69" i="50"/>
  <c r="D69" i="50"/>
  <c r="C69" i="50"/>
  <c r="E64" i="50"/>
  <c r="D64" i="50"/>
  <c r="C62" i="50"/>
  <c r="J61" i="50"/>
  <c r="L61" i="50" s="1"/>
  <c r="J56" i="50"/>
  <c r="K56" i="50" s="1"/>
  <c r="C51" i="50"/>
  <c r="J50" i="50"/>
  <c r="G64" i="50"/>
  <c r="F64" i="50"/>
  <c r="C49" i="50"/>
  <c r="C46" i="50"/>
  <c r="C45" i="50"/>
  <c r="C40" i="50"/>
  <c r="C64" i="50" s="1"/>
  <c r="C39" i="50"/>
  <c r="G32" i="50"/>
  <c r="F32" i="50"/>
  <c r="E32" i="50"/>
  <c r="D32" i="50"/>
  <c r="C32" i="50"/>
  <c r="I31" i="50"/>
  <c r="H31" i="50"/>
  <c r="J31" i="50" s="1"/>
  <c r="C30" i="50"/>
  <c r="G27" i="50"/>
  <c r="F27" i="50"/>
  <c r="E27" i="50"/>
  <c r="D27" i="50"/>
  <c r="C27" i="50"/>
  <c r="I23" i="50"/>
  <c r="H23" i="50"/>
  <c r="J23" i="50" s="1"/>
  <c r="G20" i="50"/>
  <c r="F20" i="50"/>
  <c r="E20" i="50"/>
  <c r="D20" i="50"/>
  <c r="C16" i="50"/>
  <c r="C11" i="50"/>
  <c r="C20" i="50" s="1"/>
  <c r="G7" i="50"/>
  <c r="F7" i="50"/>
  <c r="E7" i="50"/>
  <c r="D7" i="50"/>
  <c r="C5" i="50"/>
  <c r="C3" i="50"/>
  <c r="J11" i="50" l="1"/>
  <c r="L11" i="50" s="1"/>
  <c r="J24" i="50"/>
  <c r="L24" i="50" s="1"/>
  <c r="J26" i="50"/>
  <c r="L26" i="50" s="1"/>
  <c r="J68" i="50"/>
  <c r="L68" i="50" s="1"/>
  <c r="J67" i="50"/>
  <c r="L67" i="50" s="1"/>
  <c r="J19" i="50"/>
  <c r="L19" i="50" s="1"/>
  <c r="I27" i="50"/>
  <c r="J15" i="50"/>
  <c r="L15" i="50" s="1"/>
  <c r="J47" i="50"/>
  <c r="L47" i="50" s="1"/>
  <c r="J43" i="50"/>
  <c r="L43" i="50" s="1"/>
  <c r="J59" i="50"/>
  <c r="L59" i="50" s="1"/>
  <c r="J62" i="50"/>
  <c r="L62" i="50" s="1"/>
  <c r="J53" i="50"/>
  <c r="L53" i="50" s="1"/>
  <c r="J52" i="50"/>
  <c r="L52" i="50" s="1"/>
  <c r="J51" i="50"/>
  <c r="L51" i="50" s="1"/>
  <c r="J40" i="50"/>
  <c r="L40" i="50" s="1"/>
  <c r="J41" i="50"/>
  <c r="L41" i="50" s="1"/>
  <c r="H27" i="50"/>
  <c r="J18" i="50"/>
  <c r="L18" i="50" s="1"/>
  <c r="J17" i="50"/>
  <c r="L17" i="50" s="1"/>
  <c r="J16" i="50"/>
  <c r="L16" i="50" s="1"/>
  <c r="J13" i="50"/>
  <c r="L13" i="50" s="1"/>
  <c r="H20" i="50"/>
  <c r="I69" i="50"/>
  <c r="J30" i="50"/>
  <c r="H7" i="50"/>
  <c r="J3" i="50"/>
  <c r="J72" i="50"/>
  <c r="L72" i="50" s="1"/>
  <c r="K57" i="50"/>
  <c r="J55" i="50"/>
  <c r="J44" i="50"/>
  <c r="L44" i="50" s="1"/>
  <c r="J45" i="50"/>
  <c r="L45" i="50" s="1"/>
  <c r="G35" i="50"/>
  <c r="J25" i="50"/>
  <c r="L25" i="50" s="1"/>
  <c r="J14" i="50"/>
  <c r="J10" i="50"/>
  <c r="L10" i="50" s="1"/>
  <c r="J12" i="50"/>
  <c r="J6" i="50"/>
  <c r="L6" i="50" s="1"/>
  <c r="E35" i="50"/>
  <c r="J4" i="50"/>
  <c r="F35" i="50"/>
  <c r="D35" i="50"/>
  <c r="K46" i="50"/>
  <c r="K39" i="50"/>
  <c r="K58" i="50"/>
  <c r="K41" i="50"/>
  <c r="K48" i="50"/>
  <c r="K42" i="50"/>
  <c r="K54" i="50"/>
  <c r="K67" i="50"/>
  <c r="C35" i="50"/>
  <c r="K63" i="50"/>
  <c r="K50" i="50"/>
  <c r="L23" i="50"/>
  <c r="K23" i="50"/>
  <c r="K60" i="50"/>
  <c r="K61" i="50"/>
  <c r="L31" i="50"/>
  <c r="K31" i="50"/>
  <c r="I64" i="50"/>
  <c r="K45" i="50"/>
  <c r="I20" i="50"/>
  <c r="J38" i="50"/>
  <c r="L38" i="50" s="1"/>
  <c r="J49" i="50"/>
  <c r="L49" i="50" s="1"/>
  <c r="C7" i="50"/>
  <c r="I7" i="50"/>
  <c r="H32" i="50"/>
  <c r="K5" i="50"/>
  <c r="K47" i="50"/>
  <c r="H69" i="50"/>
  <c r="C3" i="49"/>
  <c r="K4" i="50" l="1"/>
  <c r="L4" i="50"/>
  <c r="K6" i="50"/>
  <c r="K11" i="50"/>
  <c r="K24" i="50"/>
  <c r="K26" i="50"/>
  <c r="K68" i="50"/>
  <c r="J69" i="50"/>
  <c r="L69" i="50"/>
  <c r="K69" i="50"/>
  <c r="J32" i="50"/>
  <c r="L30" i="50"/>
  <c r="K19" i="50"/>
  <c r="J27" i="50"/>
  <c r="K15" i="50"/>
  <c r="K13" i="50"/>
  <c r="K12" i="50"/>
  <c r="L12" i="50"/>
  <c r="K43" i="50"/>
  <c r="K59" i="50"/>
  <c r="K62" i="50"/>
  <c r="K53" i="50"/>
  <c r="K52" i="50"/>
  <c r="K51" i="50"/>
  <c r="K40" i="50"/>
  <c r="K25" i="50"/>
  <c r="K18" i="50"/>
  <c r="K17" i="50"/>
  <c r="K16" i="50"/>
  <c r="K14" i="50"/>
  <c r="L14" i="50"/>
  <c r="K7" i="50"/>
  <c r="L3" i="50"/>
  <c r="K44" i="50"/>
  <c r="K55" i="50"/>
  <c r="K30" i="50"/>
  <c r="K32" i="50" s="1"/>
  <c r="H35" i="50"/>
  <c r="J7" i="50"/>
  <c r="J73" i="50"/>
  <c r="L73" i="50"/>
  <c r="K72" i="50"/>
  <c r="K73" i="50" s="1"/>
  <c r="K49" i="50"/>
  <c r="H64" i="50"/>
  <c r="L32" i="50"/>
  <c r="K10" i="50"/>
  <c r="J20" i="50"/>
  <c r="K38" i="50"/>
  <c r="L64" i="50"/>
  <c r="J64" i="50"/>
  <c r="L27" i="50"/>
  <c r="I35" i="50"/>
  <c r="C30" i="49"/>
  <c r="C11" i="49"/>
  <c r="K27" i="50" l="1"/>
  <c r="K20" i="50"/>
  <c r="L20" i="50"/>
  <c r="L7" i="50"/>
  <c r="J35" i="50"/>
  <c r="K64" i="50"/>
  <c r="G49" i="49"/>
  <c r="F49" i="49"/>
  <c r="K35" i="50" l="1"/>
  <c r="L35" i="50"/>
  <c r="L58" i="49"/>
  <c r="L57" i="49"/>
  <c r="L56" i="49"/>
  <c r="L55" i="49"/>
  <c r="L54" i="49"/>
  <c r="L50" i="49"/>
  <c r="L46" i="49"/>
  <c r="L42" i="49"/>
  <c r="L41" i="49"/>
  <c r="L39" i="49"/>
  <c r="I72" i="49"/>
  <c r="I73" i="49" s="1"/>
  <c r="H72" i="49"/>
  <c r="H73" i="49" s="1"/>
  <c r="I68" i="49"/>
  <c r="J68" i="49" s="1"/>
  <c r="L68" i="49" s="1"/>
  <c r="H68" i="49"/>
  <c r="I67" i="49"/>
  <c r="H67" i="49"/>
  <c r="I63" i="49"/>
  <c r="H63" i="49"/>
  <c r="I62" i="49"/>
  <c r="H62" i="49"/>
  <c r="I61" i="49"/>
  <c r="H61" i="49"/>
  <c r="J61" i="49" s="1"/>
  <c r="L61" i="49" s="1"/>
  <c r="I60" i="49"/>
  <c r="H60" i="49"/>
  <c r="J60" i="49" s="1"/>
  <c r="L60" i="49" s="1"/>
  <c r="I59" i="49"/>
  <c r="H59" i="49"/>
  <c r="I58" i="49"/>
  <c r="H58" i="49"/>
  <c r="I57" i="49"/>
  <c r="H57" i="49"/>
  <c r="J57" i="49" s="1"/>
  <c r="I56" i="49"/>
  <c r="H56" i="49"/>
  <c r="I55" i="49"/>
  <c r="H55" i="49"/>
  <c r="I54" i="49"/>
  <c r="J54" i="49" s="1"/>
  <c r="H54" i="49"/>
  <c r="I53" i="49"/>
  <c r="H53" i="49"/>
  <c r="I52" i="49"/>
  <c r="H52" i="49"/>
  <c r="I51" i="49"/>
  <c r="H51" i="49"/>
  <c r="I50" i="49"/>
  <c r="H50" i="49"/>
  <c r="I49" i="49"/>
  <c r="H49" i="49"/>
  <c r="I48" i="49"/>
  <c r="H48" i="49"/>
  <c r="I47" i="49"/>
  <c r="H47" i="49"/>
  <c r="J47" i="49" s="1"/>
  <c r="L47" i="49" s="1"/>
  <c r="I46" i="49"/>
  <c r="H46" i="49"/>
  <c r="I45" i="49"/>
  <c r="H45" i="49"/>
  <c r="I44" i="49"/>
  <c r="H44" i="49"/>
  <c r="J44" i="49" s="1"/>
  <c r="L44" i="49" s="1"/>
  <c r="I43" i="49"/>
  <c r="H43" i="49"/>
  <c r="J43" i="49" s="1"/>
  <c r="L43" i="49" s="1"/>
  <c r="I42" i="49"/>
  <c r="H42" i="49"/>
  <c r="J42" i="49" s="1"/>
  <c r="K42" i="49" s="1"/>
  <c r="I41" i="49"/>
  <c r="H41" i="49"/>
  <c r="I40" i="49"/>
  <c r="H40" i="49"/>
  <c r="I39" i="49"/>
  <c r="H39" i="49"/>
  <c r="I38" i="49"/>
  <c r="H38" i="49"/>
  <c r="I30" i="49"/>
  <c r="H30" i="49"/>
  <c r="I26" i="49"/>
  <c r="J26" i="49" s="1"/>
  <c r="L26" i="49" s="1"/>
  <c r="H26" i="49"/>
  <c r="I25" i="49"/>
  <c r="H25" i="49"/>
  <c r="I24" i="49"/>
  <c r="H24" i="49"/>
  <c r="J24" i="49" s="1"/>
  <c r="L24" i="49" s="1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J10" i="49" s="1"/>
  <c r="L10" i="49" s="1"/>
  <c r="I6" i="49"/>
  <c r="H6" i="49"/>
  <c r="J6" i="49" s="1"/>
  <c r="L6" i="49" s="1"/>
  <c r="I5" i="49"/>
  <c r="H5" i="49"/>
  <c r="I4" i="49"/>
  <c r="H4" i="49"/>
  <c r="I3" i="49"/>
  <c r="H3" i="49"/>
  <c r="G73" i="49"/>
  <c r="F73" i="49"/>
  <c r="E73" i="49"/>
  <c r="D73" i="49"/>
  <c r="C73" i="49"/>
  <c r="G69" i="49"/>
  <c r="F69" i="49"/>
  <c r="D69" i="49"/>
  <c r="C69" i="49"/>
  <c r="E69" i="49"/>
  <c r="G64" i="49"/>
  <c r="F64" i="49"/>
  <c r="E64" i="49"/>
  <c r="D64" i="49"/>
  <c r="C64" i="49"/>
  <c r="C62" i="49"/>
  <c r="J55" i="49"/>
  <c r="C51" i="49"/>
  <c r="J50" i="49"/>
  <c r="C49" i="49"/>
  <c r="C46" i="49"/>
  <c r="C45" i="49"/>
  <c r="C40" i="49"/>
  <c r="J39" i="49"/>
  <c r="K39" i="49" s="1"/>
  <c r="C39" i="49"/>
  <c r="G32" i="49"/>
  <c r="F32" i="49"/>
  <c r="E32" i="49"/>
  <c r="D32" i="49"/>
  <c r="C32" i="49"/>
  <c r="I31" i="49"/>
  <c r="J31" i="49" s="1"/>
  <c r="H31" i="49"/>
  <c r="H32" i="49" s="1"/>
  <c r="G27" i="49"/>
  <c r="F27" i="49"/>
  <c r="E27" i="49"/>
  <c r="D27" i="49"/>
  <c r="H27" i="49" s="1"/>
  <c r="C27" i="49"/>
  <c r="I23" i="49"/>
  <c r="J23" i="49" s="1"/>
  <c r="H23" i="49"/>
  <c r="G20" i="49"/>
  <c r="F20" i="49"/>
  <c r="D20" i="49"/>
  <c r="C20" i="49"/>
  <c r="C16" i="49"/>
  <c r="G7" i="49"/>
  <c r="F7" i="49"/>
  <c r="E7" i="49"/>
  <c r="D7" i="49"/>
  <c r="C5" i="49"/>
  <c r="C7" i="49"/>
  <c r="C35" i="49" l="1"/>
  <c r="I69" i="49"/>
  <c r="J5" i="49"/>
  <c r="L5" i="49" s="1"/>
  <c r="J67" i="49"/>
  <c r="L67" i="49" s="1"/>
  <c r="J30" i="49"/>
  <c r="L30" i="49" s="1"/>
  <c r="J25" i="49"/>
  <c r="L25" i="49" s="1"/>
  <c r="J38" i="49"/>
  <c r="L38" i="49" s="1"/>
  <c r="J18" i="49"/>
  <c r="L18" i="49" s="1"/>
  <c r="J16" i="49"/>
  <c r="L16" i="49" s="1"/>
  <c r="J15" i="49"/>
  <c r="L15" i="49" s="1"/>
  <c r="J14" i="49"/>
  <c r="L14" i="49" s="1"/>
  <c r="J13" i="49"/>
  <c r="L13" i="49" s="1"/>
  <c r="F35" i="49"/>
  <c r="J12" i="49"/>
  <c r="L12" i="49" s="1"/>
  <c r="J48" i="49"/>
  <c r="K48" i="49" s="1"/>
  <c r="L48" i="49"/>
  <c r="J59" i="49"/>
  <c r="L59" i="49" s="1"/>
  <c r="J62" i="49"/>
  <c r="L62" i="49" s="1"/>
  <c r="J45" i="49"/>
  <c r="L45" i="49" s="1"/>
  <c r="H7" i="49"/>
  <c r="J3" i="49"/>
  <c r="J72" i="49"/>
  <c r="L72" i="49" s="1"/>
  <c r="K54" i="49"/>
  <c r="J58" i="49"/>
  <c r="K58" i="49" s="1"/>
  <c r="J56" i="49"/>
  <c r="J52" i="49"/>
  <c r="L52" i="49" s="1"/>
  <c r="J49" i="49"/>
  <c r="J63" i="49"/>
  <c r="L63" i="49" s="1"/>
  <c r="J41" i="49"/>
  <c r="J46" i="49"/>
  <c r="K46" i="49" s="1"/>
  <c r="J53" i="49"/>
  <c r="J40" i="49"/>
  <c r="L40" i="49" s="1"/>
  <c r="J51" i="49"/>
  <c r="I64" i="49"/>
  <c r="I27" i="49"/>
  <c r="D35" i="49"/>
  <c r="G35" i="49"/>
  <c r="J17" i="49"/>
  <c r="L17" i="49" s="1"/>
  <c r="J11" i="49"/>
  <c r="J19" i="49"/>
  <c r="L19" i="49" s="1"/>
  <c r="J4" i="49"/>
  <c r="K4" i="49"/>
  <c r="K44" i="49"/>
  <c r="K57" i="49"/>
  <c r="K50" i="49"/>
  <c r="K6" i="49"/>
  <c r="K52" i="49"/>
  <c r="K23" i="49"/>
  <c r="L23" i="49"/>
  <c r="L31" i="49"/>
  <c r="K31" i="49"/>
  <c r="K41" i="49"/>
  <c r="K60" i="49"/>
  <c r="K67" i="49"/>
  <c r="L69" i="49"/>
  <c r="K38" i="49"/>
  <c r="K15" i="49"/>
  <c r="K47" i="49"/>
  <c r="K10" i="49"/>
  <c r="K61" i="49"/>
  <c r="K24" i="49"/>
  <c r="K68" i="49"/>
  <c r="K45" i="49"/>
  <c r="I7" i="49"/>
  <c r="E20" i="49"/>
  <c r="E35" i="49" s="1"/>
  <c r="K5" i="49"/>
  <c r="K43" i="49"/>
  <c r="K55" i="49"/>
  <c r="H64" i="49"/>
  <c r="H20" i="49"/>
  <c r="I32" i="49"/>
  <c r="K59" i="49"/>
  <c r="I20" i="49"/>
  <c r="H69" i="49"/>
  <c r="K26" i="49"/>
  <c r="E67" i="48"/>
  <c r="D67" i="48"/>
  <c r="E18" i="48"/>
  <c r="D18" i="48"/>
  <c r="E17" i="48"/>
  <c r="D17" i="48"/>
  <c r="E16" i="48"/>
  <c r="D16" i="48"/>
  <c r="E13" i="48"/>
  <c r="D13" i="48"/>
  <c r="K11" i="49" l="1"/>
  <c r="L11" i="49"/>
  <c r="J69" i="49"/>
  <c r="J7" i="49"/>
  <c r="L4" i="49"/>
  <c r="K30" i="49"/>
  <c r="K32" i="49" s="1"/>
  <c r="J32" i="49"/>
  <c r="K19" i="49"/>
  <c r="J27" i="49"/>
  <c r="K25" i="49"/>
  <c r="K18" i="49"/>
  <c r="K16" i="49"/>
  <c r="K14" i="49"/>
  <c r="K13" i="49"/>
  <c r="K12" i="49"/>
  <c r="K51" i="49"/>
  <c r="L51" i="49"/>
  <c r="K63" i="49"/>
  <c r="K62" i="49"/>
  <c r="K53" i="49"/>
  <c r="L53" i="49"/>
  <c r="K40" i="49"/>
  <c r="H35" i="49"/>
  <c r="K3" i="49"/>
  <c r="K7" i="49" s="1"/>
  <c r="L3" i="49"/>
  <c r="L7" i="49" s="1"/>
  <c r="K49" i="49"/>
  <c r="L49" i="49"/>
  <c r="K69" i="49"/>
  <c r="J73" i="49"/>
  <c r="L73" i="49"/>
  <c r="K72" i="49"/>
  <c r="K73" i="49" s="1"/>
  <c r="K56" i="49"/>
  <c r="J64" i="49"/>
  <c r="I35" i="49"/>
  <c r="J20" i="49"/>
  <c r="L20" i="49"/>
  <c r="K17" i="49"/>
  <c r="K27" i="49"/>
  <c r="L27" i="49"/>
  <c r="L32" i="49"/>
  <c r="C3" i="48"/>
  <c r="C7" i="48" s="1"/>
  <c r="L59" i="48"/>
  <c r="L58" i="48"/>
  <c r="L57" i="48"/>
  <c r="L56" i="48"/>
  <c r="L55" i="48"/>
  <c r="L54" i="48"/>
  <c r="L50" i="48"/>
  <c r="L46" i="48"/>
  <c r="L42" i="48"/>
  <c r="L41" i="48"/>
  <c r="L39" i="48"/>
  <c r="I72" i="48"/>
  <c r="I73" i="48" s="1"/>
  <c r="H72" i="48"/>
  <c r="H73" i="48" s="1"/>
  <c r="I68" i="48"/>
  <c r="H68" i="48"/>
  <c r="I67" i="48"/>
  <c r="I69" i="48" s="1"/>
  <c r="H67" i="48"/>
  <c r="H69" i="48" s="1"/>
  <c r="I63" i="48"/>
  <c r="H63" i="48"/>
  <c r="I62" i="48"/>
  <c r="H62" i="48"/>
  <c r="I61" i="48"/>
  <c r="H61" i="48"/>
  <c r="J61" i="48" s="1"/>
  <c r="L61" i="48" s="1"/>
  <c r="I60" i="48"/>
  <c r="H60" i="48"/>
  <c r="I59" i="48"/>
  <c r="H59" i="48"/>
  <c r="J59" i="48" s="1"/>
  <c r="I58" i="48"/>
  <c r="H58" i="48"/>
  <c r="I57" i="48"/>
  <c r="H57" i="48"/>
  <c r="I56" i="48"/>
  <c r="H56" i="48"/>
  <c r="I55" i="48"/>
  <c r="H55" i="48"/>
  <c r="I54" i="48"/>
  <c r="H54" i="48"/>
  <c r="I53" i="48"/>
  <c r="H53" i="48"/>
  <c r="I52" i="48"/>
  <c r="H52" i="48"/>
  <c r="I51" i="48"/>
  <c r="H51" i="48"/>
  <c r="I50" i="48"/>
  <c r="H50" i="48"/>
  <c r="I49" i="48"/>
  <c r="H49" i="48"/>
  <c r="I48" i="48"/>
  <c r="H48" i="48"/>
  <c r="I47" i="48"/>
  <c r="H47" i="48"/>
  <c r="J47" i="48" s="1"/>
  <c r="L47" i="48" s="1"/>
  <c r="I46" i="48"/>
  <c r="H46" i="48"/>
  <c r="I45" i="48"/>
  <c r="H45" i="48"/>
  <c r="I44" i="48"/>
  <c r="H44" i="48"/>
  <c r="I43" i="48"/>
  <c r="H43" i="48"/>
  <c r="J43" i="48" s="1"/>
  <c r="L43" i="48" s="1"/>
  <c r="I42" i="48"/>
  <c r="H42" i="48"/>
  <c r="I41" i="48"/>
  <c r="H41" i="48"/>
  <c r="I40" i="48"/>
  <c r="H40" i="48"/>
  <c r="I39" i="48"/>
  <c r="H39" i="48"/>
  <c r="I38" i="48"/>
  <c r="H38" i="48"/>
  <c r="I30" i="48"/>
  <c r="I26" i="48"/>
  <c r="H26" i="48"/>
  <c r="J26" i="48" s="1"/>
  <c r="L26" i="48" s="1"/>
  <c r="I25" i="48"/>
  <c r="H25" i="48"/>
  <c r="I24" i="48"/>
  <c r="H24" i="48"/>
  <c r="I19" i="48"/>
  <c r="H19" i="48"/>
  <c r="I18" i="48"/>
  <c r="H18" i="48"/>
  <c r="I17" i="48"/>
  <c r="H17" i="48"/>
  <c r="I16" i="48"/>
  <c r="H16" i="48"/>
  <c r="I15" i="48"/>
  <c r="H15" i="48"/>
  <c r="I14" i="48"/>
  <c r="H14" i="48"/>
  <c r="I13" i="48"/>
  <c r="H13" i="48"/>
  <c r="I12" i="48"/>
  <c r="H12" i="48"/>
  <c r="I11" i="48"/>
  <c r="H11" i="48"/>
  <c r="J11" i="48" s="1"/>
  <c r="L11" i="48" s="1"/>
  <c r="I10" i="48"/>
  <c r="H10" i="48"/>
  <c r="I6" i="48"/>
  <c r="H6" i="48"/>
  <c r="J6" i="48" s="1"/>
  <c r="L6" i="48" s="1"/>
  <c r="I5" i="48"/>
  <c r="H5" i="48"/>
  <c r="I4" i="48"/>
  <c r="H4" i="48"/>
  <c r="I3" i="48"/>
  <c r="H3" i="48"/>
  <c r="G73" i="48"/>
  <c r="F73" i="48"/>
  <c r="E73" i="48"/>
  <c r="D73" i="48"/>
  <c r="C73" i="48"/>
  <c r="G69" i="48"/>
  <c r="F69" i="48"/>
  <c r="E69" i="48"/>
  <c r="D69" i="48"/>
  <c r="C69" i="48"/>
  <c r="G64" i="48"/>
  <c r="F64" i="48"/>
  <c r="E64" i="48"/>
  <c r="D64" i="48"/>
  <c r="C64" i="48"/>
  <c r="C62" i="48"/>
  <c r="J58" i="48"/>
  <c r="J57" i="48"/>
  <c r="J55" i="48"/>
  <c r="J54" i="48"/>
  <c r="C51" i="48"/>
  <c r="J50" i="48"/>
  <c r="C49" i="48"/>
  <c r="J46" i="48"/>
  <c r="C46" i="48"/>
  <c r="C45" i="48"/>
  <c r="J42" i="48"/>
  <c r="J41" i="48"/>
  <c r="C40" i="48"/>
  <c r="J39" i="48"/>
  <c r="C39" i="48"/>
  <c r="G32" i="48"/>
  <c r="F32" i="48"/>
  <c r="E32" i="48"/>
  <c r="D32" i="48"/>
  <c r="C32" i="48"/>
  <c r="I31" i="48"/>
  <c r="H31" i="48"/>
  <c r="G27" i="48"/>
  <c r="F27" i="48"/>
  <c r="E27" i="48"/>
  <c r="D27" i="48"/>
  <c r="C27" i="48"/>
  <c r="I23" i="48"/>
  <c r="H23" i="48"/>
  <c r="J23" i="48" s="1"/>
  <c r="G20" i="48"/>
  <c r="F20" i="48"/>
  <c r="E20" i="48"/>
  <c r="D20" i="48"/>
  <c r="C20" i="48"/>
  <c r="C16" i="48"/>
  <c r="C11" i="48"/>
  <c r="G7" i="48"/>
  <c r="F7" i="48"/>
  <c r="E7" i="48"/>
  <c r="D7" i="48"/>
  <c r="C5" i="48"/>
  <c r="J35" i="49" l="1"/>
  <c r="K20" i="49"/>
  <c r="K35" i="49" s="1"/>
  <c r="K64" i="49"/>
  <c r="L64" i="49"/>
  <c r="L35" i="49"/>
  <c r="J4" i="48"/>
  <c r="L4" i="48" s="1"/>
  <c r="J19" i="48"/>
  <c r="L19" i="48" s="1"/>
  <c r="I27" i="48"/>
  <c r="H27" i="48"/>
  <c r="J25" i="48"/>
  <c r="L25" i="48" s="1"/>
  <c r="J14" i="48"/>
  <c r="L14" i="48" s="1"/>
  <c r="J12" i="48"/>
  <c r="L12" i="48" s="1"/>
  <c r="J62" i="48"/>
  <c r="L62" i="48" s="1"/>
  <c r="J45" i="48"/>
  <c r="L45" i="48" s="1"/>
  <c r="J52" i="48"/>
  <c r="L52" i="48" s="1"/>
  <c r="J53" i="48"/>
  <c r="L53" i="48" s="1"/>
  <c r="J49" i="48"/>
  <c r="L49" i="48" s="1"/>
  <c r="J48" i="48"/>
  <c r="L48" i="48" s="1"/>
  <c r="J40" i="48"/>
  <c r="L40" i="48" s="1"/>
  <c r="J67" i="48"/>
  <c r="L67" i="48" s="1"/>
  <c r="J18" i="48"/>
  <c r="L18" i="48" s="1"/>
  <c r="C35" i="48"/>
  <c r="J60" i="48"/>
  <c r="L60" i="48" s="1"/>
  <c r="J63" i="48"/>
  <c r="L63" i="48" s="1"/>
  <c r="I64" i="48"/>
  <c r="J44" i="48"/>
  <c r="L44" i="48" s="1"/>
  <c r="J56" i="48"/>
  <c r="J51" i="48"/>
  <c r="G35" i="48"/>
  <c r="J24" i="48"/>
  <c r="L24" i="48" s="1"/>
  <c r="J16" i="48"/>
  <c r="L16" i="48" s="1"/>
  <c r="I20" i="48"/>
  <c r="J15" i="48"/>
  <c r="J17" i="48"/>
  <c r="L17" i="48" s="1"/>
  <c r="J13" i="48"/>
  <c r="L13" i="48" s="1"/>
  <c r="H20" i="48"/>
  <c r="H7" i="48"/>
  <c r="I7" i="48"/>
  <c r="J5" i="48"/>
  <c r="L5" i="48" s="1"/>
  <c r="D35" i="48"/>
  <c r="E35" i="48"/>
  <c r="F35" i="48"/>
  <c r="K60" i="48"/>
  <c r="K26" i="48"/>
  <c r="K61" i="48"/>
  <c r="K44" i="48"/>
  <c r="K55" i="48"/>
  <c r="J38" i="48"/>
  <c r="L38" i="48" s="1"/>
  <c r="H64" i="48"/>
  <c r="K6" i="48"/>
  <c r="K57" i="48"/>
  <c r="K43" i="48"/>
  <c r="K50" i="48"/>
  <c r="L23" i="48"/>
  <c r="K23" i="48"/>
  <c r="K58" i="48"/>
  <c r="K41" i="48"/>
  <c r="K47" i="48"/>
  <c r="J10" i="48"/>
  <c r="L10" i="48" s="1"/>
  <c r="J3" i="48"/>
  <c r="L3" i="48" s="1"/>
  <c r="J31" i="48"/>
  <c r="J72" i="48"/>
  <c r="L72" i="48" s="1"/>
  <c r="K42" i="48"/>
  <c r="K54" i="48"/>
  <c r="J68" i="48"/>
  <c r="L68" i="48" s="1"/>
  <c r="K11" i="48"/>
  <c r="K39" i="48"/>
  <c r="K46" i="48"/>
  <c r="I32" i="48"/>
  <c r="K59" i="48"/>
  <c r="D35" i="47"/>
  <c r="E35" i="47"/>
  <c r="F35" i="47"/>
  <c r="G35" i="47"/>
  <c r="I35" i="47"/>
  <c r="L64" i="47"/>
  <c r="D64" i="47"/>
  <c r="E64" i="47"/>
  <c r="F64" i="47"/>
  <c r="G64" i="47"/>
  <c r="H64" i="47"/>
  <c r="I64" i="47"/>
  <c r="J64" i="47"/>
  <c r="K64" i="47"/>
  <c r="C64" i="47"/>
  <c r="C35" i="47"/>
  <c r="K4" i="48" l="1"/>
  <c r="K19" i="48"/>
  <c r="J27" i="48"/>
  <c r="K25" i="48"/>
  <c r="K15" i="48"/>
  <c r="L15" i="48"/>
  <c r="K14" i="48"/>
  <c r="K12" i="48"/>
  <c r="K63" i="48"/>
  <c r="K62" i="48"/>
  <c r="K45" i="48"/>
  <c r="K52" i="48"/>
  <c r="K53" i="48"/>
  <c r="K51" i="48"/>
  <c r="L51" i="48"/>
  <c r="L64" i="48" s="1"/>
  <c r="K49" i="48"/>
  <c r="K48" i="48"/>
  <c r="K40" i="48"/>
  <c r="J69" i="48"/>
  <c r="K67" i="48"/>
  <c r="K18" i="48"/>
  <c r="K17" i="48"/>
  <c r="K13" i="48"/>
  <c r="K56" i="48"/>
  <c r="K5" i="48"/>
  <c r="K24" i="48"/>
  <c r="K16" i="48"/>
  <c r="I35" i="48"/>
  <c r="K31" i="48"/>
  <c r="L31" i="48"/>
  <c r="J7" i="48"/>
  <c r="L7" i="48"/>
  <c r="K3" i="48"/>
  <c r="J20" i="48"/>
  <c r="K10" i="48"/>
  <c r="L27" i="48"/>
  <c r="K38" i="48"/>
  <c r="J64" i="48"/>
  <c r="J73" i="48"/>
  <c r="L73" i="48"/>
  <c r="K72" i="48"/>
  <c r="K73" i="48" s="1"/>
  <c r="L69" i="48"/>
  <c r="K68" i="48"/>
  <c r="D7" i="47"/>
  <c r="E7" i="47"/>
  <c r="F7" i="47"/>
  <c r="G7" i="47"/>
  <c r="H7" i="47"/>
  <c r="I7" i="47"/>
  <c r="J7" i="47"/>
  <c r="K7" i="47"/>
  <c r="L7" i="47"/>
  <c r="C7" i="47"/>
  <c r="D20" i="47"/>
  <c r="E20" i="47"/>
  <c r="F20" i="47"/>
  <c r="G20" i="47"/>
  <c r="H20" i="47"/>
  <c r="I20" i="47"/>
  <c r="J20" i="47"/>
  <c r="K20" i="47"/>
  <c r="L20" i="47"/>
  <c r="C20" i="47"/>
  <c r="H10" i="47"/>
  <c r="J10" i="47" s="1"/>
  <c r="I10" i="47"/>
  <c r="K7" i="48" l="1"/>
  <c r="K27" i="48"/>
  <c r="K64" i="48"/>
  <c r="K69" i="48"/>
  <c r="K20" i="48"/>
  <c r="L20" i="48"/>
  <c r="K10" i="47"/>
  <c r="L10" i="47"/>
  <c r="E38" i="47"/>
  <c r="I38" i="47" s="1"/>
  <c r="D38" i="47"/>
  <c r="H38" i="47" s="1"/>
  <c r="I72" i="47"/>
  <c r="H72" i="47"/>
  <c r="H73" i="47" s="1"/>
  <c r="I68" i="47"/>
  <c r="H68" i="47"/>
  <c r="I67" i="47"/>
  <c r="H67" i="47"/>
  <c r="I63" i="47"/>
  <c r="H63" i="47"/>
  <c r="I62" i="47"/>
  <c r="H62" i="47"/>
  <c r="I61" i="47"/>
  <c r="H61" i="47"/>
  <c r="I60" i="47"/>
  <c r="H60" i="47"/>
  <c r="I59" i="47"/>
  <c r="H59" i="47"/>
  <c r="I58" i="47"/>
  <c r="H58" i="47"/>
  <c r="I57" i="47"/>
  <c r="H57" i="47"/>
  <c r="I56" i="47"/>
  <c r="H56" i="47"/>
  <c r="I55" i="47"/>
  <c r="H55" i="47"/>
  <c r="I54" i="47"/>
  <c r="H54" i="47"/>
  <c r="I53" i="47"/>
  <c r="H53" i="47"/>
  <c r="I52" i="47"/>
  <c r="H52" i="47"/>
  <c r="I51" i="47"/>
  <c r="H51" i="47"/>
  <c r="I50" i="47"/>
  <c r="H50" i="47"/>
  <c r="I49" i="47"/>
  <c r="H49" i="47"/>
  <c r="I48" i="47"/>
  <c r="H48" i="47"/>
  <c r="I47" i="47"/>
  <c r="H47" i="47"/>
  <c r="I46" i="47"/>
  <c r="H46" i="47"/>
  <c r="I45" i="47"/>
  <c r="H45" i="47"/>
  <c r="I44" i="47"/>
  <c r="H44" i="47"/>
  <c r="I43" i="47"/>
  <c r="H43" i="47"/>
  <c r="I42" i="47"/>
  <c r="H42" i="47"/>
  <c r="I41" i="47"/>
  <c r="H41" i="47"/>
  <c r="I40" i="47"/>
  <c r="H40" i="47"/>
  <c r="I39" i="47"/>
  <c r="H39" i="47"/>
  <c r="I30" i="47"/>
  <c r="I26" i="47"/>
  <c r="H26" i="47"/>
  <c r="I25" i="47"/>
  <c r="H25" i="47"/>
  <c r="I4" i="47"/>
  <c r="H4" i="47"/>
  <c r="I19" i="47"/>
  <c r="H19" i="47"/>
  <c r="I5" i="47"/>
  <c r="H5" i="47"/>
  <c r="I18" i="47"/>
  <c r="H18" i="47"/>
  <c r="I17" i="47"/>
  <c r="H17" i="47"/>
  <c r="I16" i="47"/>
  <c r="H16" i="47"/>
  <c r="I15" i="47"/>
  <c r="H15" i="47"/>
  <c r="I24" i="47"/>
  <c r="H24" i="47"/>
  <c r="I14" i="47"/>
  <c r="H14" i="47"/>
  <c r="I13" i="47"/>
  <c r="H13" i="47"/>
  <c r="I12" i="47"/>
  <c r="H12" i="47"/>
  <c r="I6" i="47"/>
  <c r="H6" i="47"/>
  <c r="I11" i="47"/>
  <c r="H11" i="47"/>
  <c r="I3" i="47"/>
  <c r="H3" i="47"/>
  <c r="G73" i="47"/>
  <c r="F73" i="47"/>
  <c r="E73" i="47"/>
  <c r="D73" i="47"/>
  <c r="C73" i="47"/>
  <c r="G69" i="47"/>
  <c r="F69" i="47"/>
  <c r="E69" i="47"/>
  <c r="D69" i="47"/>
  <c r="C69" i="47"/>
  <c r="C62" i="47"/>
  <c r="J56" i="47"/>
  <c r="L56" i="47" s="1"/>
  <c r="C51" i="47"/>
  <c r="C49" i="47"/>
  <c r="C46" i="47"/>
  <c r="C45" i="47"/>
  <c r="C40" i="47"/>
  <c r="C39" i="47"/>
  <c r="G32" i="47"/>
  <c r="F32" i="47"/>
  <c r="E32" i="47"/>
  <c r="D32" i="47"/>
  <c r="C32" i="47"/>
  <c r="I31" i="47"/>
  <c r="H31" i="47"/>
  <c r="G27" i="47"/>
  <c r="F27" i="47"/>
  <c r="E27" i="47"/>
  <c r="D27" i="47"/>
  <c r="C27" i="47"/>
  <c r="I23" i="47"/>
  <c r="H23" i="47"/>
  <c r="C5" i="47"/>
  <c r="C16" i="47"/>
  <c r="C11" i="47"/>
  <c r="C3" i="47"/>
  <c r="H27" i="47" l="1"/>
  <c r="J42" i="47"/>
  <c r="L42" i="47" s="1"/>
  <c r="J39" i="47"/>
  <c r="K39" i="47" s="1"/>
  <c r="J47" i="47"/>
  <c r="L47" i="47" s="1"/>
  <c r="J26" i="47"/>
  <c r="L26" i="47" s="1"/>
  <c r="I32" i="47"/>
  <c r="J55" i="47"/>
  <c r="L55" i="47" s="1"/>
  <c r="J5" i="47"/>
  <c r="K5" i="47" s="1"/>
  <c r="J41" i="47"/>
  <c r="L41" i="47" s="1"/>
  <c r="J44" i="47"/>
  <c r="L44" i="47" s="1"/>
  <c r="J31" i="47"/>
  <c r="K31" i="47" s="1"/>
  <c r="J57" i="47"/>
  <c r="L57" i="47" s="1"/>
  <c r="J72" i="47"/>
  <c r="K72" i="47" s="1"/>
  <c r="K73" i="47" s="1"/>
  <c r="J23" i="47"/>
  <c r="K23" i="47" s="1"/>
  <c r="J58" i="47"/>
  <c r="L58" i="47" s="1"/>
  <c r="J24" i="47"/>
  <c r="L24" i="47" s="1"/>
  <c r="J60" i="47"/>
  <c r="L60" i="47" s="1"/>
  <c r="J59" i="47"/>
  <c r="L59" i="47" s="1"/>
  <c r="J61" i="47"/>
  <c r="L61" i="47" s="1"/>
  <c r="J54" i="47"/>
  <c r="L54" i="47" s="1"/>
  <c r="J62" i="47"/>
  <c r="L62" i="47" s="1"/>
  <c r="J11" i="47"/>
  <c r="L11" i="47" s="1"/>
  <c r="I69" i="47"/>
  <c r="J4" i="47"/>
  <c r="L4" i="47" s="1"/>
  <c r="I27" i="47"/>
  <c r="J18" i="47"/>
  <c r="L18" i="47" s="1"/>
  <c r="J17" i="47"/>
  <c r="L17" i="47" s="1"/>
  <c r="J16" i="47"/>
  <c r="K16" i="47" s="1"/>
  <c r="J14" i="47"/>
  <c r="L14" i="47" s="1"/>
  <c r="J12" i="47"/>
  <c r="L12" i="47" s="1"/>
  <c r="J63" i="47"/>
  <c r="L63" i="47" s="1"/>
  <c r="J45" i="47"/>
  <c r="L45" i="47" s="1"/>
  <c r="J53" i="47"/>
  <c r="L53" i="47" s="1"/>
  <c r="J48" i="47"/>
  <c r="L48" i="47" s="1"/>
  <c r="I73" i="47"/>
  <c r="J68" i="47"/>
  <c r="L68" i="47" s="1"/>
  <c r="J3" i="47"/>
  <c r="H69" i="47"/>
  <c r="J51" i="47"/>
  <c r="J40" i="47"/>
  <c r="J52" i="47"/>
  <c r="L52" i="47" s="1"/>
  <c r="J46" i="47"/>
  <c r="L46" i="47" s="1"/>
  <c r="J43" i="47"/>
  <c r="L43" i="47" s="1"/>
  <c r="J49" i="47"/>
  <c r="J50" i="47"/>
  <c r="L50" i="47" s="1"/>
  <c r="J25" i="47"/>
  <c r="J15" i="47"/>
  <c r="L15" i="47" s="1"/>
  <c r="J6" i="47"/>
  <c r="L6" i="47" s="1"/>
  <c r="J19" i="47"/>
  <c r="L31" i="47"/>
  <c r="J13" i="47"/>
  <c r="L13" i="47" s="1"/>
  <c r="K56" i="47"/>
  <c r="J38" i="47"/>
  <c r="L38" i="47" s="1"/>
  <c r="J67" i="47"/>
  <c r="L67" i="47" s="1"/>
  <c r="E16" i="46"/>
  <c r="D16" i="46"/>
  <c r="E9" i="46"/>
  <c r="D9" i="46"/>
  <c r="E8" i="46"/>
  <c r="D8" i="46"/>
  <c r="L5" i="47" l="1"/>
  <c r="K62" i="47"/>
  <c r="K47" i="47"/>
  <c r="L39" i="47"/>
  <c r="K42" i="47"/>
  <c r="K57" i="47"/>
  <c r="K44" i="47"/>
  <c r="K58" i="47"/>
  <c r="K55" i="47"/>
  <c r="K41" i="47"/>
  <c r="K26" i="47"/>
  <c r="J73" i="47"/>
  <c r="K24" i="47"/>
  <c r="L72" i="47"/>
  <c r="L73" i="47" s="1"/>
  <c r="L23" i="47"/>
  <c r="K46" i="47"/>
  <c r="K6" i="47"/>
  <c r="K54" i="47"/>
  <c r="K61" i="47"/>
  <c r="K59" i="47"/>
  <c r="K60" i="47"/>
  <c r="K48" i="47"/>
  <c r="K43" i="47"/>
  <c r="K52" i="47"/>
  <c r="K40" i="47"/>
  <c r="L40" i="47"/>
  <c r="K11" i="47"/>
  <c r="K4" i="47"/>
  <c r="K19" i="47"/>
  <c r="L19" i="47"/>
  <c r="K25" i="47"/>
  <c r="L25" i="47"/>
  <c r="K18" i="47"/>
  <c r="K17" i="47"/>
  <c r="L16" i="47"/>
  <c r="K15" i="47"/>
  <c r="K14" i="47"/>
  <c r="K12" i="47"/>
  <c r="K3" i="47"/>
  <c r="L3" i="47"/>
  <c r="K63" i="47"/>
  <c r="K45" i="47"/>
  <c r="K53" i="47"/>
  <c r="K51" i="47"/>
  <c r="L51" i="47"/>
  <c r="K49" i="47"/>
  <c r="L49" i="47"/>
  <c r="K68" i="47"/>
  <c r="K50" i="47"/>
  <c r="J27" i="47"/>
  <c r="J69" i="47"/>
  <c r="L69" i="47"/>
  <c r="K67" i="47"/>
  <c r="K38" i="47"/>
  <c r="K13" i="47"/>
  <c r="L55" i="46"/>
  <c r="L54" i="46"/>
  <c r="L53" i="46"/>
  <c r="L52" i="46"/>
  <c r="L51" i="46"/>
  <c r="L47" i="46"/>
  <c r="L43" i="46"/>
  <c r="L39" i="46"/>
  <c r="L38" i="46"/>
  <c r="L36" i="46"/>
  <c r="I69" i="46"/>
  <c r="I70" i="46" s="1"/>
  <c r="H69" i="46"/>
  <c r="J69" i="46" s="1"/>
  <c r="I65" i="46"/>
  <c r="H65" i="46"/>
  <c r="I64" i="46"/>
  <c r="H64" i="46"/>
  <c r="I60" i="46"/>
  <c r="H60" i="46"/>
  <c r="I59" i="46"/>
  <c r="H59" i="46"/>
  <c r="I58" i="46"/>
  <c r="H58" i="46"/>
  <c r="I57" i="46"/>
  <c r="H57" i="46"/>
  <c r="I56" i="46"/>
  <c r="H56" i="46"/>
  <c r="I55" i="46"/>
  <c r="H55" i="46"/>
  <c r="J55" i="46" s="1"/>
  <c r="K55" i="46" s="1"/>
  <c r="I54" i="46"/>
  <c r="H54" i="46"/>
  <c r="J54" i="46" s="1"/>
  <c r="I53" i="46"/>
  <c r="H53" i="46"/>
  <c r="I52" i="46"/>
  <c r="H52" i="46"/>
  <c r="I51" i="46"/>
  <c r="H51" i="46"/>
  <c r="I50" i="46"/>
  <c r="H50" i="46"/>
  <c r="I49" i="46"/>
  <c r="H49" i="46"/>
  <c r="J49" i="46" s="1"/>
  <c r="L49" i="46" s="1"/>
  <c r="I48" i="46"/>
  <c r="H48" i="46"/>
  <c r="I47" i="46"/>
  <c r="H47" i="46"/>
  <c r="J47" i="46" s="1"/>
  <c r="I46" i="46"/>
  <c r="H46" i="46"/>
  <c r="I45" i="46"/>
  <c r="H45" i="46"/>
  <c r="I44" i="46"/>
  <c r="H44" i="46"/>
  <c r="J44" i="46" s="1"/>
  <c r="L44" i="46" s="1"/>
  <c r="I43" i="46"/>
  <c r="H43" i="46"/>
  <c r="I42" i="46"/>
  <c r="H42" i="46"/>
  <c r="J42" i="46" s="1"/>
  <c r="L42" i="46" s="1"/>
  <c r="I41" i="46"/>
  <c r="H41" i="46"/>
  <c r="I40" i="46"/>
  <c r="H40" i="46"/>
  <c r="I27" i="46"/>
  <c r="I29" i="46" s="1"/>
  <c r="I23" i="46"/>
  <c r="H23" i="46"/>
  <c r="I22" i="46"/>
  <c r="H22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J10" i="46" s="1"/>
  <c r="K10" i="46" s="1"/>
  <c r="I9" i="46"/>
  <c r="H9" i="46"/>
  <c r="I8" i="46"/>
  <c r="H8" i="46"/>
  <c r="I7" i="46"/>
  <c r="H7" i="46"/>
  <c r="I6" i="46"/>
  <c r="H6" i="46"/>
  <c r="I5" i="46"/>
  <c r="H5" i="46"/>
  <c r="J5" i="46" s="1"/>
  <c r="L5" i="46" s="1"/>
  <c r="I4" i="46"/>
  <c r="H4" i="46"/>
  <c r="I3" i="46"/>
  <c r="H3" i="46"/>
  <c r="G70" i="46"/>
  <c r="F70" i="46"/>
  <c r="E70" i="46"/>
  <c r="D70" i="46"/>
  <c r="C70" i="46"/>
  <c r="G66" i="46"/>
  <c r="F66" i="46"/>
  <c r="E66" i="46"/>
  <c r="D66" i="46"/>
  <c r="C66" i="46"/>
  <c r="C59" i="46"/>
  <c r="J56" i="46"/>
  <c r="K56" i="46" s="1"/>
  <c r="J51" i="46"/>
  <c r="C48" i="46"/>
  <c r="C46" i="46"/>
  <c r="J43" i="46"/>
  <c r="C43" i="46"/>
  <c r="C42" i="46"/>
  <c r="I39" i="46"/>
  <c r="H39" i="46"/>
  <c r="J39" i="46" s="1"/>
  <c r="I38" i="46"/>
  <c r="H38" i="46"/>
  <c r="J38" i="46" s="1"/>
  <c r="I37" i="46"/>
  <c r="H37" i="46"/>
  <c r="C37" i="46"/>
  <c r="I36" i="46"/>
  <c r="H36" i="46"/>
  <c r="C36" i="46"/>
  <c r="I35" i="46"/>
  <c r="H35" i="46"/>
  <c r="G29" i="46"/>
  <c r="F29" i="46"/>
  <c r="E29" i="46"/>
  <c r="D29" i="46"/>
  <c r="C29" i="46"/>
  <c r="I28" i="46"/>
  <c r="H28" i="46"/>
  <c r="G24" i="46"/>
  <c r="F24" i="46"/>
  <c r="E24" i="46"/>
  <c r="D24" i="46"/>
  <c r="C24" i="46"/>
  <c r="J23" i="46"/>
  <c r="K23" i="46" s="1"/>
  <c r="I21" i="46"/>
  <c r="H21" i="46"/>
  <c r="J21" i="46" s="1"/>
  <c r="G18" i="46"/>
  <c r="F18" i="46"/>
  <c r="C15" i="46"/>
  <c r="C12" i="46"/>
  <c r="D18" i="46"/>
  <c r="C5" i="46"/>
  <c r="C3" i="46"/>
  <c r="L27" i="47" l="1"/>
  <c r="K27" i="47"/>
  <c r="K69" i="47"/>
  <c r="K5" i="46"/>
  <c r="L10" i="46"/>
  <c r="L23" i="46"/>
  <c r="L56" i="46"/>
  <c r="J70" i="46"/>
  <c r="L69" i="46"/>
  <c r="H70" i="46"/>
  <c r="I66" i="46"/>
  <c r="H66" i="46"/>
  <c r="J17" i="46"/>
  <c r="L17" i="46" s="1"/>
  <c r="H24" i="46"/>
  <c r="I24" i="46"/>
  <c r="D32" i="46"/>
  <c r="J14" i="46"/>
  <c r="L14" i="46" s="1"/>
  <c r="J12" i="46"/>
  <c r="L12" i="46" s="1"/>
  <c r="J11" i="46"/>
  <c r="L11" i="46" s="1"/>
  <c r="J7" i="46"/>
  <c r="L7" i="46" s="1"/>
  <c r="J3" i="46"/>
  <c r="L3" i="46" s="1"/>
  <c r="J4" i="46"/>
  <c r="L4" i="46" s="1"/>
  <c r="J59" i="46"/>
  <c r="K59" i="46" s="1"/>
  <c r="J50" i="46"/>
  <c r="L50" i="46" s="1"/>
  <c r="J48" i="46"/>
  <c r="L48" i="46" s="1"/>
  <c r="J45" i="46"/>
  <c r="L45" i="46" s="1"/>
  <c r="J37" i="46"/>
  <c r="L37" i="46" s="1"/>
  <c r="J16" i="46"/>
  <c r="L16" i="46" s="1"/>
  <c r="I18" i="46"/>
  <c r="J9" i="46"/>
  <c r="L9" i="46" s="1"/>
  <c r="K69" i="46"/>
  <c r="K70" i="46" s="1"/>
  <c r="J65" i="46"/>
  <c r="J57" i="46"/>
  <c r="L57" i="46" s="1"/>
  <c r="J35" i="46"/>
  <c r="H61" i="46"/>
  <c r="J58" i="46"/>
  <c r="J52" i="46"/>
  <c r="J46" i="46"/>
  <c r="J53" i="46"/>
  <c r="J40" i="46"/>
  <c r="L40" i="46" s="1"/>
  <c r="J60" i="46"/>
  <c r="J41" i="46"/>
  <c r="L41" i="46" s="1"/>
  <c r="G32" i="46"/>
  <c r="F32" i="46"/>
  <c r="J22" i="46"/>
  <c r="J15" i="46"/>
  <c r="J6" i="46"/>
  <c r="J13" i="46"/>
  <c r="K41" i="46"/>
  <c r="K11" i="46"/>
  <c r="K43" i="46"/>
  <c r="K57" i="46"/>
  <c r="L21" i="46"/>
  <c r="K21" i="46"/>
  <c r="K51" i="46"/>
  <c r="K39" i="46"/>
  <c r="K54" i="46"/>
  <c r="K7" i="46"/>
  <c r="K47" i="46"/>
  <c r="K49" i="46"/>
  <c r="K44" i="46"/>
  <c r="K38" i="46"/>
  <c r="E18" i="46"/>
  <c r="E32" i="46" s="1"/>
  <c r="J64" i="46"/>
  <c r="L64" i="46" s="1"/>
  <c r="H18" i="46"/>
  <c r="J36" i="46"/>
  <c r="J8" i="46"/>
  <c r="L8" i="46" s="1"/>
  <c r="J28" i="46"/>
  <c r="K42" i="46"/>
  <c r="C61" i="46"/>
  <c r="L70" i="46"/>
  <c r="I61" i="46"/>
  <c r="C18" i="46"/>
  <c r="C32" i="46" s="1"/>
  <c r="E64" i="45"/>
  <c r="D64" i="45"/>
  <c r="E13" i="45"/>
  <c r="D13" i="45"/>
  <c r="E8" i="45"/>
  <c r="D8" i="45"/>
  <c r="K6" i="46" l="1"/>
  <c r="L6" i="46"/>
  <c r="K15" i="46"/>
  <c r="L15" i="46"/>
  <c r="K35" i="46"/>
  <c r="L35" i="46"/>
  <c r="K58" i="46"/>
  <c r="L58" i="46"/>
  <c r="K65" i="46"/>
  <c r="L65" i="46"/>
  <c r="L66" i="46" s="1"/>
  <c r="K17" i="46"/>
  <c r="I32" i="46"/>
  <c r="K22" i="46"/>
  <c r="K24" i="46" s="1"/>
  <c r="L22" i="46"/>
  <c r="L24" i="46" s="1"/>
  <c r="K13" i="46"/>
  <c r="L13" i="46"/>
  <c r="K14" i="46"/>
  <c r="K12" i="46"/>
  <c r="K9" i="46"/>
  <c r="K3" i="46"/>
  <c r="K4" i="46"/>
  <c r="K60" i="46"/>
  <c r="L60" i="46"/>
  <c r="L59" i="46"/>
  <c r="K50" i="46"/>
  <c r="K48" i="46"/>
  <c r="K46" i="46"/>
  <c r="L46" i="46"/>
  <c r="L61" i="46" s="1"/>
  <c r="K45" i="46"/>
  <c r="K37" i="46"/>
  <c r="K16" i="46"/>
  <c r="K52" i="46"/>
  <c r="K53" i="46"/>
  <c r="K40" i="46"/>
  <c r="K36" i="46"/>
  <c r="J24" i="46"/>
  <c r="L28" i="46"/>
  <c r="K28" i="46"/>
  <c r="K8" i="46"/>
  <c r="J61" i="46"/>
  <c r="J18" i="46"/>
  <c r="J66" i="46"/>
  <c r="K64" i="46"/>
  <c r="D66" i="45"/>
  <c r="I13" i="45"/>
  <c r="H13" i="45"/>
  <c r="H8" i="45"/>
  <c r="I69" i="45"/>
  <c r="I70" i="45" s="1"/>
  <c r="H69" i="45"/>
  <c r="H70" i="45" s="1"/>
  <c r="I65" i="45"/>
  <c r="J65" i="45" s="1"/>
  <c r="L65" i="45" s="1"/>
  <c r="H65" i="45"/>
  <c r="I64" i="45"/>
  <c r="I60" i="45"/>
  <c r="H60" i="45"/>
  <c r="I59" i="45"/>
  <c r="H59" i="45"/>
  <c r="I58" i="45"/>
  <c r="H58" i="45"/>
  <c r="J58" i="45" s="1"/>
  <c r="L58" i="45" s="1"/>
  <c r="I57" i="45"/>
  <c r="H57" i="45"/>
  <c r="I56" i="45"/>
  <c r="H56" i="45"/>
  <c r="J56" i="45" s="1"/>
  <c r="L56" i="45" s="1"/>
  <c r="I55" i="45"/>
  <c r="H55" i="45"/>
  <c r="I54" i="45"/>
  <c r="H54" i="45"/>
  <c r="J54" i="45" s="1"/>
  <c r="L54" i="45" s="1"/>
  <c r="I53" i="45"/>
  <c r="H53" i="45"/>
  <c r="J53" i="45" s="1"/>
  <c r="L53" i="45" s="1"/>
  <c r="I52" i="45"/>
  <c r="H52" i="45"/>
  <c r="I51" i="45"/>
  <c r="H51" i="45"/>
  <c r="I50" i="45"/>
  <c r="H50" i="45"/>
  <c r="I49" i="45"/>
  <c r="H49" i="45"/>
  <c r="I48" i="45"/>
  <c r="H48" i="45"/>
  <c r="I47" i="45"/>
  <c r="H47" i="45"/>
  <c r="I46" i="45"/>
  <c r="H46" i="45"/>
  <c r="I45" i="45"/>
  <c r="H45" i="45"/>
  <c r="I44" i="45"/>
  <c r="H44" i="45"/>
  <c r="J44" i="45" s="1"/>
  <c r="L44" i="45" s="1"/>
  <c r="I43" i="45"/>
  <c r="H43" i="45"/>
  <c r="I42" i="45"/>
  <c r="H42" i="45"/>
  <c r="I41" i="45"/>
  <c r="H41" i="45"/>
  <c r="I40" i="45"/>
  <c r="H40" i="45"/>
  <c r="I39" i="45"/>
  <c r="H39" i="45"/>
  <c r="J39" i="45" s="1"/>
  <c r="L39" i="45" s="1"/>
  <c r="I38" i="45"/>
  <c r="H38" i="45"/>
  <c r="J38" i="45" s="1"/>
  <c r="L38" i="45" s="1"/>
  <c r="I37" i="45"/>
  <c r="H37" i="45"/>
  <c r="I36" i="45"/>
  <c r="H36" i="45"/>
  <c r="J36" i="45" s="1"/>
  <c r="L36" i="45" s="1"/>
  <c r="I35" i="45"/>
  <c r="H35" i="45"/>
  <c r="I27" i="45"/>
  <c r="I29" i="45" s="1"/>
  <c r="I23" i="45"/>
  <c r="J23" i="45" s="1"/>
  <c r="L23" i="45" s="1"/>
  <c r="H23" i="45"/>
  <c r="I22" i="45"/>
  <c r="H22" i="45"/>
  <c r="I17" i="45"/>
  <c r="H17" i="45"/>
  <c r="I16" i="45"/>
  <c r="H16" i="45"/>
  <c r="I15" i="45"/>
  <c r="H15" i="45"/>
  <c r="J15" i="45" s="1"/>
  <c r="L15" i="45" s="1"/>
  <c r="I14" i="45"/>
  <c r="H14" i="45"/>
  <c r="I12" i="45"/>
  <c r="H12" i="45"/>
  <c r="I11" i="45"/>
  <c r="H11" i="45"/>
  <c r="I10" i="45"/>
  <c r="H10" i="45"/>
  <c r="J10" i="45" s="1"/>
  <c r="L10" i="45" s="1"/>
  <c r="I9" i="45"/>
  <c r="H9" i="45"/>
  <c r="I8" i="45"/>
  <c r="I7" i="45"/>
  <c r="H7" i="45"/>
  <c r="I6" i="45"/>
  <c r="H6" i="45"/>
  <c r="I5" i="45"/>
  <c r="H5" i="45"/>
  <c r="I4" i="45"/>
  <c r="H4" i="45"/>
  <c r="I3" i="45"/>
  <c r="H3" i="45"/>
  <c r="G70" i="45"/>
  <c r="F70" i="45"/>
  <c r="E70" i="45"/>
  <c r="D70" i="45"/>
  <c r="C70" i="45"/>
  <c r="G66" i="45"/>
  <c r="F66" i="45"/>
  <c r="E66" i="45"/>
  <c r="C66" i="45"/>
  <c r="C59" i="45"/>
  <c r="C48" i="45"/>
  <c r="J47" i="45"/>
  <c r="L47" i="45" s="1"/>
  <c r="C46" i="45"/>
  <c r="J43" i="45"/>
  <c r="L43" i="45" s="1"/>
  <c r="C43" i="45"/>
  <c r="C42" i="45"/>
  <c r="C37" i="45"/>
  <c r="C36" i="45"/>
  <c r="G29" i="45"/>
  <c r="F29" i="45"/>
  <c r="E29" i="45"/>
  <c r="D29" i="45"/>
  <c r="C29" i="45"/>
  <c r="I28" i="45"/>
  <c r="H28" i="45"/>
  <c r="G24" i="45"/>
  <c r="F24" i="45"/>
  <c r="E24" i="45"/>
  <c r="D24" i="45"/>
  <c r="C24" i="45"/>
  <c r="J21" i="45"/>
  <c r="I21" i="45"/>
  <c r="H21" i="45"/>
  <c r="G18" i="45"/>
  <c r="F18" i="45"/>
  <c r="C15" i="45"/>
  <c r="C12" i="45"/>
  <c r="C5" i="45"/>
  <c r="C3" i="45"/>
  <c r="C18" i="45" s="1"/>
  <c r="C32" i="45" s="1"/>
  <c r="K66" i="46" l="1"/>
  <c r="K61" i="46"/>
  <c r="K18" i="46"/>
  <c r="L18" i="46"/>
  <c r="J5" i="45"/>
  <c r="L5" i="45" s="1"/>
  <c r="I24" i="45"/>
  <c r="J22" i="45"/>
  <c r="L22" i="45" s="1"/>
  <c r="J12" i="45"/>
  <c r="L12" i="45" s="1"/>
  <c r="J59" i="45"/>
  <c r="L59" i="45" s="1"/>
  <c r="J42" i="45"/>
  <c r="L42" i="45" s="1"/>
  <c r="J50" i="45"/>
  <c r="L50" i="45" s="1"/>
  <c r="J49" i="45"/>
  <c r="L49" i="45" s="1"/>
  <c r="J48" i="45"/>
  <c r="L48" i="45" s="1"/>
  <c r="J46" i="45"/>
  <c r="L46" i="45" s="1"/>
  <c r="J45" i="45"/>
  <c r="L45" i="45" s="1"/>
  <c r="J37" i="45"/>
  <c r="L37" i="45" s="1"/>
  <c r="I61" i="45"/>
  <c r="H64" i="45"/>
  <c r="J13" i="45"/>
  <c r="L13" i="45" s="1"/>
  <c r="J8" i="45"/>
  <c r="L8" i="45" s="1"/>
  <c r="D18" i="45"/>
  <c r="D32" i="45" s="1"/>
  <c r="H18" i="45"/>
  <c r="J69" i="45"/>
  <c r="J60" i="45"/>
  <c r="L60" i="45" s="1"/>
  <c r="J55" i="45"/>
  <c r="L55" i="45" s="1"/>
  <c r="J57" i="45"/>
  <c r="L57" i="45" s="1"/>
  <c r="J40" i="45"/>
  <c r="L40" i="45" s="1"/>
  <c r="J51" i="45"/>
  <c r="L51" i="45" s="1"/>
  <c r="K43" i="45"/>
  <c r="H61" i="45"/>
  <c r="J41" i="45"/>
  <c r="L41" i="45" s="1"/>
  <c r="J52" i="45"/>
  <c r="L52" i="45" s="1"/>
  <c r="G32" i="45"/>
  <c r="H24" i="45"/>
  <c r="F32" i="45"/>
  <c r="J17" i="45"/>
  <c r="L17" i="45" s="1"/>
  <c r="J11" i="45"/>
  <c r="J4" i="45"/>
  <c r="L4" i="45" s="1"/>
  <c r="J6" i="45"/>
  <c r="L6" i="45" s="1"/>
  <c r="J14" i="45"/>
  <c r="J9" i="45"/>
  <c r="L9" i="45" s="1"/>
  <c r="J16" i="45"/>
  <c r="L16" i="45" s="1"/>
  <c r="K38" i="45"/>
  <c r="K44" i="45"/>
  <c r="K55" i="45"/>
  <c r="K6" i="45"/>
  <c r="K39" i="45"/>
  <c r="K50" i="45"/>
  <c r="K5" i="45"/>
  <c r="K56" i="45"/>
  <c r="J7" i="45"/>
  <c r="L7" i="45" s="1"/>
  <c r="K65" i="45"/>
  <c r="K52" i="45"/>
  <c r="K10" i="45"/>
  <c r="K53" i="45"/>
  <c r="I18" i="45"/>
  <c r="K47" i="45"/>
  <c r="K54" i="45"/>
  <c r="E18" i="45"/>
  <c r="E32" i="45" s="1"/>
  <c r="J35" i="45"/>
  <c r="L35" i="45" s="1"/>
  <c r="K15" i="45"/>
  <c r="J3" i="45"/>
  <c r="L3" i="45" s="1"/>
  <c r="K23" i="45"/>
  <c r="J28" i="45"/>
  <c r="K36" i="45"/>
  <c r="C61" i="45"/>
  <c r="K21" i="45"/>
  <c r="K58" i="45"/>
  <c r="L21" i="45"/>
  <c r="I66" i="45"/>
  <c r="E7" i="44"/>
  <c r="D7" i="44"/>
  <c r="K17" i="45" l="1"/>
  <c r="K16" i="45"/>
  <c r="I32" i="45"/>
  <c r="J24" i="45"/>
  <c r="K22" i="45"/>
  <c r="K24" i="45" s="1"/>
  <c r="L24" i="45"/>
  <c r="K12" i="45"/>
  <c r="K9" i="45"/>
  <c r="K60" i="45"/>
  <c r="K59" i="45"/>
  <c r="K42" i="45"/>
  <c r="K49" i="45"/>
  <c r="K48" i="45"/>
  <c r="K46" i="45"/>
  <c r="K45" i="45"/>
  <c r="K37" i="45"/>
  <c r="J64" i="45"/>
  <c r="H66" i="45"/>
  <c r="K13" i="45"/>
  <c r="K8" i="45"/>
  <c r="J70" i="45"/>
  <c r="L69" i="45"/>
  <c r="K51" i="45"/>
  <c r="K14" i="45"/>
  <c r="L14" i="45"/>
  <c r="K11" i="45"/>
  <c r="L11" i="45"/>
  <c r="L70" i="45"/>
  <c r="K69" i="45"/>
  <c r="K70" i="45" s="1"/>
  <c r="K41" i="45"/>
  <c r="K57" i="45"/>
  <c r="K40" i="45"/>
  <c r="K4" i="45"/>
  <c r="J18" i="45"/>
  <c r="J61" i="45"/>
  <c r="L61" i="45"/>
  <c r="K35" i="45"/>
  <c r="K3" i="45"/>
  <c r="L28" i="45"/>
  <c r="K28" i="45"/>
  <c r="K7" i="45"/>
  <c r="L55" i="44"/>
  <c r="L54" i="44"/>
  <c r="L53" i="44"/>
  <c r="L52" i="44"/>
  <c r="L51" i="44"/>
  <c r="L47" i="44"/>
  <c r="L43" i="44"/>
  <c r="L39" i="44"/>
  <c r="L38" i="44"/>
  <c r="L36" i="44"/>
  <c r="I69" i="44"/>
  <c r="I70" i="44" s="1"/>
  <c r="H69" i="44"/>
  <c r="I65" i="44"/>
  <c r="H65" i="44"/>
  <c r="J65" i="44" s="1"/>
  <c r="L65" i="44" s="1"/>
  <c r="I64" i="44"/>
  <c r="H64" i="44"/>
  <c r="I60" i="44"/>
  <c r="H60" i="44"/>
  <c r="I59" i="44"/>
  <c r="H59" i="44"/>
  <c r="I58" i="44"/>
  <c r="H58" i="44"/>
  <c r="I57" i="44"/>
  <c r="H57" i="44"/>
  <c r="J57" i="44" s="1"/>
  <c r="L57" i="44" s="1"/>
  <c r="I56" i="44"/>
  <c r="H56" i="44"/>
  <c r="J56" i="44" s="1"/>
  <c r="L56" i="44" s="1"/>
  <c r="I55" i="44"/>
  <c r="H55" i="44"/>
  <c r="I54" i="44"/>
  <c r="H54" i="44"/>
  <c r="J54" i="44" s="1"/>
  <c r="I53" i="44"/>
  <c r="H53" i="44"/>
  <c r="I52" i="44"/>
  <c r="H52" i="44"/>
  <c r="I51" i="44"/>
  <c r="H51" i="44"/>
  <c r="J51" i="44" s="1"/>
  <c r="I50" i="44"/>
  <c r="H50" i="44"/>
  <c r="I49" i="44"/>
  <c r="H49" i="44"/>
  <c r="J49" i="44" s="1"/>
  <c r="L49" i="44" s="1"/>
  <c r="I48" i="44"/>
  <c r="H48" i="44"/>
  <c r="I47" i="44"/>
  <c r="H47" i="44"/>
  <c r="J47" i="44" s="1"/>
  <c r="I46" i="44"/>
  <c r="H46" i="44"/>
  <c r="I45" i="44"/>
  <c r="H45" i="44"/>
  <c r="I44" i="44"/>
  <c r="J44" i="44" s="1"/>
  <c r="L44" i="44" s="1"/>
  <c r="H44" i="44"/>
  <c r="I43" i="44"/>
  <c r="H43" i="44"/>
  <c r="J43" i="44" s="1"/>
  <c r="I42" i="44"/>
  <c r="H42" i="44"/>
  <c r="I41" i="44"/>
  <c r="H41" i="44"/>
  <c r="I40" i="44"/>
  <c r="H40" i="44"/>
  <c r="I39" i="44"/>
  <c r="H39" i="44"/>
  <c r="I38" i="44"/>
  <c r="H38" i="44"/>
  <c r="I37" i="44"/>
  <c r="H37" i="44"/>
  <c r="I36" i="44"/>
  <c r="H36" i="44"/>
  <c r="J36" i="44" s="1"/>
  <c r="I35" i="44"/>
  <c r="H35" i="44"/>
  <c r="I27" i="44"/>
  <c r="I23" i="44"/>
  <c r="H23" i="44"/>
  <c r="I22" i="44"/>
  <c r="H22" i="44"/>
  <c r="I17" i="44"/>
  <c r="H17" i="44"/>
  <c r="I16" i="44"/>
  <c r="H16" i="44"/>
  <c r="I15" i="44"/>
  <c r="H15" i="44"/>
  <c r="I14" i="44"/>
  <c r="H14" i="44"/>
  <c r="I13" i="44"/>
  <c r="H13" i="44"/>
  <c r="I12" i="44"/>
  <c r="H12" i="44"/>
  <c r="I11" i="44"/>
  <c r="H11" i="44"/>
  <c r="I10" i="44"/>
  <c r="H10" i="44"/>
  <c r="J10" i="44" s="1"/>
  <c r="L10" i="44" s="1"/>
  <c r="I9" i="44"/>
  <c r="H9" i="44"/>
  <c r="I8" i="44"/>
  <c r="H8" i="44"/>
  <c r="I7" i="44"/>
  <c r="H7" i="44"/>
  <c r="I6" i="44"/>
  <c r="H6" i="44"/>
  <c r="I5" i="44"/>
  <c r="H5" i="44"/>
  <c r="I4" i="44"/>
  <c r="H4" i="44"/>
  <c r="I3" i="44"/>
  <c r="H3" i="44"/>
  <c r="G70" i="44"/>
  <c r="F70" i="44"/>
  <c r="E70" i="44"/>
  <c r="D70" i="44"/>
  <c r="C70" i="44"/>
  <c r="H70" i="44"/>
  <c r="G66" i="44"/>
  <c r="F66" i="44"/>
  <c r="E66" i="44"/>
  <c r="D66" i="44"/>
  <c r="C66" i="44"/>
  <c r="C61" i="44"/>
  <c r="C59" i="44"/>
  <c r="J55" i="44"/>
  <c r="J53" i="44"/>
  <c r="J52" i="44"/>
  <c r="C48" i="44"/>
  <c r="C46" i="44"/>
  <c r="C43" i="44"/>
  <c r="C42" i="44"/>
  <c r="J39" i="44"/>
  <c r="C37" i="44"/>
  <c r="C36" i="44"/>
  <c r="G29" i="44"/>
  <c r="F29" i="44"/>
  <c r="E29" i="44"/>
  <c r="D29" i="44"/>
  <c r="C29" i="44"/>
  <c r="I28" i="44"/>
  <c r="H28" i="44"/>
  <c r="J28" i="44" s="1"/>
  <c r="G24" i="44"/>
  <c r="F24" i="44"/>
  <c r="E24" i="44"/>
  <c r="D24" i="44"/>
  <c r="C24" i="44"/>
  <c r="I21" i="44"/>
  <c r="H21" i="44"/>
  <c r="J21" i="44" s="1"/>
  <c r="G18" i="44"/>
  <c r="F18" i="44"/>
  <c r="E18" i="44"/>
  <c r="D18" i="44"/>
  <c r="C15" i="44"/>
  <c r="C12" i="44"/>
  <c r="C5" i="44"/>
  <c r="C3" i="44"/>
  <c r="C18" i="44" s="1"/>
  <c r="C32" i="44" s="1"/>
  <c r="L64" i="45" l="1"/>
  <c r="L66" i="45" s="1"/>
  <c r="K64" i="45"/>
  <c r="K66" i="45" s="1"/>
  <c r="J66" i="45"/>
  <c r="K61" i="45"/>
  <c r="K18" i="45"/>
  <c r="L18" i="45"/>
  <c r="I66" i="44"/>
  <c r="J5" i="44"/>
  <c r="L5" i="44" s="1"/>
  <c r="J64" i="44"/>
  <c r="L64" i="44" s="1"/>
  <c r="J17" i="44"/>
  <c r="L17" i="44" s="1"/>
  <c r="J16" i="44"/>
  <c r="L16" i="44" s="1"/>
  <c r="G32" i="44"/>
  <c r="H24" i="44"/>
  <c r="J22" i="44"/>
  <c r="L22" i="44" s="1"/>
  <c r="J14" i="44"/>
  <c r="L14" i="44" s="1"/>
  <c r="J12" i="44"/>
  <c r="L12" i="44" s="1"/>
  <c r="J11" i="44"/>
  <c r="L11" i="44" s="1"/>
  <c r="J9" i="44"/>
  <c r="L9" i="44" s="1"/>
  <c r="J7" i="44"/>
  <c r="L7" i="44" s="1"/>
  <c r="J4" i="44"/>
  <c r="L4" i="44" s="1"/>
  <c r="J60" i="44"/>
  <c r="L60" i="44" s="1"/>
  <c r="J42" i="44"/>
  <c r="L42" i="44" s="1"/>
  <c r="J50" i="44"/>
  <c r="L50" i="44" s="1"/>
  <c r="J46" i="44"/>
  <c r="L46" i="44" s="1"/>
  <c r="I61" i="44"/>
  <c r="J37" i="44"/>
  <c r="L37" i="44" s="1"/>
  <c r="J15" i="44"/>
  <c r="L15" i="44" s="1"/>
  <c r="K43" i="44"/>
  <c r="H18" i="44"/>
  <c r="J40" i="44"/>
  <c r="L40" i="44" s="1"/>
  <c r="J41" i="44"/>
  <c r="H61" i="44"/>
  <c r="J48" i="44"/>
  <c r="L48" i="44" s="1"/>
  <c r="J58" i="44"/>
  <c r="L58" i="44" s="1"/>
  <c r="J38" i="44"/>
  <c r="J45" i="44"/>
  <c r="J59" i="44"/>
  <c r="L59" i="44" s="1"/>
  <c r="I29" i="44"/>
  <c r="J23" i="44"/>
  <c r="I24" i="44"/>
  <c r="E32" i="44"/>
  <c r="D32" i="44"/>
  <c r="F32" i="44"/>
  <c r="J3" i="44"/>
  <c r="L3" i="44" s="1"/>
  <c r="J8" i="44"/>
  <c r="L8" i="44" s="1"/>
  <c r="J6" i="44"/>
  <c r="L6" i="44" s="1"/>
  <c r="J13" i="44"/>
  <c r="L13" i="44" s="1"/>
  <c r="K10" i="44"/>
  <c r="K23" i="44"/>
  <c r="J66" i="44"/>
  <c r="K64" i="44"/>
  <c r="K4" i="44"/>
  <c r="K56" i="44"/>
  <c r="K47" i="44"/>
  <c r="K49" i="44"/>
  <c r="K57" i="44"/>
  <c r="K44" i="44"/>
  <c r="K51" i="44"/>
  <c r="K65" i="44"/>
  <c r="L21" i="44"/>
  <c r="K21" i="44"/>
  <c r="L28" i="44"/>
  <c r="K28" i="44"/>
  <c r="K52" i="44"/>
  <c r="K39" i="44"/>
  <c r="K53" i="44"/>
  <c r="K54" i="44"/>
  <c r="K22" i="44"/>
  <c r="J35" i="44"/>
  <c r="L35" i="44" s="1"/>
  <c r="J69" i="44"/>
  <c r="L69" i="44" s="1"/>
  <c r="I18" i="44"/>
  <c r="K36" i="44"/>
  <c r="H66" i="44"/>
  <c r="K11" i="44"/>
  <c r="K55" i="44"/>
  <c r="I60" i="43"/>
  <c r="H60" i="43"/>
  <c r="I69" i="43"/>
  <c r="I70" i="43" s="1"/>
  <c r="H69" i="43"/>
  <c r="I65" i="43"/>
  <c r="H65" i="43"/>
  <c r="J65" i="43" s="1"/>
  <c r="L65" i="43" s="1"/>
  <c r="I64" i="43"/>
  <c r="H64" i="43"/>
  <c r="I59" i="43"/>
  <c r="H59" i="43"/>
  <c r="I58" i="43"/>
  <c r="H58" i="43"/>
  <c r="I57" i="43"/>
  <c r="H57" i="43"/>
  <c r="I56" i="43"/>
  <c r="H56" i="43"/>
  <c r="J56" i="43" s="1"/>
  <c r="L56" i="43" s="1"/>
  <c r="I55" i="43"/>
  <c r="H55" i="43"/>
  <c r="J55" i="43" s="1"/>
  <c r="L55" i="43" s="1"/>
  <c r="I54" i="43"/>
  <c r="H54" i="43"/>
  <c r="J54" i="43" s="1"/>
  <c r="L54" i="43" s="1"/>
  <c r="I53" i="43"/>
  <c r="H53" i="43"/>
  <c r="J53" i="43" s="1"/>
  <c r="L53" i="43" s="1"/>
  <c r="I52" i="43"/>
  <c r="H52" i="43"/>
  <c r="J52" i="43" s="1"/>
  <c r="L52" i="43" s="1"/>
  <c r="I51" i="43"/>
  <c r="H51" i="43"/>
  <c r="I50" i="43"/>
  <c r="H50" i="43"/>
  <c r="I49" i="43"/>
  <c r="H49" i="43"/>
  <c r="J49" i="43" s="1"/>
  <c r="L49" i="43" s="1"/>
  <c r="I48" i="43"/>
  <c r="H48" i="43"/>
  <c r="I47" i="43"/>
  <c r="H47" i="43"/>
  <c r="I46" i="43"/>
  <c r="H46" i="43"/>
  <c r="I45" i="43"/>
  <c r="H45" i="43"/>
  <c r="I44" i="43"/>
  <c r="H44" i="43"/>
  <c r="J44" i="43" s="1"/>
  <c r="L44" i="43" s="1"/>
  <c r="I43" i="43"/>
  <c r="H43" i="43"/>
  <c r="I42" i="43"/>
  <c r="H42" i="43"/>
  <c r="I41" i="43"/>
  <c r="H41" i="43"/>
  <c r="I40" i="43"/>
  <c r="H40" i="43"/>
  <c r="J40" i="43" s="1"/>
  <c r="L40" i="43" s="1"/>
  <c r="I39" i="43"/>
  <c r="H39" i="43"/>
  <c r="J39" i="43" s="1"/>
  <c r="L39" i="43" s="1"/>
  <c r="I38" i="43"/>
  <c r="H38" i="43"/>
  <c r="J38" i="43" s="1"/>
  <c r="L38" i="43" s="1"/>
  <c r="I37" i="43"/>
  <c r="H37" i="43"/>
  <c r="I36" i="43"/>
  <c r="H36" i="43"/>
  <c r="I35" i="43"/>
  <c r="H35" i="43"/>
  <c r="I27" i="43"/>
  <c r="I29" i="43" s="1"/>
  <c r="I23" i="43"/>
  <c r="H23" i="43"/>
  <c r="I22" i="43"/>
  <c r="H22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J10" i="43" s="1"/>
  <c r="L10" i="43" s="1"/>
  <c r="I9" i="43"/>
  <c r="H9" i="43"/>
  <c r="I8" i="43"/>
  <c r="H8" i="43"/>
  <c r="I7" i="43"/>
  <c r="H7" i="43"/>
  <c r="I6" i="43"/>
  <c r="H6" i="43"/>
  <c r="I5" i="43"/>
  <c r="H5" i="43"/>
  <c r="I4" i="43"/>
  <c r="H4" i="43"/>
  <c r="I3" i="43"/>
  <c r="H3" i="43"/>
  <c r="G70" i="43"/>
  <c r="F70" i="43"/>
  <c r="C70" i="43"/>
  <c r="E70" i="43"/>
  <c r="D70" i="43"/>
  <c r="G66" i="43"/>
  <c r="F66" i="43"/>
  <c r="E66" i="43"/>
  <c r="D66" i="43"/>
  <c r="C66" i="43"/>
  <c r="C59" i="43"/>
  <c r="C48" i="43"/>
  <c r="C46" i="43"/>
  <c r="C43" i="43"/>
  <c r="C42" i="43"/>
  <c r="C37" i="43"/>
  <c r="J36" i="43"/>
  <c r="L36" i="43" s="1"/>
  <c r="C36" i="43"/>
  <c r="G29" i="43"/>
  <c r="F29" i="43"/>
  <c r="E29" i="43"/>
  <c r="C29" i="43"/>
  <c r="I28" i="43"/>
  <c r="H28" i="43"/>
  <c r="J28" i="43" s="1"/>
  <c r="D29" i="43"/>
  <c r="G24" i="43"/>
  <c r="F24" i="43"/>
  <c r="E24" i="43"/>
  <c r="D24" i="43"/>
  <c r="H24" i="43" s="1"/>
  <c r="C24" i="43"/>
  <c r="I21" i="43"/>
  <c r="H21" i="43"/>
  <c r="J21" i="43" s="1"/>
  <c r="G18" i="43"/>
  <c r="F18" i="43"/>
  <c r="D18" i="43"/>
  <c r="C15" i="43"/>
  <c r="C12" i="43"/>
  <c r="E18" i="43"/>
  <c r="C5" i="43"/>
  <c r="C3" i="43"/>
  <c r="C18" i="43" s="1"/>
  <c r="C32" i="43" s="1"/>
  <c r="K41" i="44" l="1"/>
  <c r="L41" i="44"/>
  <c r="J24" i="44"/>
  <c r="L23" i="44"/>
  <c r="K15" i="44"/>
  <c r="K5" i="44"/>
  <c r="K17" i="44"/>
  <c r="K16" i="44"/>
  <c r="K24" i="44"/>
  <c r="K14" i="44"/>
  <c r="K12" i="44"/>
  <c r="K9" i="44"/>
  <c r="K8" i="44"/>
  <c r="K7" i="44"/>
  <c r="K60" i="44"/>
  <c r="K42" i="44"/>
  <c r="K50" i="44"/>
  <c r="K48" i="44"/>
  <c r="K46" i="44"/>
  <c r="K45" i="44"/>
  <c r="L45" i="44"/>
  <c r="K37" i="44"/>
  <c r="K58" i="44"/>
  <c r="K59" i="44"/>
  <c r="K38" i="44"/>
  <c r="I32" i="44"/>
  <c r="L24" i="44"/>
  <c r="K3" i="44"/>
  <c r="K40" i="44"/>
  <c r="K13" i="44"/>
  <c r="J18" i="44"/>
  <c r="K6" i="44"/>
  <c r="L18" i="44"/>
  <c r="K66" i="44"/>
  <c r="L66" i="44"/>
  <c r="J70" i="44"/>
  <c r="L70" i="44"/>
  <c r="K69" i="44"/>
  <c r="K70" i="44" s="1"/>
  <c r="J61" i="44"/>
  <c r="K35" i="44"/>
  <c r="I66" i="43"/>
  <c r="I24" i="43"/>
  <c r="G32" i="43"/>
  <c r="F32" i="43"/>
  <c r="J15" i="43"/>
  <c r="K15" i="43" s="1"/>
  <c r="J13" i="43"/>
  <c r="L13" i="43" s="1"/>
  <c r="J12" i="43"/>
  <c r="K12" i="43" s="1"/>
  <c r="J11" i="43"/>
  <c r="L11" i="43" s="1"/>
  <c r="J9" i="43"/>
  <c r="L9" i="43" s="1"/>
  <c r="J6" i="43"/>
  <c r="L6" i="43" s="1"/>
  <c r="J4" i="43"/>
  <c r="L4" i="43" s="1"/>
  <c r="J48" i="43"/>
  <c r="L48" i="43" s="1"/>
  <c r="J46" i="43"/>
  <c r="L46" i="43" s="1"/>
  <c r="J37" i="43"/>
  <c r="L37" i="43" s="1"/>
  <c r="I61" i="43"/>
  <c r="J60" i="43"/>
  <c r="L60" i="43" s="1"/>
  <c r="J22" i="43"/>
  <c r="L22" i="43" s="1"/>
  <c r="J23" i="43"/>
  <c r="L23" i="43" s="1"/>
  <c r="J41" i="43"/>
  <c r="L41" i="43" s="1"/>
  <c r="J57" i="43"/>
  <c r="L57" i="43" s="1"/>
  <c r="J8" i="43"/>
  <c r="L8" i="43" s="1"/>
  <c r="J42" i="43"/>
  <c r="L42" i="43" s="1"/>
  <c r="J50" i="43"/>
  <c r="L50" i="43" s="1"/>
  <c r="J5" i="43"/>
  <c r="L5" i="43" s="1"/>
  <c r="J43" i="43"/>
  <c r="L43" i="43" s="1"/>
  <c r="J51" i="43"/>
  <c r="L51" i="43" s="1"/>
  <c r="J59" i="43"/>
  <c r="L59" i="43" s="1"/>
  <c r="J64" i="43"/>
  <c r="J3" i="43"/>
  <c r="J45" i="43"/>
  <c r="J58" i="43"/>
  <c r="H61" i="43"/>
  <c r="J47" i="43"/>
  <c r="L47" i="43" s="1"/>
  <c r="E32" i="43"/>
  <c r="D32" i="43"/>
  <c r="J16" i="43"/>
  <c r="L16" i="43" s="1"/>
  <c r="J17" i="43"/>
  <c r="L17" i="43" s="1"/>
  <c r="I18" i="43"/>
  <c r="J7" i="43"/>
  <c r="L7" i="43" s="1"/>
  <c r="J14" i="43"/>
  <c r="L14" i="43" s="1"/>
  <c r="K40" i="43"/>
  <c r="K55" i="43"/>
  <c r="K44" i="43"/>
  <c r="K38" i="43"/>
  <c r="K53" i="43"/>
  <c r="K47" i="43"/>
  <c r="L28" i="43"/>
  <c r="K28" i="43"/>
  <c r="K52" i="43"/>
  <c r="K54" i="43"/>
  <c r="K39" i="43"/>
  <c r="K51" i="43"/>
  <c r="L21" i="43"/>
  <c r="K21" i="43"/>
  <c r="K49" i="43"/>
  <c r="K10" i="43"/>
  <c r="H18" i="43"/>
  <c r="J35" i="43"/>
  <c r="L35" i="43" s="1"/>
  <c r="K56" i="43"/>
  <c r="K65" i="43"/>
  <c r="C61" i="43"/>
  <c r="K5" i="43"/>
  <c r="K57" i="43"/>
  <c r="K36" i="43"/>
  <c r="H66" i="43"/>
  <c r="K48" i="43"/>
  <c r="E27" i="42"/>
  <c r="D27" i="42"/>
  <c r="E13" i="42"/>
  <c r="D13" i="42"/>
  <c r="E12" i="42"/>
  <c r="D12" i="42"/>
  <c r="E9" i="42"/>
  <c r="D9" i="42"/>
  <c r="E7" i="42"/>
  <c r="D7" i="42"/>
  <c r="L61" i="44" l="1"/>
  <c r="K18" i="44"/>
  <c r="K61" i="44"/>
  <c r="K23" i="43"/>
  <c r="K24" i="43" s="1"/>
  <c r="I32" i="43"/>
  <c r="K41" i="43"/>
  <c r="K16" i="43"/>
  <c r="L24" i="43"/>
  <c r="K22" i="43"/>
  <c r="J24" i="43"/>
  <c r="L15" i="43"/>
  <c r="K13" i="43"/>
  <c r="L12" i="43"/>
  <c r="K11" i="43"/>
  <c r="K9" i="43"/>
  <c r="K8" i="43"/>
  <c r="K7" i="43"/>
  <c r="K6" i="43"/>
  <c r="K4" i="43"/>
  <c r="K59" i="43"/>
  <c r="K46" i="43"/>
  <c r="K37" i="43"/>
  <c r="K60" i="43"/>
  <c r="K58" i="43"/>
  <c r="L58" i="43"/>
  <c r="J66" i="43"/>
  <c r="L64" i="43"/>
  <c r="L66" i="43" s="1"/>
  <c r="K43" i="43"/>
  <c r="K50" i="43"/>
  <c r="K45" i="43"/>
  <c r="L45" i="43"/>
  <c r="K42" i="43"/>
  <c r="K3" i="43"/>
  <c r="L3" i="43"/>
  <c r="K64" i="43"/>
  <c r="K66" i="43" s="1"/>
  <c r="K14" i="43"/>
  <c r="K17" i="43"/>
  <c r="J18" i="43"/>
  <c r="H70" i="43"/>
  <c r="J69" i="43"/>
  <c r="L69" i="43" s="1"/>
  <c r="J61" i="43"/>
  <c r="K35" i="43"/>
  <c r="C42" i="42"/>
  <c r="L18" i="43" l="1"/>
  <c r="K18" i="43"/>
  <c r="K61" i="43"/>
  <c r="L61" i="43"/>
  <c r="J70" i="43"/>
  <c r="L70" i="43"/>
  <c r="K69" i="43"/>
  <c r="K70" i="43" s="1"/>
  <c r="E68" i="42"/>
  <c r="D68" i="42"/>
  <c r="L55" i="42" l="1"/>
  <c r="L54" i="42"/>
  <c r="L53" i="42"/>
  <c r="L52" i="42"/>
  <c r="L51" i="42"/>
  <c r="L47" i="42"/>
  <c r="L43" i="42"/>
  <c r="L39" i="42"/>
  <c r="L38" i="42"/>
  <c r="L36" i="42"/>
  <c r="I68" i="42"/>
  <c r="I69" i="42" s="1"/>
  <c r="H68" i="42"/>
  <c r="H69" i="42" s="1"/>
  <c r="I64" i="42"/>
  <c r="H64" i="42"/>
  <c r="J64" i="42" s="1"/>
  <c r="L64" i="42" s="1"/>
  <c r="I63" i="42"/>
  <c r="H63" i="42"/>
  <c r="I59" i="42"/>
  <c r="H59" i="42"/>
  <c r="I58" i="42"/>
  <c r="H58" i="42"/>
  <c r="J58" i="42" s="1"/>
  <c r="L58" i="42" s="1"/>
  <c r="I57" i="42"/>
  <c r="H57" i="42"/>
  <c r="I56" i="42"/>
  <c r="H56" i="42"/>
  <c r="J56" i="42" s="1"/>
  <c r="L56" i="42" s="1"/>
  <c r="I55" i="42"/>
  <c r="H55" i="42"/>
  <c r="J55" i="42" s="1"/>
  <c r="I54" i="42"/>
  <c r="H54" i="42"/>
  <c r="I53" i="42"/>
  <c r="H53" i="42"/>
  <c r="J53" i="42" s="1"/>
  <c r="I52" i="42"/>
  <c r="H52" i="42"/>
  <c r="J52" i="42" s="1"/>
  <c r="I51" i="42"/>
  <c r="H51" i="42"/>
  <c r="I50" i="42"/>
  <c r="H50" i="42"/>
  <c r="J50" i="42" s="1"/>
  <c r="L50" i="42" s="1"/>
  <c r="I49" i="42"/>
  <c r="H49" i="42"/>
  <c r="I48" i="42"/>
  <c r="H48" i="42"/>
  <c r="I47" i="42"/>
  <c r="H47" i="42"/>
  <c r="J47" i="42" s="1"/>
  <c r="I46" i="42"/>
  <c r="H46" i="42"/>
  <c r="I45" i="42"/>
  <c r="H45" i="42"/>
  <c r="I44" i="42"/>
  <c r="H44" i="42"/>
  <c r="J44" i="42" s="1"/>
  <c r="L44" i="42" s="1"/>
  <c r="I43" i="42"/>
  <c r="H43" i="42"/>
  <c r="J43" i="42" s="1"/>
  <c r="I42" i="42"/>
  <c r="H42" i="42"/>
  <c r="I41" i="42"/>
  <c r="H41" i="42"/>
  <c r="I40" i="42"/>
  <c r="H40" i="42"/>
  <c r="J40" i="42" s="1"/>
  <c r="L40" i="42" s="1"/>
  <c r="I39" i="42"/>
  <c r="H39" i="42"/>
  <c r="I38" i="42"/>
  <c r="H38" i="42"/>
  <c r="I37" i="42"/>
  <c r="H37" i="42"/>
  <c r="I36" i="42"/>
  <c r="H36" i="42"/>
  <c r="I35" i="42"/>
  <c r="H35" i="42"/>
  <c r="I27" i="42"/>
  <c r="I23" i="42"/>
  <c r="H23" i="42"/>
  <c r="I22" i="42"/>
  <c r="H22" i="42"/>
  <c r="I17" i="42"/>
  <c r="H17" i="42"/>
  <c r="J17" i="42" s="1"/>
  <c r="L17" i="42" s="1"/>
  <c r="I16" i="42"/>
  <c r="H16" i="42"/>
  <c r="I15" i="42"/>
  <c r="H15" i="42"/>
  <c r="I14" i="42"/>
  <c r="H14" i="42"/>
  <c r="I13" i="42"/>
  <c r="H13" i="42"/>
  <c r="I12" i="42"/>
  <c r="H12" i="42"/>
  <c r="I11" i="42"/>
  <c r="H11" i="42"/>
  <c r="I10" i="42"/>
  <c r="H10" i="42"/>
  <c r="I9" i="42"/>
  <c r="H9" i="42"/>
  <c r="I8" i="42"/>
  <c r="H8" i="42"/>
  <c r="I7" i="42"/>
  <c r="H7" i="42"/>
  <c r="I6" i="42"/>
  <c r="H6" i="42"/>
  <c r="I5" i="42"/>
  <c r="H5" i="42"/>
  <c r="H3" i="42"/>
  <c r="I4" i="42"/>
  <c r="H4" i="42"/>
  <c r="I3" i="42"/>
  <c r="G69" i="42"/>
  <c r="F69" i="42"/>
  <c r="E69" i="42"/>
  <c r="D69" i="42"/>
  <c r="C69" i="42"/>
  <c r="G65" i="42"/>
  <c r="F65" i="42"/>
  <c r="C65" i="42"/>
  <c r="E65" i="42"/>
  <c r="C59" i="42"/>
  <c r="J51" i="42"/>
  <c r="C48" i="42"/>
  <c r="C46" i="42"/>
  <c r="C43" i="42"/>
  <c r="J39" i="42"/>
  <c r="K39" i="42" s="1"/>
  <c r="J38" i="42"/>
  <c r="K38" i="42" s="1"/>
  <c r="C37" i="42"/>
  <c r="J36" i="42"/>
  <c r="C36" i="42"/>
  <c r="G29" i="42"/>
  <c r="F29" i="42"/>
  <c r="E29" i="42"/>
  <c r="D29" i="42"/>
  <c r="C29" i="42"/>
  <c r="I28" i="42"/>
  <c r="H28" i="42"/>
  <c r="J28" i="42" s="1"/>
  <c r="G24" i="42"/>
  <c r="F24" i="42"/>
  <c r="E24" i="42"/>
  <c r="D24" i="42"/>
  <c r="C24" i="42"/>
  <c r="I21" i="42"/>
  <c r="H21" i="42"/>
  <c r="J21" i="42" s="1"/>
  <c r="G18" i="42"/>
  <c r="F18" i="42"/>
  <c r="C15" i="42"/>
  <c r="D18" i="42"/>
  <c r="C12" i="42"/>
  <c r="C5" i="42"/>
  <c r="C3" i="42"/>
  <c r="I65" i="42" l="1"/>
  <c r="J22" i="42"/>
  <c r="L22" i="42" s="1"/>
  <c r="J15" i="42"/>
  <c r="L15" i="42" s="1"/>
  <c r="J14" i="42"/>
  <c r="L14" i="42" s="1"/>
  <c r="J11" i="42"/>
  <c r="L11" i="42" s="1"/>
  <c r="J8" i="42"/>
  <c r="K8" i="42" s="1"/>
  <c r="J48" i="42"/>
  <c r="L48" i="42" s="1"/>
  <c r="J59" i="42"/>
  <c r="L59" i="42" s="1"/>
  <c r="J46" i="42"/>
  <c r="L46" i="42" s="1"/>
  <c r="J37" i="42"/>
  <c r="L37" i="42" s="1"/>
  <c r="J13" i="42"/>
  <c r="L13" i="42" s="1"/>
  <c r="J9" i="42"/>
  <c r="K9" i="42" s="1"/>
  <c r="J7" i="42"/>
  <c r="L7" i="42" s="1"/>
  <c r="K47" i="42"/>
  <c r="H18" i="42"/>
  <c r="J68" i="42"/>
  <c r="L68" i="42" s="1"/>
  <c r="L69" i="42" s="1"/>
  <c r="K52" i="42"/>
  <c r="K44" i="42"/>
  <c r="J42" i="42"/>
  <c r="L42" i="42" s="1"/>
  <c r="J57" i="42"/>
  <c r="L57" i="42" s="1"/>
  <c r="J41" i="42"/>
  <c r="L41" i="42" s="1"/>
  <c r="J45" i="42"/>
  <c r="L45" i="42" s="1"/>
  <c r="J54" i="42"/>
  <c r="I29" i="42"/>
  <c r="G32" i="42"/>
  <c r="D32" i="42"/>
  <c r="H24" i="42"/>
  <c r="J23" i="42"/>
  <c r="L23" i="42" s="1"/>
  <c r="K17" i="42"/>
  <c r="J6" i="42"/>
  <c r="L6" i="42" s="1"/>
  <c r="J4" i="42"/>
  <c r="J16" i="42"/>
  <c r="L16" i="42" s="1"/>
  <c r="J5" i="42"/>
  <c r="J10" i="42"/>
  <c r="L10" i="42" s="1"/>
  <c r="K50" i="42"/>
  <c r="K37" i="42"/>
  <c r="K41" i="42"/>
  <c r="L21" i="42"/>
  <c r="K21" i="42"/>
  <c r="F32" i="42"/>
  <c r="K40" i="42"/>
  <c r="C18" i="42"/>
  <c r="C32" i="42" s="1"/>
  <c r="K43" i="42"/>
  <c r="K51" i="42"/>
  <c r="K55" i="42"/>
  <c r="K58" i="42"/>
  <c r="K53" i="42"/>
  <c r="K64" i="42"/>
  <c r="J3" i="42"/>
  <c r="L3" i="42" s="1"/>
  <c r="H60" i="42"/>
  <c r="J35" i="42"/>
  <c r="L35" i="42" s="1"/>
  <c r="H65" i="42"/>
  <c r="J63" i="42"/>
  <c r="L63" i="42" s="1"/>
  <c r="E18" i="42"/>
  <c r="E32" i="42" s="1"/>
  <c r="I18" i="42"/>
  <c r="I24" i="42"/>
  <c r="I60" i="42"/>
  <c r="J49" i="42"/>
  <c r="L49" i="42" s="1"/>
  <c r="L28" i="42"/>
  <c r="K28" i="42"/>
  <c r="C60" i="42"/>
  <c r="K36" i="42"/>
  <c r="K56" i="42"/>
  <c r="D65" i="42"/>
  <c r="C3" i="41"/>
  <c r="K57" i="42" l="1"/>
  <c r="K5" i="42"/>
  <c r="L5" i="42"/>
  <c r="K16" i="42"/>
  <c r="J24" i="42"/>
  <c r="K22" i="42"/>
  <c r="K15" i="42"/>
  <c r="K14" i="42"/>
  <c r="K11" i="42"/>
  <c r="L8" i="42"/>
  <c r="K4" i="42"/>
  <c r="L4" i="42"/>
  <c r="K48" i="42"/>
  <c r="K59" i="42"/>
  <c r="K46" i="42"/>
  <c r="K13" i="42"/>
  <c r="L9" i="42"/>
  <c r="K7" i="42"/>
  <c r="J69" i="42"/>
  <c r="K68" i="42"/>
  <c r="K69" i="42" s="1"/>
  <c r="K54" i="42"/>
  <c r="K42" i="42"/>
  <c r="K45" i="42"/>
  <c r="I32" i="42"/>
  <c r="K23" i="42"/>
  <c r="J12" i="42"/>
  <c r="L12" i="42" s="1"/>
  <c r="K6" i="42"/>
  <c r="K10" i="42"/>
  <c r="K49" i="42"/>
  <c r="K35" i="42"/>
  <c r="J60" i="42"/>
  <c r="K3" i="42"/>
  <c r="L65" i="42"/>
  <c r="K63" i="42"/>
  <c r="K65" i="42" s="1"/>
  <c r="J65" i="42"/>
  <c r="L24" i="42"/>
  <c r="E63" i="41"/>
  <c r="D63" i="41"/>
  <c r="E12" i="41"/>
  <c r="D12" i="41"/>
  <c r="E37" i="41"/>
  <c r="D37" i="41"/>
  <c r="K24" i="42" l="1"/>
  <c r="L60" i="42"/>
  <c r="K60" i="42"/>
  <c r="L18" i="42"/>
  <c r="K12" i="42"/>
  <c r="K18" i="42" s="1"/>
  <c r="J18" i="42"/>
  <c r="I50" i="41"/>
  <c r="H50" i="41"/>
  <c r="J50" i="41" l="1"/>
  <c r="L50" i="41" s="1"/>
  <c r="I68" i="41"/>
  <c r="H68" i="41"/>
  <c r="H69" i="41" s="1"/>
  <c r="I64" i="41"/>
  <c r="H64" i="41"/>
  <c r="I63" i="41"/>
  <c r="H63" i="41"/>
  <c r="I59" i="41"/>
  <c r="H59" i="41"/>
  <c r="I58" i="41"/>
  <c r="J58" i="41" s="1"/>
  <c r="H58" i="41"/>
  <c r="I57" i="41"/>
  <c r="H57" i="41"/>
  <c r="I56" i="41"/>
  <c r="H56" i="41"/>
  <c r="J56" i="41" s="1"/>
  <c r="L56" i="41" s="1"/>
  <c r="I55" i="41"/>
  <c r="H55" i="41"/>
  <c r="I54" i="41"/>
  <c r="H54" i="41"/>
  <c r="I53" i="41"/>
  <c r="H53" i="41"/>
  <c r="J53" i="41" s="1"/>
  <c r="L53" i="41" s="1"/>
  <c r="I52" i="41"/>
  <c r="J52" i="41" s="1"/>
  <c r="K52" i="41" s="1"/>
  <c r="H52" i="41"/>
  <c r="I51" i="41"/>
  <c r="H51" i="41"/>
  <c r="I49" i="41"/>
  <c r="H49" i="41"/>
  <c r="J49" i="41" s="1"/>
  <c r="L49" i="41" s="1"/>
  <c r="I48" i="41"/>
  <c r="J48" i="41" s="1"/>
  <c r="L48" i="41" s="1"/>
  <c r="H48" i="41"/>
  <c r="I47" i="41"/>
  <c r="H47" i="41"/>
  <c r="I46" i="41"/>
  <c r="H46" i="41"/>
  <c r="I45" i="41"/>
  <c r="H45" i="41"/>
  <c r="I44" i="41"/>
  <c r="H44" i="41"/>
  <c r="J44" i="41" s="1"/>
  <c r="L44" i="41" s="1"/>
  <c r="I43" i="41"/>
  <c r="H43" i="41"/>
  <c r="J43" i="41" s="1"/>
  <c r="L43" i="41" s="1"/>
  <c r="I42" i="41"/>
  <c r="H42" i="41"/>
  <c r="I41" i="41"/>
  <c r="H41" i="41"/>
  <c r="J41" i="41" s="1"/>
  <c r="L41" i="41" s="1"/>
  <c r="I40" i="41"/>
  <c r="H40" i="41"/>
  <c r="J40" i="41" s="1"/>
  <c r="L40" i="41" s="1"/>
  <c r="I39" i="41"/>
  <c r="J39" i="41" s="1"/>
  <c r="L39" i="41" s="1"/>
  <c r="H39" i="41"/>
  <c r="I38" i="41"/>
  <c r="H38" i="41"/>
  <c r="I37" i="41"/>
  <c r="H37" i="41"/>
  <c r="I36" i="41"/>
  <c r="H36" i="41"/>
  <c r="I35" i="41"/>
  <c r="H35" i="41"/>
  <c r="I27" i="41"/>
  <c r="I23" i="41"/>
  <c r="H23" i="41"/>
  <c r="I22" i="41"/>
  <c r="H22" i="41"/>
  <c r="J22" i="41" s="1"/>
  <c r="L22" i="41" s="1"/>
  <c r="I17" i="41"/>
  <c r="H17" i="41"/>
  <c r="J17" i="41" s="1"/>
  <c r="L17" i="41" s="1"/>
  <c r="I16" i="41"/>
  <c r="H16" i="41"/>
  <c r="I15" i="41"/>
  <c r="H15" i="41"/>
  <c r="I14" i="41"/>
  <c r="H14" i="41"/>
  <c r="I13" i="41"/>
  <c r="H13" i="41"/>
  <c r="I12" i="41"/>
  <c r="H12" i="41"/>
  <c r="I11" i="41"/>
  <c r="H11" i="41"/>
  <c r="I10" i="41"/>
  <c r="H10" i="41"/>
  <c r="I9" i="41"/>
  <c r="H9" i="41"/>
  <c r="I8" i="41"/>
  <c r="H8" i="41"/>
  <c r="I7" i="41"/>
  <c r="H7" i="41"/>
  <c r="I6" i="41"/>
  <c r="H6" i="41"/>
  <c r="I5" i="41"/>
  <c r="H5" i="41"/>
  <c r="I4" i="41"/>
  <c r="J4" i="41" s="1"/>
  <c r="I3" i="41"/>
  <c r="H3" i="41"/>
  <c r="H4" i="41"/>
  <c r="I69" i="41"/>
  <c r="G69" i="41"/>
  <c r="F69" i="41"/>
  <c r="E69" i="41"/>
  <c r="D69" i="41"/>
  <c r="C69" i="41"/>
  <c r="J68" i="41"/>
  <c r="J69" i="41" s="1"/>
  <c r="G65" i="41"/>
  <c r="F65" i="41"/>
  <c r="E65" i="41"/>
  <c r="D65" i="41"/>
  <c r="C65" i="41"/>
  <c r="C59" i="41"/>
  <c r="C48" i="41"/>
  <c r="C46" i="41"/>
  <c r="C43" i="41"/>
  <c r="C37" i="41"/>
  <c r="C36" i="41"/>
  <c r="G29" i="41"/>
  <c r="F29" i="41"/>
  <c r="E29" i="41"/>
  <c r="D29" i="41"/>
  <c r="C29" i="41"/>
  <c r="I28" i="41"/>
  <c r="H28" i="41"/>
  <c r="G24" i="41"/>
  <c r="F24" i="41"/>
  <c r="E24" i="41"/>
  <c r="D24" i="41"/>
  <c r="C24" i="41"/>
  <c r="I21" i="41"/>
  <c r="H21" i="41"/>
  <c r="G18" i="41"/>
  <c r="F18" i="41"/>
  <c r="E18" i="41"/>
  <c r="D18" i="41"/>
  <c r="C15" i="41"/>
  <c r="C12" i="41"/>
  <c r="C5" i="41"/>
  <c r="K50" i="41" l="1"/>
  <c r="J64" i="41"/>
  <c r="L64" i="41" s="1"/>
  <c r="I24" i="41"/>
  <c r="J14" i="41"/>
  <c r="L14" i="41" s="1"/>
  <c r="J10" i="41"/>
  <c r="L10" i="41" s="1"/>
  <c r="J9" i="41"/>
  <c r="K9" i="41" s="1"/>
  <c r="J8" i="41"/>
  <c r="L8" i="41" s="1"/>
  <c r="J7" i="41"/>
  <c r="L7" i="41" s="1"/>
  <c r="J59" i="41"/>
  <c r="L59" i="41" s="1"/>
  <c r="J28" i="41"/>
  <c r="J55" i="41"/>
  <c r="L55" i="41" s="1"/>
  <c r="J12" i="41"/>
  <c r="L12" i="41" s="1"/>
  <c r="K4" i="41"/>
  <c r="L4" i="41"/>
  <c r="K58" i="41"/>
  <c r="L58" i="41"/>
  <c r="J23" i="41"/>
  <c r="L23" i="41" s="1"/>
  <c r="L52" i="41"/>
  <c r="L68" i="41"/>
  <c r="L69" i="41" s="1"/>
  <c r="J51" i="41"/>
  <c r="L51" i="41" s="1"/>
  <c r="J57" i="41"/>
  <c r="L57" i="41" s="1"/>
  <c r="K43" i="41"/>
  <c r="K59" i="41"/>
  <c r="K10" i="41"/>
  <c r="K68" i="41"/>
  <c r="K69" i="41" s="1"/>
  <c r="I65" i="41"/>
  <c r="K41" i="41"/>
  <c r="J36" i="41"/>
  <c r="L36" i="41" s="1"/>
  <c r="J42" i="41"/>
  <c r="L42" i="41" s="1"/>
  <c r="J45" i="41"/>
  <c r="L45" i="41" s="1"/>
  <c r="J47" i="41"/>
  <c r="K49" i="41"/>
  <c r="J37" i="41"/>
  <c r="L37" i="41" s="1"/>
  <c r="J46" i="41"/>
  <c r="I29" i="41"/>
  <c r="F32" i="41"/>
  <c r="G32" i="41"/>
  <c r="H24" i="41"/>
  <c r="K17" i="41"/>
  <c r="J16" i="41"/>
  <c r="J3" i="41"/>
  <c r="L3" i="41" s="1"/>
  <c r="J6" i="41"/>
  <c r="J11" i="41"/>
  <c r="J15" i="41"/>
  <c r="L15" i="41" s="1"/>
  <c r="K39" i="41"/>
  <c r="I18" i="41"/>
  <c r="E32" i="41"/>
  <c r="I60" i="41"/>
  <c r="K40" i="41"/>
  <c r="H65" i="41"/>
  <c r="J63" i="41"/>
  <c r="L63" i="41" s="1"/>
  <c r="J13" i="41"/>
  <c r="L13" i="41" s="1"/>
  <c r="D32" i="41"/>
  <c r="J21" i="41"/>
  <c r="J54" i="41"/>
  <c r="L54" i="41" s="1"/>
  <c r="H18" i="41"/>
  <c r="K53" i="41"/>
  <c r="C18" i="41"/>
  <c r="C32" i="41" s="1"/>
  <c r="L28" i="41"/>
  <c r="K28" i="41"/>
  <c r="K64" i="41"/>
  <c r="J5" i="41"/>
  <c r="L5" i="41" s="1"/>
  <c r="K44" i="41"/>
  <c r="K56" i="41"/>
  <c r="K22" i="41"/>
  <c r="J35" i="41"/>
  <c r="L35" i="41" s="1"/>
  <c r="H60" i="41"/>
  <c r="K55" i="41"/>
  <c r="J38" i="41"/>
  <c r="L38" i="41" s="1"/>
  <c r="K48" i="41"/>
  <c r="C60" i="41"/>
  <c r="C36" i="40"/>
  <c r="C37" i="40"/>
  <c r="K14" i="41" l="1"/>
  <c r="L9" i="41"/>
  <c r="K8" i="41"/>
  <c r="K7" i="41"/>
  <c r="K23" i="41"/>
  <c r="K37" i="41"/>
  <c r="K57" i="41"/>
  <c r="K12" i="41"/>
  <c r="K16" i="41"/>
  <c r="L16" i="41"/>
  <c r="L18" i="41" s="1"/>
  <c r="K46" i="41"/>
  <c r="L46" i="41"/>
  <c r="K3" i="41"/>
  <c r="K11" i="41"/>
  <c r="L11" i="41"/>
  <c r="K47" i="41"/>
  <c r="L47" i="41"/>
  <c r="K42" i="41"/>
  <c r="K15" i="41"/>
  <c r="K6" i="41"/>
  <c r="L6" i="41"/>
  <c r="K51" i="41"/>
  <c r="K45" i="41"/>
  <c r="I32" i="41"/>
  <c r="K36" i="41"/>
  <c r="J60" i="41"/>
  <c r="K35" i="41"/>
  <c r="K54" i="41"/>
  <c r="J18" i="41"/>
  <c r="K5" i="41"/>
  <c r="J24" i="41"/>
  <c r="L21" i="41"/>
  <c r="L24" i="41" s="1"/>
  <c r="K21" i="41"/>
  <c r="L65" i="41"/>
  <c r="K63" i="41"/>
  <c r="K65" i="41" s="1"/>
  <c r="J65" i="41"/>
  <c r="K13" i="41"/>
  <c r="K38" i="41"/>
  <c r="C46" i="40"/>
  <c r="L55" i="40"/>
  <c r="L54" i="40"/>
  <c r="L53" i="40"/>
  <c r="L52" i="40"/>
  <c r="L51" i="40"/>
  <c r="L50" i="40"/>
  <c r="L47" i="40"/>
  <c r="L43" i="40"/>
  <c r="L39" i="40"/>
  <c r="L38" i="40"/>
  <c r="L8" i="40"/>
  <c r="I67" i="40"/>
  <c r="I68" i="40" s="1"/>
  <c r="H67" i="40"/>
  <c r="H68" i="40"/>
  <c r="I63" i="40"/>
  <c r="H63" i="40"/>
  <c r="I62" i="40"/>
  <c r="H62" i="40"/>
  <c r="I58" i="40"/>
  <c r="H58" i="40"/>
  <c r="J58" i="40" s="1"/>
  <c r="L58" i="40" s="1"/>
  <c r="I57" i="40"/>
  <c r="J57" i="40" s="1"/>
  <c r="L57" i="40" s="1"/>
  <c r="H57" i="40"/>
  <c r="I56" i="40"/>
  <c r="H56" i="40"/>
  <c r="I55" i="40"/>
  <c r="H55" i="40"/>
  <c r="I54" i="40"/>
  <c r="H54" i="40"/>
  <c r="I53" i="40"/>
  <c r="H53" i="40"/>
  <c r="J53" i="40" s="1"/>
  <c r="I52" i="40"/>
  <c r="H52" i="40"/>
  <c r="J52" i="40" s="1"/>
  <c r="I51" i="40"/>
  <c r="H51" i="40"/>
  <c r="I50" i="40"/>
  <c r="H50" i="40"/>
  <c r="I49" i="40"/>
  <c r="H49" i="40"/>
  <c r="I48" i="40"/>
  <c r="J48" i="40" s="1"/>
  <c r="L48" i="40" s="1"/>
  <c r="H48" i="40"/>
  <c r="I47" i="40"/>
  <c r="H47" i="40"/>
  <c r="I46" i="40"/>
  <c r="H46" i="40"/>
  <c r="J46" i="40" s="1"/>
  <c r="L46" i="40" s="1"/>
  <c r="I45" i="40"/>
  <c r="H45" i="40"/>
  <c r="J45" i="40" s="1"/>
  <c r="L45" i="40" s="1"/>
  <c r="I44" i="40"/>
  <c r="H44" i="40"/>
  <c r="J44" i="40" s="1"/>
  <c r="L44" i="40" s="1"/>
  <c r="I43" i="40"/>
  <c r="H43" i="40"/>
  <c r="J43" i="40" s="1"/>
  <c r="I42" i="40"/>
  <c r="H42" i="40"/>
  <c r="I41" i="40"/>
  <c r="H41" i="40"/>
  <c r="J41" i="40" s="1"/>
  <c r="L41" i="40" s="1"/>
  <c r="I40" i="40"/>
  <c r="H40" i="40"/>
  <c r="I39" i="40"/>
  <c r="H39" i="40"/>
  <c r="I38" i="40"/>
  <c r="H38" i="40"/>
  <c r="I37" i="40"/>
  <c r="H37" i="40"/>
  <c r="J37" i="40" s="1"/>
  <c r="L37" i="40" s="1"/>
  <c r="I36" i="40"/>
  <c r="H36" i="40"/>
  <c r="J36" i="40" s="1"/>
  <c r="L36" i="40" s="1"/>
  <c r="I35" i="40"/>
  <c r="H35" i="40"/>
  <c r="I27" i="40"/>
  <c r="I23" i="40"/>
  <c r="H23" i="40"/>
  <c r="I22" i="40"/>
  <c r="H22" i="40"/>
  <c r="I17" i="40"/>
  <c r="H17" i="40"/>
  <c r="I16" i="40"/>
  <c r="H16" i="40"/>
  <c r="I15" i="40"/>
  <c r="H15" i="40"/>
  <c r="I14" i="40"/>
  <c r="H14" i="40"/>
  <c r="J14" i="40" s="1"/>
  <c r="L14" i="40" s="1"/>
  <c r="I13" i="40"/>
  <c r="H13" i="40"/>
  <c r="I12" i="40"/>
  <c r="H12" i="40"/>
  <c r="I11" i="40"/>
  <c r="H11" i="40"/>
  <c r="I10" i="40"/>
  <c r="H10" i="40"/>
  <c r="I9" i="40"/>
  <c r="H9" i="40"/>
  <c r="I8" i="40"/>
  <c r="H8" i="40"/>
  <c r="J8" i="40" s="1"/>
  <c r="I7" i="40"/>
  <c r="H7" i="40"/>
  <c r="I6" i="40"/>
  <c r="H6" i="40"/>
  <c r="I5" i="40"/>
  <c r="H5" i="40"/>
  <c r="I4" i="40"/>
  <c r="H4" i="40"/>
  <c r="I3" i="40"/>
  <c r="H3" i="40"/>
  <c r="G68" i="40"/>
  <c r="F68" i="40"/>
  <c r="E68" i="40"/>
  <c r="D68" i="40"/>
  <c r="C68" i="40"/>
  <c r="G64" i="40"/>
  <c r="F64" i="40"/>
  <c r="E64" i="40"/>
  <c r="D64" i="40"/>
  <c r="C64" i="40"/>
  <c r="C58" i="40"/>
  <c r="J56" i="40"/>
  <c r="L56" i="40" s="1"/>
  <c r="J51" i="40"/>
  <c r="J50" i="40"/>
  <c r="C48" i="40"/>
  <c r="C43" i="40"/>
  <c r="C59" i="40" s="1"/>
  <c r="J42" i="40"/>
  <c r="L42" i="40" s="1"/>
  <c r="J39" i="40"/>
  <c r="J38" i="40"/>
  <c r="G29" i="40"/>
  <c r="F29" i="40"/>
  <c r="E29" i="40"/>
  <c r="D29" i="40"/>
  <c r="C29" i="40"/>
  <c r="I28" i="40"/>
  <c r="H28" i="40"/>
  <c r="J28" i="40" s="1"/>
  <c r="G24" i="40"/>
  <c r="F24" i="40"/>
  <c r="E24" i="40"/>
  <c r="I24" i="40" s="1"/>
  <c r="D24" i="40"/>
  <c r="C24" i="40"/>
  <c r="I21" i="40"/>
  <c r="H21" i="40"/>
  <c r="J21" i="40" s="1"/>
  <c r="G18" i="40"/>
  <c r="F18" i="40"/>
  <c r="E18" i="40"/>
  <c r="D18" i="40"/>
  <c r="C15" i="40"/>
  <c r="C12" i="40"/>
  <c r="C5" i="40"/>
  <c r="C18" i="40" s="1"/>
  <c r="C32" i="40" s="1"/>
  <c r="K24" i="41" l="1"/>
  <c r="K60" i="41"/>
  <c r="K18" i="41"/>
  <c r="L60" i="41"/>
  <c r="I64" i="40"/>
  <c r="H64" i="40"/>
  <c r="K48" i="40"/>
  <c r="J22" i="40"/>
  <c r="L22" i="40" s="1"/>
  <c r="J5" i="40"/>
  <c r="L5" i="40" s="1"/>
  <c r="J16" i="40"/>
  <c r="L16" i="40" s="1"/>
  <c r="J17" i="40"/>
  <c r="L17" i="40" s="1"/>
  <c r="J15" i="40"/>
  <c r="L15" i="40" s="1"/>
  <c r="H24" i="40"/>
  <c r="J11" i="40"/>
  <c r="K11" i="40" s="1"/>
  <c r="J10" i="40"/>
  <c r="L10" i="40" s="1"/>
  <c r="J9" i="40"/>
  <c r="K9" i="40" s="1"/>
  <c r="J4" i="40"/>
  <c r="L4" i="40" s="1"/>
  <c r="J3" i="40"/>
  <c r="L3" i="40" s="1"/>
  <c r="J67" i="40"/>
  <c r="L67" i="40" s="1"/>
  <c r="J62" i="40"/>
  <c r="L62" i="40" s="1"/>
  <c r="J63" i="40"/>
  <c r="L63" i="40" s="1"/>
  <c r="K37" i="40"/>
  <c r="K44" i="40"/>
  <c r="K52" i="40"/>
  <c r="H59" i="40"/>
  <c r="I59" i="40"/>
  <c r="J55" i="40"/>
  <c r="J35" i="40"/>
  <c r="L35" i="40" s="1"/>
  <c r="J40" i="40"/>
  <c r="L40" i="40" s="1"/>
  <c r="J47" i="40"/>
  <c r="K47" i="40" s="1"/>
  <c r="J49" i="40"/>
  <c r="L49" i="40" s="1"/>
  <c r="J54" i="40"/>
  <c r="K54" i="40" s="1"/>
  <c r="D32" i="40"/>
  <c r="E32" i="40"/>
  <c r="F32" i="40"/>
  <c r="I29" i="40"/>
  <c r="K22" i="40"/>
  <c r="J23" i="40"/>
  <c r="K14" i="40"/>
  <c r="J6" i="40"/>
  <c r="L6" i="40" s="1"/>
  <c r="J13" i="40"/>
  <c r="L13" i="40" s="1"/>
  <c r="G32" i="40"/>
  <c r="H18" i="40"/>
  <c r="J12" i="40"/>
  <c r="L12" i="40" s="1"/>
  <c r="K8" i="40"/>
  <c r="K36" i="40"/>
  <c r="K38" i="40"/>
  <c r="K43" i="40"/>
  <c r="K45" i="40"/>
  <c r="K57" i="40"/>
  <c r="K3" i="40"/>
  <c r="K28" i="40"/>
  <c r="L28" i="40"/>
  <c r="K39" i="40"/>
  <c r="I18" i="40"/>
  <c r="K21" i="40"/>
  <c r="L21" i="40"/>
  <c r="K42" i="40"/>
  <c r="K51" i="40"/>
  <c r="K53" i="40"/>
  <c r="K58" i="40"/>
  <c r="K10" i="40"/>
  <c r="K41" i="40"/>
  <c r="K50" i="40"/>
  <c r="K56" i="40"/>
  <c r="J7" i="40"/>
  <c r="L7" i="40" s="1"/>
  <c r="K46" i="40"/>
  <c r="E12" i="39"/>
  <c r="D12" i="39"/>
  <c r="J64" i="40" l="1"/>
  <c r="K49" i="40"/>
  <c r="K40" i="40"/>
  <c r="K5" i="40"/>
  <c r="K16" i="40"/>
  <c r="K17" i="40"/>
  <c r="K15" i="40"/>
  <c r="J24" i="40"/>
  <c r="L23" i="40"/>
  <c r="L24" i="40" s="1"/>
  <c r="K13" i="40"/>
  <c r="K12" i="40"/>
  <c r="L11" i="40"/>
  <c r="L18" i="40" s="1"/>
  <c r="L9" i="40"/>
  <c r="K6" i="40"/>
  <c r="K4" i="40"/>
  <c r="K63" i="40"/>
  <c r="J59" i="40"/>
  <c r="I32" i="40"/>
  <c r="J18" i="40"/>
  <c r="L68" i="40"/>
  <c r="J68" i="40"/>
  <c r="K67" i="40"/>
  <c r="K68" i="40" s="1"/>
  <c r="K62" i="40"/>
  <c r="L64" i="40"/>
  <c r="K35" i="40"/>
  <c r="K59" i="40" s="1"/>
  <c r="K55" i="40"/>
  <c r="K23" i="40"/>
  <c r="K24" i="40" s="1"/>
  <c r="K7" i="40"/>
  <c r="L59" i="40"/>
  <c r="L55" i="39"/>
  <c r="L54" i="39"/>
  <c r="L53" i="39"/>
  <c r="L52" i="39"/>
  <c r="L51" i="39"/>
  <c r="L50" i="39"/>
  <c r="L47" i="39"/>
  <c r="L39" i="39"/>
  <c r="L38" i="39"/>
  <c r="I67" i="39"/>
  <c r="I68" i="39" s="1"/>
  <c r="H67" i="39"/>
  <c r="H68" i="39" s="1"/>
  <c r="I63" i="39"/>
  <c r="H63" i="39"/>
  <c r="I62" i="39"/>
  <c r="H62" i="39"/>
  <c r="I58" i="39"/>
  <c r="H58" i="39"/>
  <c r="I57" i="39"/>
  <c r="H57" i="39"/>
  <c r="I56" i="39"/>
  <c r="H56" i="39"/>
  <c r="I55" i="39"/>
  <c r="H55" i="39"/>
  <c r="I54" i="39"/>
  <c r="H54" i="39"/>
  <c r="I53" i="39"/>
  <c r="H53" i="39"/>
  <c r="I52" i="39"/>
  <c r="H52" i="39"/>
  <c r="J52" i="39" s="1"/>
  <c r="I51" i="39"/>
  <c r="H51" i="39"/>
  <c r="I50" i="39"/>
  <c r="H50" i="39"/>
  <c r="I49" i="39"/>
  <c r="H49" i="39"/>
  <c r="I48" i="39"/>
  <c r="H48" i="39"/>
  <c r="I47" i="39"/>
  <c r="H47" i="39"/>
  <c r="J47" i="39" s="1"/>
  <c r="I46" i="39"/>
  <c r="H46" i="39"/>
  <c r="I45" i="39"/>
  <c r="H45" i="39"/>
  <c r="I44" i="39"/>
  <c r="H44" i="39"/>
  <c r="I43" i="39"/>
  <c r="H43" i="39"/>
  <c r="I42" i="39"/>
  <c r="H42" i="39"/>
  <c r="J42" i="39" s="1"/>
  <c r="L42" i="39" s="1"/>
  <c r="I41" i="39"/>
  <c r="H41" i="39"/>
  <c r="I40" i="39"/>
  <c r="H40" i="39"/>
  <c r="I39" i="39"/>
  <c r="H39" i="39"/>
  <c r="I38" i="39"/>
  <c r="H38" i="39"/>
  <c r="J38" i="39" s="1"/>
  <c r="I37" i="39"/>
  <c r="H37" i="39"/>
  <c r="I36" i="39"/>
  <c r="J36" i="39" s="1"/>
  <c r="L36" i="39" s="1"/>
  <c r="H36" i="39"/>
  <c r="I35" i="39"/>
  <c r="H35" i="39"/>
  <c r="I27" i="39"/>
  <c r="I29" i="39" s="1"/>
  <c r="I23" i="39"/>
  <c r="H23" i="39"/>
  <c r="I22" i="39"/>
  <c r="H22" i="39"/>
  <c r="I17" i="39"/>
  <c r="H17" i="39"/>
  <c r="I16" i="39"/>
  <c r="H16" i="39"/>
  <c r="I15" i="39"/>
  <c r="H15" i="39"/>
  <c r="I14" i="39"/>
  <c r="H14" i="39"/>
  <c r="I13" i="39"/>
  <c r="H13" i="39"/>
  <c r="I12" i="39"/>
  <c r="H12" i="39"/>
  <c r="I11" i="39"/>
  <c r="H11" i="39"/>
  <c r="I10" i="39"/>
  <c r="H10" i="39"/>
  <c r="I9" i="39"/>
  <c r="H9" i="39"/>
  <c r="I8" i="39"/>
  <c r="H8" i="39"/>
  <c r="I7" i="39"/>
  <c r="H7" i="39"/>
  <c r="I6" i="39"/>
  <c r="H6" i="39"/>
  <c r="I5" i="39"/>
  <c r="H5" i="39"/>
  <c r="J5" i="39" s="1"/>
  <c r="L5" i="39" s="1"/>
  <c r="I4" i="39"/>
  <c r="H4" i="39"/>
  <c r="I3" i="39"/>
  <c r="H3" i="39"/>
  <c r="G68" i="39"/>
  <c r="F68" i="39"/>
  <c r="E68" i="39"/>
  <c r="D68" i="39"/>
  <c r="C68" i="39"/>
  <c r="G64" i="39"/>
  <c r="F64" i="39"/>
  <c r="E64" i="39"/>
  <c r="D64" i="39"/>
  <c r="C64" i="39"/>
  <c r="C58" i="39"/>
  <c r="J54" i="39"/>
  <c r="J51" i="39"/>
  <c r="J50" i="39"/>
  <c r="C48" i="39"/>
  <c r="C46" i="39"/>
  <c r="C43" i="39"/>
  <c r="J39" i="39"/>
  <c r="G29" i="39"/>
  <c r="F29" i="39"/>
  <c r="E29" i="39"/>
  <c r="D29" i="39"/>
  <c r="C29" i="39"/>
  <c r="I28" i="39"/>
  <c r="H28" i="39"/>
  <c r="J28" i="39" s="1"/>
  <c r="G24" i="39"/>
  <c r="F24" i="39"/>
  <c r="E24" i="39"/>
  <c r="D24" i="39"/>
  <c r="C24" i="39"/>
  <c r="I21" i="39"/>
  <c r="H21" i="39"/>
  <c r="J21" i="39" s="1"/>
  <c r="G18" i="39"/>
  <c r="F18" i="39"/>
  <c r="C15" i="39"/>
  <c r="C12" i="39"/>
  <c r="E18" i="39"/>
  <c r="D18" i="39"/>
  <c r="C5" i="39"/>
  <c r="C18" i="39" s="1"/>
  <c r="C32" i="39" s="1"/>
  <c r="K64" i="40" l="1"/>
  <c r="K18" i="40"/>
  <c r="H64" i="39"/>
  <c r="I64" i="39"/>
  <c r="J63" i="39"/>
  <c r="L63" i="39" s="1"/>
  <c r="J57" i="39"/>
  <c r="L57" i="39" s="1"/>
  <c r="J56" i="39"/>
  <c r="L56" i="39" s="1"/>
  <c r="J49" i="39"/>
  <c r="L49" i="39" s="1"/>
  <c r="J44" i="39"/>
  <c r="L44" i="39" s="1"/>
  <c r="J22" i="39"/>
  <c r="L22" i="39" s="1"/>
  <c r="J17" i="39"/>
  <c r="L17" i="39" s="1"/>
  <c r="J16" i="39"/>
  <c r="L16" i="39" s="1"/>
  <c r="J15" i="39"/>
  <c r="L15" i="39" s="1"/>
  <c r="J23" i="39"/>
  <c r="L23" i="39" s="1"/>
  <c r="H24" i="39"/>
  <c r="F32" i="39"/>
  <c r="J14" i="39"/>
  <c r="L14" i="39" s="1"/>
  <c r="J11" i="39"/>
  <c r="L11" i="39" s="1"/>
  <c r="J9" i="39"/>
  <c r="L9" i="39" s="1"/>
  <c r="J7" i="39"/>
  <c r="L7" i="39" s="1"/>
  <c r="J6" i="39"/>
  <c r="L6" i="39" s="1"/>
  <c r="J4" i="39"/>
  <c r="L4" i="39" s="1"/>
  <c r="J48" i="39"/>
  <c r="L48" i="39" s="1"/>
  <c r="J58" i="39"/>
  <c r="L58" i="39" s="1"/>
  <c r="H59" i="39"/>
  <c r="J43" i="39"/>
  <c r="L43" i="39" s="1"/>
  <c r="J37" i="39"/>
  <c r="L37" i="39" s="1"/>
  <c r="J67" i="39"/>
  <c r="L67" i="39" s="1"/>
  <c r="J35" i="39"/>
  <c r="L35" i="39" s="1"/>
  <c r="J53" i="39"/>
  <c r="J41" i="39"/>
  <c r="L41" i="39" s="1"/>
  <c r="J46" i="39"/>
  <c r="L46" i="39" s="1"/>
  <c r="J40" i="39"/>
  <c r="L40" i="39" s="1"/>
  <c r="J45" i="39"/>
  <c r="J55" i="39"/>
  <c r="K58" i="39"/>
  <c r="D32" i="39"/>
  <c r="E32" i="39"/>
  <c r="G32" i="39"/>
  <c r="I24" i="39"/>
  <c r="H18" i="39"/>
  <c r="I18" i="39"/>
  <c r="J12" i="39"/>
  <c r="L12" i="39" s="1"/>
  <c r="J3" i="39"/>
  <c r="L3" i="39" s="1"/>
  <c r="J8" i="39"/>
  <c r="L8" i="39" s="1"/>
  <c r="J10" i="39"/>
  <c r="J13" i="39"/>
  <c r="L13" i="39" s="1"/>
  <c r="K11" i="39"/>
  <c r="K16" i="39"/>
  <c r="K36" i="39"/>
  <c r="K51" i="39"/>
  <c r="K28" i="39"/>
  <c r="L28" i="39"/>
  <c r="K52" i="39"/>
  <c r="K50" i="39"/>
  <c r="K9" i="39"/>
  <c r="K21" i="39"/>
  <c r="L21" i="39"/>
  <c r="K42" i="39"/>
  <c r="K57" i="39"/>
  <c r="K6" i="39"/>
  <c r="K38" i="39"/>
  <c r="K4" i="39"/>
  <c r="K53" i="39"/>
  <c r="K5" i="39"/>
  <c r="K17" i="39"/>
  <c r="K39" i="39"/>
  <c r="K47" i="39"/>
  <c r="K54" i="39"/>
  <c r="I59" i="39"/>
  <c r="J62" i="39"/>
  <c r="L62" i="39" s="1"/>
  <c r="C59" i="39"/>
  <c r="C58" i="38"/>
  <c r="K63" i="39" l="1"/>
  <c r="K56" i="39"/>
  <c r="K49" i="39"/>
  <c r="K44" i="39"/>
  <c r="K22" i="39"/>
  <c r="J24" i="39"/>
  <c r="K10" i="39"/>
  <c r="L10" i="39"/>
  <c r="K15" i="39"/>
  <c r="I32" i="39"/>
  <c r="K23" i="39"/>
  <c r="K24" i="39" s="1"/>
  <c r="K35" i="39"/>
  <c r="K14" i="39"/>
  <c r="K13" i="39"/>
  <c r="K7" i="39"/>
  <c r="K45" i="39"/>
  <c r="L45" i="39"/>
  <c r="L59" i="39" s="1"/>
  <c r="K48" i="39"/>
  <c r="K43" i="39"/>
  <c r="K40" i="39"/>
  <c r="K37" i="39"/>
  <c r="J59" i="39"/>
  <c r="J18" i="39"/>
  <c r="K8" i="39"/>
  <c r="J68" i="39"/>
  <c r="L68" i="39"/>
  <c r="K67" i="39"/>
  <c r="K68" i="39" s="1"/>
  <c r="K55" i="39"/>
  <c r="K41" i="39"/>
  <c r="K46" i="39"/>
  <c r="K12" i="39"/>
  <c r="K3" i="39"/>
  <c r="L64" i="39"/>
  <c r="K62" i="39"/>
  <c r="J64" i="39"/>
  <c r="L24" i="39"/>
  <c r="E12" i="38"/>
  <c r="D12" i="38"/>
  <c r="E11" i="38"/>
  <c r="D11" i="38"/>
  <c r="E9" i="38"/>
  <c r="D9" i="38"/>
  <c r="K64" i="39" l="1"/>
  <c r="K59" i="39"/>
  <c r="L18" i="39"/>
  <c r="K18" i="39"/>
  <c r="C48" i="38"/>
  <c r="I67" i="38" l="1"/>
  <c r="I68" i="38" s="1"/>
  <c r="H67" i="38"/>
  <c r="I63" i="38"/>
  <c r="H63" i="38"/>
  <c r="I62" i="38"/>
  <c r="H62" i="38"/>
  <c r="I58" i="38"/>
  <c r="H58" i="38"/>
  <c r="I57" i="38"/>
  <c r="H57" i="38"/>
  <c r="I56" i="38"/>
  <c r="H56" i="38"/>
  <c r="I55" i="38"/>
  <c r="H55" i="38"/>
  <c r="I54" i="38"/>
  <c r="J54" i="38" s="1"/>
  <c r="L54" i="38" s="1"/>
  <c r="H54" i="38"/>
  <c r="I53" i="38"/>
  <c r="H53" i="38"/>
  <c r="I52" i="38"/>
  <c r="H52" i="38"/>
  <c r="I51" i="38"/>
  <c r="J51" i="38" s="1"/>
  <c r="L51" i="38" s="1"/>
  <c r="H51" i="38"/>
  <c r="I50" i="38"/>
  <c r="H50" i="38"/>
  <c r="I49" i="38"/>
  <c r="H49" i="38"/>
  <c r="I48" i="38"/>
  <c r="H48" i="38"/>
  <c r="I47" i="38"/>
  <c r="H47" i="38"/>
  <c r="I46" i="38"/>
  <c r="H46" i="38"/>
  <c r="I45" i="38"/>
  <c r="H45" i="38"/>
  <c r="I44" i="38"/>
  <c r="H44" i="38"/>
  <c r="I43" i="38"/>
  <c r="H43" i="38"/>
  <c r="I42" i="38"/>
  <c r="J42" i="38" s="1"/>
  <c r="L42" i="38" s="1"/>
  <c r="H42" i="38"/>
  <c r="I41" i="38"/>
  <c r="H41" i="38"/>
  <c r="I40" i="38"/>
  <c r="H40" i="38"/>
  <c r="I39" i="38"/>
  <c r="J39" i="38" s="1"/>
  <c r="L39" i="38" s="1"/>
  <c r="H39" i="38"/>
  <c r="I38" i="38"/>
  <c r="H38" i="38"/>
  <c r="I37" i="38"/>
  <c r="H37" i="38"/>
  <c r="I36" i="38"/>
  <c r="H36" i="38"/>
  <c r="I35" i="38"/>
  <c r="H35" i="38"/>
  <c r="I27" i="38"/>
  <c r="I23" i="38"/>
  <c r="H23" i="38"/>
  <c r="I22" i="38"/>
  <c r="H22" i="38"/>
  <c r="I17" i="38"/>
  <c r="H17" i="38"/>
  <c r="I16" i="38"/>
  <c r="H16" i="38"/>
  <c r="I15" i="38"/>
  <c r="H15" i="38"/>
  <c r="I14" i="38"/>
  <c r="H14" i="38"/>
  <c r="I13" i="38"/>
  <c r="H13" i="38"/>
  <c r="I12" i="38"/>
  <c r="H12" i="38"/>
  <c r="I11" i="38"/>
  <c r="H11" i="38"/>
  <c r="I10" i="38"/>
  <c r="H10" i="38"/>
  <c r="I9" i="38"/>
  <c r="H9" i="38"/>
  <c r="I8" i="38"/>
  <c r="H8" i="38"/>
  <c r="I7" i="38"/>
  <c r="H7" i="38"/>
  <c r="I6" i="38"/>
  <c r="H6" i="38"/>
  <c r="I5" i="38"/>
  <c r="H5" i="38"/>
  <c r="I4" i="38"/>
  <c r="H4" i="38"/>
  <c r="I3" i="38"/>
  <c r="H3" i="38"/>
  <c r="C5" i="38"/>
  <c r="C12" i="38"/>
  <c r="C15" i="38"/>
  <c r="G68" i="38"/>
  <c r="F68" i="38"/>
  <c r="E68" i="38"/>
  <c r="D68" i="38"/>
  <c r="C68" i="38"/>
  <c r="G64" i="38"/>
  <c r="F64" i="38"/>
  <c r="E64" i="38"/>
  <c r="D64" i="38"/>
  <c r="C64" i="38"/>
  <c r="J53" i="38"/>
  <c r="L53" i="38" s="1"/>
  <c r="C46" i="38"/>
  <c r="C43" i="38"/>
  <c r="G29" i="38"/>
  <c r="F29" i="38"/>
  <c r="E29" i="38"/>
  <c r="D29" i="38"/>
  <c r="C29" i="38"/>
  <c r="I28" i="38"/>
  <c r="I29" i="38" s="1"/>
  <c r="H28" i="38"/>
  <c r="G24" i="38"/>
  <c r="F24" i="38"/>
  <c r="E24" i="38"/>
  <c r="D24" i="38"/>
  <c r="C24" i="38"/>
  <c r="J21" i="38"/>
  <c r="I21" i="38"/>
  <c r="H21" i="38"/>
  <c r="G18" i="38"/>
  <c r="F18" i="38"/>
  <c r="E18" i="38"/>
  <c r="D18" i="38"/>
  <c r="J67" i="38" l="1"/>
  <c r="L67" i="38" s="1"/>
  <c r="L68" i="38" s="1"/>
  <c r="J44" i="38"/>
  <c r="L44" i="38" s="1"/>
  <c r="J35" i="38"/>
  <c r="L35" i="38" s="1"/>
  <c r="I24" i="38"/>
  <c r="J13" i="38"/>
  <c r="L13" i="38" s="1"/>
  <c r="J7" i="38"/>
  <c r="L7" i="38" s="1"/>
  <c r="J6" i="38"/>
  <c r="L6" i="38" s="1"/>
  <c r="J57" i="38"/>
  <c r="L57" i="38" s="1"/>
  <c r="J58" i="38"/>
  <c r="L58" i="38" s="1"/>
  <c r="J36" i="38"/>
  <c r="L36" i="38" s="1"/>
  <c r="J9" i="38"/>
  <c r="L9" i="38" s="1"/>
  <c r="J28" i="38"/>
  <c r="L28" i="38" s="1"/>
  <c r="J14" i="38"/>
  <c r="L14" i="38" s="1"/>
  <c r="J17" i="38"/>
  <c r="L17" i="38" s="1"/>
  <c r="J37" i="38"/>
  <c r="L37" i="38" s="1"/>
  <c r="J40" i="38"/>
  <c r="L40" i="38" s="1"/>
  <c r="J43" i="38"/>
  <c r="L43" i="38" s="1"/>
  <c r="J55" i="38"/>
  <c r="L55" i="38" s="1"/>
  <c r="C18" i="38"/>
  <c r="J41" i="38"/>
  <c r="L41" i="38" s="1"/>
  <c r="J47" i="38"/>
  <c r="L47" i="38" s="1"/>
  <c r="J50" i="38"/>
  <c r="L50" i="38" s="1"/>
  <c r="J56" i="38"/>
  <c r="L56" i="38" s="1"/>
  <c r="J62" i="38"/>
  <c r="L62" i="38" s="1"/>
  <c r="I64" i="38"/>
  <c r="H64" i="38"/>
  <c r="J52" i="38"/>
  <c r="L52" i="38" s="1"/>
  <c r="J46" i="38"/>
  <c r="L46" i="38" s="1"/>
  <c r="H59" i="38"/>
  <c r="J38" i="38"/>
  <c r="J45" i="38"/>
  <c r="J49" i="38"/>
  <c r="L49" i="38" s="1"/>
  <c r="J48" i="38"/>
  <c r="L48" i="38" s="1"/>
  <c r="F32" i="38"/>
  <c r="G32" i="38"/>
  <c r="H24" i="38"/>
  <c r="J5" i="38"/>
  <c r="L5" i="38" s="1"/>
  <c r="C32" i="38"/>
  <c r="D32" i="38"/>
  <c r="J23" i="38"/>
  <c r="L23" i="38" s="1"/>
  <c r="J22" i="38"/>
  <c r="H18" i="38"/>
  <c r="J16" i="38"/>
  <c r="J4" i="38"/>
  <c r="J8" i="38"/>
  <c r="J11" i="38"/>
  <c r="J10" i="38"/>
  <c r="L10" i="38" s="1"/>
  <c r="J12" i="38"/>
  <c r="L12" i="38" s="1"/>
  <c r="J15" i="38"/>
  <c r="L15" i="38" s="1"/>
  <c r="K58" i="38"/>
  <c r="K7" i="38"/>
  <c r="K51" i="38"/>
  <c r="K44" i="38"/>
  <c r="K54" i="38"/>
  <c r="K35" i="38"/>
  <c r="K52" i="38"/>
  <c r="K55" i="38"/>
  <c r="E32" i="38"/>
  <c r="K36" i="38"/>
  <c r="K42" i="38"/>
  <c r="K43" i="38"/>
  <c r="K56" i="38"/>
  <c r="C59" i="38"/>
  <c r="H68" i="38"/>
  <c r="I18" i="38"/>
  <c r="I32" i="38" s="1"/>
  <c r="K6" i="38"/>
  <c r="K13" i="38"/>
  <c r="K21" i="38"/>
  <c r="K28" i="38"/>
  <c r="J3" i="38"/>
  <c r="L3" i="38" s="1"/>
  <c r="L21" i="38"/>
  <c r="J63" i="38"/>
  <c r="L63" i="38" s="1"/>
  <c r="I59" i="38"/>
  <c r="K9" i="38"/>
  <c r="K17" i="38"/>
  <c r="K39" i="38"/>
  <c r="K47" i="38"/>
  <c r="K53" i="38"/>
  <c r="H40" i="37"/>
  <c r="H41" i="37"/>
  <c r="J68" i="38" l="1"/>
  <c r="K67" i="38"/>
  <c r="K68" i="38" s="1"/>
  <c r="K14" i="38"/>
  <c r="K10" i="38"/>
  <c r="K57" i="38"/>
  <c r="K40" i="38"/>
  <c r="K38" i="38"/>
  <c r="L38" i="38"/>
  <c r="K4" i="38"/>
  <c r="L4" i="38"/>
  <c r="K16" i="38"/>
  <c r="L16" i="38"/>
  <c r="K45" i="38"/>
  <c r="L45" i="38"/>
  <c r="K41" i="38"/>
  <c r="K22" i="38"/>
  <c r="L22" i="38"/>
  <c r="L24" i="38" s="1"/>
  <c r="K62" i="38"/>
  <c r="K50" i="38"/>
  <c r="K49" i="38"/>
  <c r="K37" i="38"/>
  <c r="K11" i="38"/>
  <c r="L11" i="38"/>
  <c r="K8" i="38"/>
  <c r="L8" i="38"/>
  <c r="J59" i="38"/>
  <c r="K5" i="38"/>
  <c r="K46" i="38"/>
  <c r="K48" i="38"/>
  <c r="K15" i="38"/>
  <c r="K23" i="38"/>
  <c r="J24" i="38"/>
  <c r="K12" i="38"/>
  <c r="L64" i="38"/>
  <c r="K63" i="38"/>
  <c r="K3" i="38"/>
  <c r="J18" i="38"/>
  <c r="J64" i="38"/>
  <c r="L55" i="37"/>
  <c r="L54" i="37"/>
  <c r="L53" i="37"/>
  <c r="L52" i="37"/>
  <c r="L51" i="37"/>
  <c r="L50" i="37"/>
  <c r="L47" i="37"/>
  <c r="L43" i="37"/>
  <c r="L39" i="37"/>
  <c r="L38" i="37"/>
  <c r="I67" i="37"/>
  <c r="I68" i="37" s="1"/>
  <c r="H67" i="37"/>
  <c r="H68" i="37" s="1"/>
  <c r="I63" i="37"/>
  <c r="H63" i="37"/>
  <c r="I62" i="37"/>
  <c r="H62" i="37"/>
  <c r="I58" i="37"/>
  <c r="H58" i="37"/>
  <c r="I57" i="37"/>
  <c r="H57" i="37"/>
  <c r="I56" i="37"/>
  <c r="H56" i="37"/>
  <c r="I55" i="37"/>
  <c r="H55" i="37"/>
  <c r="I54" i="37"/>
  <c r="H54" i="37"/>
  <c r="I53" i="37"/>
  <c r="H53" i="37"/>
  <c r="J53" i="37" s="1"/>
  <c r="I52" i="37"/>
  <c r="H52" i="37"/>
  <c r="I51" i="37"/>
  <c r="H51" i="37"/>
  <c r="I50" i="37"/>
  <c r="H50" i="37"/>
  <c r="J50" i="37" s="1"/>
  <c r="I49" i="37"/>
  <c r="H49" i="37"/>
  <c r="I48" i="37"/>
  <c r="H48" i="37"/>
  <c r="I47" i="37"/>
  <c r="H47" i="37"/>
  <c r="I46" i="37"/>
  <c r="H46" i="37"/>
  <c r="I45" i="37"/>
  <c r="H45" i="37"/>
  <c r="I44" i="37"/>
  <c r="H44" i="37"/>
  <c r="I43" i="37"/>
  <c r="H43" i="37"/>
  <c r="I42" i="37"/>
  <c r="H42" i="37"/>
  <c r="I41" i="37"/>
  <c r="J41" i="37" s="1"/>
  <c r="L41" i="37" s="1"/>
  <c r="I40" i="37"/>
  <c r="I39" i="37"/>
  <c r="H39" i="37"/>
  <c r="I38" i="37"/>
  <c r="H38" i="37"/>
  <c r="J38" i="37" s="1"/>
  <c r="I37" i="37"/>
  <c r="H37" i="37"/>
  <c r="I36" i="37"/>
  <c r="H36" i="37"/>
  <c r="I35" i="37"/>
  <c r="H35" i="37"/>
  <c r="I27" i="37"/>
  <c r="I29" i="37" s="1"/>
  <c r="I23" i="37"/>
  <c r="H23" i="37"/>
  <c r="I22" i="37"/>
  <c r="H22" i="37"/>
  <c r="I17" i="37"/>
  <c r="H17" i="37"/>
  <c r="I16" i="37"/>
  <c r="H16" i="37"/>
  <c r="I15" i="37"/>
  <c r="H15" i="37"/>
  <c r="I14" i="37"/>
  <c r="H14" i="37"/>
  <c r="I13" i="37"/>
  <c r="J13" i="37" s="1"/>
  <c r="L13" i="37" s="1"/>
  <c r="H13" i="37"/>
  <c r="I12" i="37"/>
  <c r="H12" i="37"/>
  <c r="I11" i="37"/>
  <c r="H11" i="37"/>
  <c r="I10" i="37"/>
  <c r="H10" i="37"/>
  <c r="I9" i="37"/>
  <c r="H9" i="37"/>
  <c r="I8" i="37"/>
  <c r="H8" i="37"/>
  <c r="I7" i="37"/>
  <c r="H7" i="37"/>
  <c r="I6" i="37"/>
  <c r="H6" i="37"/>
  <c r="I5" i="37"/>
  <c r="H5" i="37"/>
  <c r="I4" i="37"/>
  <c r="H4" i="37"/>
  <c r="I3" i="37"/>
  <c r="H3" i="37"/>
  <c r="G68" i="37"/>
  <c r="F68" i="37"/>
  <c r="E68" i="37"/>
  <c r="D68" i="37"/>
  <c r="C68" i="37"/>
  <c r="G64" i="37"/>
  <c r="F64" i="37"/>
  <c r="E64" i="37"/>
  <c r="D64" i="37"/>
  <c r="C64" i="37"/>
  <c r="J54" i="37"/>
  <c r="J47" i="37"/>
  <c r="C46" i="37"/>
  <c r="C43" i="37"/>
  <c r="J39" i="37"/>
  <c r="G29" i="37"/>
  <c r="F29" i="37"/>
  <c r="E29" i="37"/>
  <c r="D29" i="37"/>
  <c r="C29" i="37"/>
  <c r="I28" i="37"/>
  <c r="H28" i="37"/>
  <c r="J28" i="37" s="1"/>
  <c r="G24" i="37"/>
  <c r="F24" i="37"/>
  <c r="E24" i="37"/>
  <c r="D24" i="37"/>
  <c r="C24" i="37"/>
  <c r="I21" i="37"/>
  <c r="H21" i="37"/>
  <c r="J21" i="37" s="1"/>
  <c r="G18" i="37"/>
  <c r="F18" i="37"/>
  <c r="E18" i="37"/>
  <c r="D18" i="37"/>
  <c r="C15" i="37"/>
  <c r="C12" i="37"/>
  <c r="C5" i="37"/>
  <c r="K64" i="38" l="1"/>
  <c r="L59" i="38"/>
  <c r="K59" i="38"/>
  <c r="K24" i="38"/>
  <c r="L18" i="38"/>
  <c r="K18" i="38"/>
  <c r="J40" i="37"/>
  <c r="L40" i="37" s="1"/>
  <c r="J44" i="37"/>
  <c r="L44" i="37" s="1"/>
  <c r="J56" i="37"/>
  <c r="L56" i="37" s="1"/>
  <c r="J57" i="37"/>
  <c r="L57" i="37" s="1"/>
  <c r="J49" i="37"/>
  <c r="L49" i="37" s="1"/>
  <c r="H64" i="37"/>
  <c r="J63" i="37"/>
  <c r="L63" i="37" s="1"/>
  <c r="I64" i="37"/>
  <c r="J17" i="37"/>
  <c r="K17" i="37" s="1"/>
  <c r="L17" i="37"/>
  <c r="J16" i="37"/>
  <c r="L16" i="37" s="1"/>
  <c r="J22" i="37"/>
  <c r="L22" i="37" s="1"/>
  <c r="H24" i="37"/>
  <c r="J12" i="37"/>
  <c r="L12" i="37" s="1"/>
  <c r="J9" i="37"/>
  <c r="L9" i="37" s="1"/>
  <c r="J8" i="37"/>
  <c r="L8" i="37" s="1"/>
  <c r="J7" i="37"/>
  <c r="L7" i="37" s="1"/>
  <c r="J4" i="37"/>
  <c r="L4" i="37" s="1"/>
  <c r="J58" i="37"/>
  <c r="L58" i="37" s="1"/>
  <c r="J48" i="37"/>
  <c r="L48" i="37" s="1"/>
  <c r="J36" i="37"/>
  <c r="L36" i="37" s="1"/>
  <c r="J37" i="37"/>
  <c r="L37" i="37" s="1"/>
  <c r="K12" i="37"/>
  <c r="J67" i="37"/>
  <c r="L67" i="37" s="1"/>
  <c r="K63" i="37"/>
  <c r="J62" i="37"/>
  <c r="K54" i="37"/>
  <c r="K48" i="37"/>
  <c r="J45" i="37"/>
  <c r="L45" i="37" s="1"/>
  <c r="J43" i="37"/>
  <c r="J52" i="37"/>
  <c r="J46" i="37"/>
  <c r="H59" i="37"/>
  <c r="J42" i="37"/>
  <c r="J51" i="37"/>
  <c r="J55" i="37"/>
  <c r="D32" i="37"/>
  <c r="F32" i="37"/>
  <c r="G32" i="37"/>
  <c r="J23" i="37"/>
  <c r="L23" i="37" s="1"/>
  <c r="J10" i="37"/>
  <c r="L10" i="37" s="1"/>
  <c r="J15" i="37"/>
  <c r="L15" i="37" s="1"/>
  <c r="J5" i="37"/>
  <c r="L5" i="37" s="1"/>
  <c r="E32" i="37"/>
  <c r="J3" i="37"/>
  <c r="L3" i="37" s="1"/>
  <c r="J11" i="37"/>
  <c r="I18" i="37"/>
  <c r="J6" i="37"/>
  <c r="L6" i="37" s="1"/>
  <c r="J14" i="37"/>
  <c r="L14" i="37" s="1"/>
  <c r="L28" i="37"/>
  <c r="K28" i="37"/>
  <c r="K37" i="37"/>
  <c r="K41" i="37"/>
  <c r="K50" i="37"/>
  <c r="K4" i="37"/>
  <c r="K36" i="37"/>
  <c r="K49" i="37"/>
  <c r="L21" i="37"/>
  <c r="K21" i="37"/>
  <c r="K52" i="37"/>
  <c r="K13" i="37"/>
  <c r="K22" i="37"/>
  <c r="K8" i="37"/>
  <c r="K55" i="37"/>
  <c r="K38" i="37"/>
  <c r="I59" i="37"/>
  <c r="K39" i="37"/>
  <c r="K15" i="37"/>
  <c r="C18" i="37"/>
  <c r="C32" i="37" s="1"/>
  <c r="K9" i="37"/>
  <c r="H18" i="37"/>
  <c r="I24" i="37"/>
  <c r="J35" i="37"/>
  <c r="L35" i="37" s="1"/>
  <c r="C59" i="37"/>
  <c r="K47" i="37"/>
  <c r="K53" i="37"/>
  <c r="L55" i="36"/>
  <c r="L54" i="36"/>
  <c r="L53" i="36"/>
  <c r="L52" i="36"/>
  <c r="L51" i="36"/>
  <c r="L50" i="36"/>
  <c r="L47" i="36"/>
  <c r="L43" i="36"/>
  <c r="L39" i="36"/>
  <c r="L38" i="36"/>
  <c r="L8" i="36"/>
  <c r="I67" i="36"/>
  <c r="I68" i="36" s="1"/>
  <c r="H67" i="36"/>
  <c r="H68" i="36" s="1"/>
  <c r="I63" i="36"/>
  <c r="H63" i="36"/>
  <c r="I62" i="36"/>
  <c r="H62" i="36"/>
  <c r="I58" i="36"/>
  <c r="H58" i="36"/>
  <c r="I57" i="36"/>
  <c r="H57" i="36"/>
  <c r="J57" i="36" s="1"/>
  <c r="I56" i="36"/>
  <c r="H56" i="36"/>
  <c r="I55" i="36"/>
  <c r="H55" i="36"/>
  <c r="J55" i="36" s="1"/>
  <c r="I54" i="36"/>
  <c r="H54" i="36"/>
  <c r="I53" i="36"/>
  <c r="H53" i="36"/>
  <c r="J53" i="36" s="1"/>
  <c r="I52" i="36"/>
  <c r="H52" i="36"/>
  <c r="I51" i="36"/>
  <c r="H51" i="36"/>
  <c r="I50" i="36"/>
  <c r="H50" i="36"/>
  <c r="J50" i="36" s="1"/>
  <c r="I49" i="36"/>
  <c r="H49" i="36"/>
  <c r="J49" i="36" s="1"/>
  <c r="L49" i="36" s="1"/>
  <c r="I48" i="36"/>
  <c r="H48" i="36"/>
  <c r="I47" i="36"/>
  <c r="H47" i="36"/>
  <c r="I46" i="36"/>
  <c r="H46" i="36"/>
  <c r="I45" i="36"/>
  <c r="H45" i="36"/>
  <c r="I44" i="36"/>
  <c r="H44" i="36"/>
  <c r="I43" i="36"/>
  <c r="H43" i="36"/>
  <c r="J43" i="36" s="1"/>
  <c r="I42" i="36"/>
  <c r="H42" i="36"/>
  <c r="I41" i="36"/>
  <c r="H41" i="36"/>
  <c r="I40" i="36"/>
  <c r="H40" i="36"/>
  <c r="I39" i="36"/>
  <c r="H39" i="36"/>
  <c r="I38" i="36"/>
  <c r="H38" i="36"/>
  <c r="I37" i="36"/>
  <c r="H37" i="36"/>
  <c r="I36" i="36"/>
  <c r="H36" i="36"/>
  <c r="I35" i="36"/>
  <c r="H35" i="36"/>
  <c r="I27" i="36"/>
  <c r="I23" i="36"/>
  <c r="H23" i="36"/>
  <c r="I22" i="36"/>
  <c r="H22" i="36"/>
  <c r="I17" i="36"/>
  <c r="H17" i="36"/>
  <c r="I16" i="36"/>
  <c r="H16" i="36"/>
  <c r="I15" i="36"/>
  <c r="H15" i="36"/>
  <c r="I14" i="36"/>
  <c r="H14" i="36"/>
  <c r="I13" i="36"/>
  <c r="H13" i="36"/>
  <c r="I12" i="36"/>
  <c r="H12" i="36"/>
  <c r="I11" i="36"/>
  <c r="H11" i="36"/>
  <c r="I10" i="36"/>
  <c r="H10" i="36"/>
  <c r="I9" i="36"/>
  <c r="H9" i="36"/>
  <c r="I8" i="36"/>
  <c r="H8" i="36"/>
  <c r="J8" i="36" s="1"/>
  <c r="I7" i="36"/>
  <c r="H7" i="36"/>
  <c r="I6" i="36"/>
  <c r="J6" i="36" s="1"/>
  <c r="L6" i="36" s="1"/>
  <c r="H6" i="36"/>
  <c r="I5" i="36"/>
  <c r="H5" i="36"/>
  <c r="I4" i="36"/>
  <c r="H4" i="36"/>
  <c r="I3" i="36"/>
  <c r="H3" i="36"/>
  <c r="G68" i="36"/>
  <c r="F68" i="36"/>
  <c r="E68" i="36"/>
  <c r="D68" i="36"/>
  <c r="C68" i="36"/>
  <c r="G64" i="36"/>
  <c r="F64" i="36"/>
  <c r="E64" i="36"/>
  <c r="D64" i="36"/>
  <c r="C64" i="36"/>
  <c r="C59" i="36"/>
  <c r="J56" i="36"/>
  <c r="L56" i="36" s="1"/>
  <c r="J47" i="36"/>
  <c r="C46" i="36"/>
  <c r="C43" i="36"/>
  <c r="J41" i="36"/>
  <c r="L41" i="36" s="1"/>
  <c r="J38" i="36"/>
  <c r="J35" i="36"/>
  <c r="L35" i="36" s="1"/>
  <c r="G29" i="36"/>
  <c r="F29" i="36"/>
  <c r="E29" i="36"/>
  <c r="D29" i="36"/>
  <c r="C29" i="36"/>
  <c r="I28" i="36"/>
  <c r="H28" i="36"/>
  <c r="J28" i="36" s="1"/>
  <c r="L28" i="36" s="1"/>
  <c r="G24" i="36"/>
  <c r="F24" i="36"/>
  <c r="E24" i="36"/>
  <c r="D24" i="36"/>
  <c r="C24" i="36"/>
  <c r="I21" i="36"/>
  <c r="H21" i="36"/>
  <c r="J21" i="36" s="1"/>
  <c r="G18" i="36"/>
  <c r="F18" i="36"/>
  <c r="E18" i="36"/>
  <c r="D18" i="36"/>
  <c r="C15" i="36"/>
  <c r="C12" i="36"/>
  <c r="J5" i="36"/>
  <c r="K5" i="36" s="1"/>
  <c r="C5" i="36"/>
  <c r="K40" i="37" l="1"/>
  <c r="K42" i="37"/>
  <c r="L42" i="37"/>
  <c r="K44" i="37"/>
  <c r="K56" i="37"/>
  <c r="K57" i="37"/>
  <c r="L62" i="37"/>
  <c r="L64" i="37" s="1"/>
  <c r="J64" i="37"/>
  <c r="K16" i="37"/>
  <c r="K11" i="37"/>
  <c r="L11" i="37"/>
  <c r="L18" i="37" s="1"/>
  <c r="K7" i="37"/>
  <c r="K3" i="37"/>
  <c r="K58" i="37"/>
  <c r="K46" i="37"/>
  <c r="L46" i="37"/>
  <c r="K45" i="37"/>
  <c r="K51" i="37"/>
  <c r="K14" i="37"/>
  <c r="I32" i="37"/>
  <c r="J68" i="37"/>
  <c r="K67" i="37"/>
  <c r="K68" i="37" s="1"/>
  <c r="L68" i="37"/>
  <c r="K62" i="37"/>
  <c r="K64" i="37" s="1"/>
  <c r="K43" i="37"/>
  <c r="K23" i="37"/>
  <c r="K24" i="37" s="1"/>
  <c r="J24" i="37"/>
  <c r="K6" i="37"/>
  <c r="J18" i="37"/>
  <c r="K10" i="37"/>
  <c r="K5" i="37"/>
  <c r="L24" i="37"/>
  <c r="K35" i="37"/>
  <c r="J59" i="37"/>
  <c r="L5" i="36"/>
  <c r="J16" i="36"/>
  <c r="L16" i="36" s="1"/>
  <c r="J22" i="36"/>
  <c r="K22" i="36" s="1"/>
  <c r="L22" i="36"/>
  <c r="J15" i="36"/>
  <c r="L15" i="36" s="1"/>
  <c r="H24" i="36"/>
  <c r="E32" i="36"/>
  <c r="I24" i="36"/>
  <c r="J23" i="36"/>
  <c r="L23" i="36" s="1"/>
  <c r="J13" i="36"/>
  <c r="L13" i="36" s="1"/>
  <c r="J12" i="36"/>
  <c r="K12" i="36" s="1"/>
  <c r="J11" i="36"/>
  <c r="L11" i="36" s="1"/>
  <c r="J9" i="36"/>
  <c r="L9" i="36" s="1"/>
  <c r="J3" i="36"/>
  <c r="L3" i="36" s="1"/>
  <c r="J4" i="36"/>
  <c r="L4" i="36" s="1"/>
  <c r="K57" i="36"/>
  <c r="L57" i="36"/>
  <c r="J58" i="36"/>
  <c r="L58" i="36" s="1"/>
  <c r="J45" i="36"/>
  <c r="L45" i="36" s="1"/>
  <c r="I29" i="36"/>
  <c r="J67" i="36"/>
  <c r="J63" i="36"/>
  <c r="L63" i="36" s="1"/>
  <c r="H59" i="36"/>
  <c r="J48" i="36"/>
  <c r="L48" i="36" s="1"/>
  <c r="J39" i="36"/>
  <c r="J46" i="36"/>
  <c r="L46" i="36" s="1"/>
  <c r="J51" i="36"/>
  <c r="K51" i="36" s="1"/>
  <c r="J54" i="36"/>
  <c r="J40" i="36"/>
  <c r="J37" i="36"/>
  <c r="L37" i="36" s="1"/>
  <c r="J42" i="36"/>
  <c r="L42" i="36" s="1"/>
  <c r="J44" i="36"/>
  <c r="J52" i="36"/>
  <c r="D32" i="36"/>
  <c r="J7" i="36"/>
  <c r="L7" i="36" s="1"/>
  <c r="F32" i="36"/>
  <c r="J10" i="36"/>
  <c r="L10" i="36" s="1"/>
  <c r="J14" i="36"/>
  <c r="K3" i="36"/>
  <c r="K8" i="36"/>
  <c r="L21" i="36"/>
  <c r="K35" i="36"/>
  <c r="K6" i="36"/>
  <c r="K28" i="36"/>
  <c r="K38" i="36"/>
  <c r="K47" i="36"/>
  <c r="K49" i="36"/>
  <c r="K54" i="36"/>
  <c r="K56" i="36"/>
  <c r="H18" i="36"/>
  <c r="K9" i="36"/>
  <c r="K21" i="36"/>
  <c r="I59" i="36"/>
  <c r="K52" i="36"/>
  <c r="H64" i="36"/>
  <c r="J62" i="36"/>
  <c r="L62" i="36" s="1"/>
  <c r="K16" i="36"/>
  <c r="K41" i="36"/>
  <c r="I64" i="36"/>
  <c r="K11" i="36"/>
  <c r="G32" i="36"/>
  <c r="K43" i="36"/>
  <c r="K50" i="36"/>
  <c r="K53" i="36"/>
  <c r="K55" i="36"/>
  <c r="J17" i="36"/>
  <c r="L17" i="36" s="1"/>
  <c r="I18" i="36"/>
  <c r="C18" i="36"/>
  <c r="C32" i="36" s="1"/>
  <c r="J36" i="36"/>
  <c r="L36" i="36" s="1"/>
  <c r="L55" i="35"/>
  <c r="L54" i="35"/>
  <c r="L53" i="35"/>
  <c r="L52" i="35"/>
  <c r="L51" i="35"/>
  <c r="L50" i="35"/>
  <c r="L47" i="35"/>
  <c r="L43" i="35"/>
  <c r="L39" i="35"/>
  <c r="L38" i="35"/>
  <c r="I67" i="35"/>
  <c r="I68" i="35" s="1"/>
  <c r="H67" i="35"/>
  <c r="J67" i="35" s="1"/>
  <c r="L67" i="35" s="1"/>
  <c r="I63" i="35"/>
  <c r="J63" i="35" s="1"/>
  <c r="L63" i="35" s="1"/>
  <c r="H63" i="35"/>
  <c r="I62" i="35"/>
  <c r="H62" i="35"/>
  <c r="I58" i="35"/>
  <c r="H58" i="35"/>
  <c r="I57" i="35"/>
  <c r="J57" i="35" s="1"/>
  <c r="L57" i="35" s="1"/>
  <c r="H57" i="35"/>
  <c r="I56" i="35"/>
  <c r="H56" i="35"/>
  <c r="I55" i="35"/>
  <c r="H55" i="35"/>
  <c r="I54" i="35"/>
  <c r="H54" i="35"/>
  <c r="I53" i="35"/>
  <c r="H53" i="35"/>
  <c r="I52" i="35"/>
  <c r="H52" i="35"/>
  <c r="J52" i="35" s="1"/>
  <c r="I51" i="35"/>
  <c r="H51" i="35"/>
  <c r="I50" i="35"/>
  <c r="H50" i="35"/>
  <c r="J50" i="35" s="1"/>
  <c r="K50" i="35" s="1"/>
  <c r="I49" i="35"/>
  <c r="H49" i="35"/>
  <c r="I48" i="35"/>
  <c r="H48" i="35"/>
  <c r="I47" i="35"/>
  <c r="H47" i="35"/>
  <c r="I46" i="35"/>
  <c r="H46" i="35"/>
  <c r="I45" i="35"/>
  <c r="H45" i="35"/>
  <c r="I44" i="35"/>
  <c r="H44" i="35"/>
  <c r="J44" i="35" s="1"/>
  <c r="L44" i="35" s="1"/>
  <c r="I43" i="35"/>
  <c r="H43" i="35"/>
  <c r="J43" i="35" s="1"/>
  <c r="K43" i="35" s="1"/>
  <c r="I42" i="35"/>
  <c r="H42" i="35"/>
  <c r="J42" i="35" s="1"/>
  <c r="L42" i="35" s="1"/>
  <c r="I41" i="35"/>
  <c r="H41" i="35"/>
  <c r="I40" i="35"/>
  <c r="H40" i="35"/>
  <c r="I39" i="35"/>
  <c r="H39" i="35"/>
  <c r="I38" i="35"/>
  <c r="H38" i="35"/>
  <c r="J38" i="35" s="1"/>
  <c r="I37" i="35"/>
  <c r="H37" i="35"/>
  <c r="I36" i="35"/>
  <c r="H36" i="35"/>
  <c r="I35" i="35"/>
  <c r="H35" i="35"/>
  <c r="I27" i="35"/>
  <c r="I29" i="35" s="1"/>
  <c r="H27" i="35"/>
  <c r="I23" i="35"/>
  <c r="J23" i="35" s="1"/>
  <c r="K23" i="35" s="1"/>
  <c r="H23" i="35"/>
  <c r="I22" i="35"/>
  <c r="H22" i="35"/>
  <c r="I17" i="35"/>
  <c r="H17" i="35"/>
  <c r="I16" i="35"/>
  <c r="H16" i="35"/>
  <c r="I15" i="35"/>
  <c r="H15" i="35"/>
  <c r="I14" i="35"/>
  <c r="H14" i="35"/>
  <c r="I13" i="35"/>
  <c r="H13" i="35"/>
  <c r="I12" i="35"/>
  <c r="H12" i="35"/>
  <c r="I11" i="35"/>
  <c r="H11" i="35"/>
  <c r="I10" i="35"/>
  <c r="H10" i="35"/>
  <c r="I9" i="35"/>
  <c r="H9" i="35"/>
  <c r="I8" i="35"/>
  <c r="H8" i="35"/>
  <c r="I7" i="35"/>
  <c r="H7" i="35"/>
  <c r="I6" i="35"/>
  <c r="H6" i="35"/>
  <c r="I5" i="35"/>
  <c r="H5" i="35"/>
  <c r="I4" i="35"/>
  <c r="H4" i="35"/>
  <c r="I3" i="35"/>
  <c r="H3" i="35"/>
  <c r="G68" i="35"/>
  <c r="F68" i="35"/>
  <c r="E68" i="35"/>
  <c r="D68" i="35"/>
  <c r="C68" i="35"/>
  <c r="G64" i="35"/>
  <c r="F64" i="35"/>
  <c r="E64" i="35"/>
  <c r="D64" i="35"/>
  <c r="C64" i="35"/>
  <c r="J56" i="35"/>
  <c r="L56" i="35" s="1"/>
  <c r="J53" i="35"/>
  <c r="J51" i="35"/>
  <c r="J47" i="35"/>
  <c r="C46" i="35"/>
  <c r="C43" i="35"/>
  <c r="J39" i="35"/>
  <c r="G29" i="35"/>
  <c r="F29" i="35"/>
  <c r="E29" i="35"/>
  <c r="D29" i="35"/>
  <c r="C29" i="35"/>
  <c r="I28" i="35"/>
  <c r="H28" i="35"/>
  <c r="J28" i="35" s="1"/>
  <c r="G24" i="35"/>
  <c r="F24" i="35"/>
  <c r="E24" i="35"/>
  <c r="D24" i="35"/>
  <c r="C24" i="35"/>
  <c r="I21" i="35"/>
  <c r="H21" i="35"/>
  <c r="J21" i="35" s="1"/>
  <c r="G18" i="35"/>
  <c r="C15" i="35"/>
  <c r="C12" i="35"/>
  <c r="E18" i="35"/>
  <c r="D18" i="35"/>
  <c r="C5" i="35"/>
  <c r="C18" i="35" s="1"/>
  <c r="C32" i="35" s="1"/>
  <c r="F18" i="35"/>
  <c r="H29" i="35" l="1"/>
  <c r="H27" i="36"/>
  <c r="K18" i="37"/>
  <c r="K59" i="37"/>
  <c r="L59" i="37"/>
  <c r="J68" i="36"/>
  <c r="L67" i="36"/>
  <c r="K63" i="36"/>
  <c r="I32" i="36"/>
  <c r="K44" i="36"/>
  <c r="L44" i="36"/>
  <c r="K15" i="36"/>
  <c r="J24" i="36"/>
  <c r="K23" i="36"/>
  <c r="K24" i="36" s="1"/>
  <c r="K14" i="36"/>
  <c r="L14" i="36"/>
  <c r="K13" i="36"/>
  <c r="L12" i="36"/>
  <c r="K10" i="36"/>
  <c r="K4" i="36"/>
  <c r="K40" i="36"/>
  <c r="L40" i="36"/>
  <c r="K58" i="36"/>
  <c r="K48" i="36"/>
  <c r="K45" i="36"/>
  <c r="L68" i="36"/>
  <c r="K46" i="36"/>
  <c r="K67" i="36"/>
  <c r="K68" i="36" s="1"/>
  <c r="K42" i="36"/>
  <c r="K37" i="36"/>
  <c r="K39" i="36"/>
  <c r="K7" i="36"/>
  <c r="K36" i="36"/>
  <c r="K17" i="36"/>
  <c r="L24" i="36"/>
  <c r="J18" i="36"/>
  <c r="J64" i="36"/>
  <c r="L64" i="36"/>
  <c r="K62" i="36"/>
  <c r="J59" i="36"/>
  <c r="J40" i="35"/>
  <c r="L40" i="35" s="1"/>
  <c r="J15" i="35"/>
  <c r="L15" i="35" s="1"/>
  <c r="J5" i="35"/>
  <c r="L5" i="35" s="1"/>
  <c r="J17" i="35"/>
  <c r="L17" i="35" s="1"/>
  <c r="J16" i="35"/>
  <c r="K16" i="35" s="1"/>
  <c r="I24" i="35"/>
  <c r="G32" i="35"/>
  <c r="L23" i="35"/>
  <c r="H24" i="35"/>
  <c r="J13" i="35"/>
  <c r="L13" i="35" s="1"/>
  <c r="J12" i="35"/>
  <c r="L12" i="35" s="1"/>
  <c r="J10" i="35"/>
  <c r="L10" i="35" s="1"/>
  <c r="J9" i="35"/>
  <c r="L9" i="35" s="1"/>
  <c r="J8" i="35"/>
  <c r="K8" i="35" s="1"/>
  <c r="J7" i="35"/>
  <c r="L7" i="35" s="1"/>
  <c r="J6" i="35"/>
  <c r="J3" i="35"/>
  <c r="L3" i="35" s="1"/>
  <c r="J58" i="35"/>
  <c r="L58" i="35" s="1"/>
  <c r="J48" i="35"/>
  <c r="L48" i="35" s="1"/>
  <c r="J46" i="35"/>
  <c r="L46" i="35" s="1"/>
  <c r="J45" i="35"/>
  <c r="L45" i="35" s="1"/>
  <c r="J37" i="35"/>
  <c r="L37" i="35" s="1"/>
  <c r="J36" i="35"/>
  <c r="L36" i="35" s="1"/>
  <c r="H68" i="35"/>
  <c r="H64" i="35"/>
  <c r="I64" i="35"/>
  <c r="K45" i="35"/>
  <c r="K38" i="35"/>
  <c r="K52" i="35"/>
  <c r="I59" i="35"/>
  <c r="J55" i="35"/>
  <c r="J41" i="35"/>
  <c r="J49" i="35"/>
  <c r="L49" i="35" s="1"/>
  <c r="J54" i="35"/>
  <c r="F32" i="35"/>
  <c r="D32" i="35"/>
  <c r="E32" i="35"/>
  <c r="J22" i="35"/>
  <c r="L22" i="35" s="1"/>
  <c r="J14" i="35"/>
  <c r="L14" i="35" s="1"/>
  <c r="K13" i="35"/>
  <c r="L28" i="35"/>
  <c r="K28" i="35"/>
  <c r="K51" i="35"/>
  <c r="K53" i="35"/>
  <c r="J68" i="35"/>
  <c r="K67" i="35"/>
  <c r="K68" i="35" s="1"/>
  <c r="L68" i="35"/>
  <c r="K17" i="35"/>
  <c r="J35" i="35"/>
  <c r="L35" i="35" s="1"/>
  <c r="H59" i="35"/>
  <c r="K39" i="35"/>
  <c r="K47" i="35"/>
  <c r="K57" i="35"/>
  <c r="L21" i="35"/>
  <c r="K21" i="35"/>
  <c r="K44" i="35"/>
  <c r="J11" i="35"/>
  <c r="L11" i="35" s="1"/>
  <c r="K55" i="35"/>
  <c r="K63" i="35"/>
  <c r="K42" i="35"/>
  <c r="K56" i="35"/>
  <c r="I18" i="35"/>
  <c r="C59" i="35"/>
  <c r="J27" i="35"/>
  <c r="L27" i="35" s="1"/>
  <c r="J62" i="35"/>
  <c r="L62" i="35" s="1"/>
  <c r="E37" i="34"/>
  <c r="D37" i="34"/>
  <c r="H27" i="37" l="1"/>
  <c r="H29" i="36"/>
  <c r="H32" i="36" s="1"/>
  <c r="J27" i="36"/>
  <c r="K64" i="36"/>
  <c r="L59" i="36"/>
  <c r="K18" i="36"/>
  <c r="L18" i="36"/>
  <c r="K59" i="36"/>
  <c r="K41" i="35"/>
  <c r="L41" i="35"/>
  <c r="K40" i="35"/>
  <c r="K15" i="35"/>
  <c r="K5" i="35"/>
  <c r="L16" i="35"/>
  <c r="I32" i="35"/>
  <c r="K12" i="35"/>
  <c r="K10" i="35"/>
  <c r="K9" i="35"/>
  <c r="L8" i="35"/>
  <c r="K7" i="35"/>
  <c r="K6" i="35"/>
  <c r="L6" i="35"/>
  <c r="K3" i="35"/>
  <c r="K58" i="35"/>
  <c r="K48" i="35"/>
  <c r="K46" i="35"/>
  <c r="K37" i="35"/>
  <c r="K36" i="35"/>
  <c r="K54" i="35"/>
  <c r="J24" i="35"/>
  <c r="K49" i="35"/>
  <c r="K22" i="35"/>
  <c r="K24" i="35" s="1"/>
  <c r="K14" i="35"/>
  <c r="L64" i="35"/>
  <c r="K62" i="35"/>
  <c r="K64" i="35" s="1"/>
  <c r="J64" i="35"/>
  <c r="L29" i="35"/>
  <c r="K27" i="35"/>
  <c r="K29" i="35" s="1"/>
  <c r="J29" i="35"/>
  <c r="K11" i="35"/>
  <c r="J59" i="35"/>
  <c r="K35" i="35"/>
  <c r="L59" i="35"/>
  <c r="J4" i="35"/>
  <c r="L4" i="35" s="1"/>
  <c r="H18" i="35"/>
  <c r="H32" i="35" s="1"/>
  <c r="L24" i="35"/>
  <c r="E11" i="34"/>
  <c r="D11" i="34"/>
  <c r="G4" i="34"/>
  <c r="F4" i="34"/>
  <c r="L27" i="36" l="1"/>
  <c r="L29" i="36" s="1"/>
  <c r="L32" i="36" s="1"/>
  <c r="J29" i="36"/>
  <c r="J32" i="36" s="1"/>
  <c r="K27" i="36"/>
  <c r="K29" i="36" s="1"/>
  <c r="K32" i="36" s="1"/>
  <c r="H29" i="37"/>
  <c r="H32" i="37" s="1"/>
  <c r="H27" i="38"/>
  <c r="J27" i="37"/>
  <c r="K59" i="35"/>
  <c r="L18" i="35"/>
  <c r="L32" i="35" s="1"/>
  <c r="K4" i="35"/>
  <c r="K18" i="35" s="1"/>
  <c r="K32" i="35" s="1"/>
  <c r="J18" i="35"/>
  <c r="J32" i="35" s="1"/>
  <c r="E35" i="34"/>
  <c r="D35" i="34"/>
  <c r="G7" i="34"/>
  <c r="F7" i="34"/>
  <c r="H27" i="39" l="1"/>
  <c r="H29" i="38"/>
  <c r="H32" i="38" s="1"/>
  <c r="J27" i="38"/>
  <c r="L27" i="37"/>
  <c r="L29" i="37" s="1"/>
  <c r="L32" i="37" s="1"/>
  <c r="K27" i="37"/>
  <c r="K29" i="37" s="1"/>
  <c r="K32" i="37" s="1"/>
  <c r="J29" i="37"/>
  <c r="J32" i="37" s="1"/>
  <c r="L56" i="34"/>
  <c r="L55" i="34"/>
  <c r="L54" i="34"/>
  <c r="L53" i="34"/>
  <c r="L52" i="34"/>
  <c r="L51" i="34"/>
  <c r="L50" i="34"/>
  <c r="L47" i="34"/>
  <c r="L43" i="34"/>
  <c r="L39" i="34"/>
  <c r="L38" i="34"/>
  <c r="I67" i="34"/>
  <c r="I68" i="34" s="1"/>
  <c r="H67" i="34"/>
  <c r="I63" i="34"/>
  <c r="H63" i="34"/>
  <c r="I62" i="34"/>
  <c r="H62" i="34"/>
  <c r="I58" i="34"/>
  <c r="H58" i="34"/>
  <c r="J58" i="34" s="1"/>
  <c r="K58" i="34" s="1"/>
  <c r="I57" i="34"/>
  <c r="H57" i="34"/>
  <c r="I56" i="34"/>
  <c r="H56" i="34"/>
  <c r="I55" i="34"/>
  <c r="H55" i="34"/>
  <c r="I54" i="34"/>
  <c r="H54" i="34"/>
  <c r="I53" i="34"/>
  <c r="J53" i="34" s="1"/>
  <c r="H53" i="34"/>
  <c r="I52" i="34"/>
  <c r="H52" i="34"/>
  <c r="I51" i="34"/>
  <c r="H51" i="34"/>
  <c r="I50" i="34"/>
  <c r="J50" i="34" s="1"/>
  <c r="K50" i="34" s="1"/>
  <c r="H50" i="34"/>
  <c r="I49" i="34"/>
  <c r="H49" i="34"/>
  <c r="I48" i="34"/>
  <c r="J48" i="34" s="1"/>
  <c r="L48" i="34" s="1"/>
  <c r="H48" i="34"/>
  <c r="I47" i="34"/>
  <c r="J47" i="34" s="1"/>
  <c r="H47" i="34"/>
  <c r="I46" i="34"/>
  <c r="H46" i="34"/>
  <c r="J46" i="34" s="1"/>
  <c r="L46" i="34" s="1"/>
  <c r="I45" i="34"/>
  <c r="H45" i="34"/>
  <c r="J45" i="34" s="1"/>
  <c r="L45" i="34" s="1"/>
  <c r="I44" i="34"/>
  <c r="H44" i="34"/>
  <c r="I43" i="34"/>
  <c r="H43" i="34"/>
  <c r="I42" i="34"/>
  <c r="H42" i="34"/>
  <c r="J42" i="34" s="1"/>
  <c r="L42" i="34" s="1"/>
  <c r="I41" i="34"/>
  <c r="H41" i="34"/>
  <c r="I40" i="34"/>
  <c r="H40" i="34"/>
  <c r="I39" i="34"/>
  <c r="H39" i="34"/>
  <c r="I38" i="34"/>
  <c r="J38" i="34" s="1"/>
  <c r="K38" i="34" s="1"/>
  <c r="H38" i="34"/>
  <c r="I37" i="34"/>
  <c r="H37" i="34"/>
  <c r="I36" i="34"/>
  <c r="H36" i="34"/>
  <c r="I35" i="34"/>
  <c r="H35" i="34"/>
  <c r="I27" i="34"/>
  <c r="I29" i="34" s="1"/>
  <c r="H27" i="34"/>
  <c r="H29" i="34" s="1"/>
  <c r="I23" i="34"/>
  <c r="H23" i="34"/>
  <c r="I22" i="34"/>
  <c r="H22" i="34"/>
  <c r="I17" i="34"/>
  <c r="H17" i="34"/>
  <c r="I16" i="34"/>
  <c r="H16" i="34"/>
  <c r="I15" i="34"/>
  <c r="H15" i="34"/>
  <c r="I14" i="34"/>
  <c r="H14" i="34"/>
  <c r="I13" i="34"/>
  <c r="H13" i="34"/>
  <c r="J13" i="34" s="1"/>
  <c r="L13" i="34" s="1"/>
  <c r="I12" i="34"/>
  <c r="H12" i="34"/>
  <c r="I11" i="34"/>
  <c r="H11" i="34"/>
  <c r="J11" i="34" s="1"/>
  <c r="L11" i="34" s="1"/>
  <c r="I10" i="34"/>
  <c r="H10" i="34"/>
  <c r="I9" i="34"/>
  <c r="H9" i="34"/>
  <c r="J9" i="34" s="1"/>
  <c r="I8" i="34"/>
  <c r="H8" i="34"/>
  <c r="I7" i="34"/>
  <c r="H7" i="34"/>
  <c r="I6" i="34"/>
  <c r="H6" i="34"/>
  <c r="J6" i="34" s="1"/>
  <c r="I5" i="34"/>
  <c r="H5" i="34"/>
  <c r="J5" i="34" s="1"/>
  <c r="L5" i="34" s="1"/>
  <c r="I4" i="34"/>
  <c r="H4" i="34"/>
  <c r="I3" i="34"/>
  <c r="H3" i="34"/>
  <c r="J3" i="34" s="1"/>
  <c r="L3" i="34" s="1"/>
  <c r="G68" i="34"/>
  <c r="F68" i="34"/>
  <c r="E68" i="34"/>
  <c r="D68" i="34"/>
  <c r="C68" i="34"/>
  <c r="G64" i="34"/>
  <c r="F64" i="34"/>
  <c r="E64" i="34"/>
  <c r="D64" i="34"/>
  <c r="C64" i="34"/>
  <c r="C59" i="34"/>
  <c r="J56" i="34"/>
  <c r="K56" i="34" s="1"/>
  <c r="J55" i="34"/>
  <c r="J54" i="34"/>
  <c r="J51" i="34"/>
  <c r="C46" i="34"/>
  <c r="J43" i="34"/>
  <c r="C43" i="34"/>
  <c r="J39" i="34"/>
  <c r="G29" i="34"/>
  <c r="F29" i="34"/>
  <c r="E29" i="34"/>
  <c r="D29" i="34"/>
  <c r="C29" i="34"/>
  <c r="J28" i="34"/>
  <c r="L28" i="34" s="1"/>
  <c r="I28" i="34"/>
  <c r="H28" i="34"/>
  <c r="G24" i="34"/>
  <c r="F24" i="34"/>
  <c r="E24" i="34"/>
  <c r="D24" i="34"/>
  <c r="C24" i="34"/>
  <c r="I21" i="34"/>
  <c r="J21" i="34" s="1"/>
  <c r="H21" i="34"/>
  <c r="E18" i="34"/>
  <c r="D18" i="34"/>
  <c r="C18" i="34"/>
  <c r="C32" i="34" s="1"/>
  <c r="C15" i="34"/>
  <c r="C12" i="34"/>
  <c r="C5" i="34"/>
  <c r="G18" i="34"/>
  <c r="L27" i="38" l="1"/>
  <c r="L29" i="38" s="1"/>
  <c r="L32" i="38" s="1"/>
  <c r="J29" i="38"/>
  <c r="J32" i="38" s="1"/>
  <c r="K27" i="38"/>
  <c r="K29" i="38" s="1"/>
  <c r="K32" i="38" s="1"/>
  <c r="H27" i="40"/>
  <c r="H29" i="39"/>
  <c r="H32" i="39" s="1"/>
  <c r="J27" i="39"/>
  <c r="J15" i="34"/>
  <c r="L15" i="34" s="1"/>
  <c r="J44" i="34"/>
  <c r="L44" i="34" s="1"/>
  <c r="J49" i="34"/>
  <c r="L49" i="34" s="1"/>
  <c r="H64" i="34"/>
  <c r="J67" i="34"/>
  <c r="L67" i="34" s="1"/>
  <c r="L68" i="34" s="1"/>
  <c r="J27" i="34"/>
  <c r="L27" i="34" s="1"/>
  <c r="L29" i="34" s="1"/>
  <c r="J16" i="34"/>
  <c r="L16" i="34" s="1"/>
  <c r="H24" i="34"/>
  <c r="J22" i="34"/>
  <c r="L22" i="34" s="1"/>
  <c r="J23" i="34"/>
  <c r="L23" i="34" s="1"/>
  <c r="D32" i="34"/>
  <c r="J37" i="34"/>
  <c r="L37" i="34" s="1"/>
  <c r="J14" i="34"/>
  <c r="L14" i="34" s="1"/>
  <c r="J12" i="34"/>
  <c r="L12" i="34" s="1"/>
  <c r="K9" i="34"/>
  <c r="L9" i="34"/>
  <c r="J8" i="34"/>
  <c r="L8" i="34" s="1"/>
  <c r="J7" i="34"/>
  <c r="L7" i="34" s="1"/>
  <c r="K6" i="34"/>
  <c r="L6" i="34"/>
  <c r="L58" i="34"/>
  <c r="J36" i="34"/>
  <c r="L36" i="34" s="1"/>
  <c r="I64" i="34"/>
  <c r="J63" i="34"/>
  <c r="L63" i="34" s="1"/>
  <c r="K47" i="34"/>
  <c r="K37" i="34"/>
  <c r="K44" i="34"/>
  <c r="K55" i="34"/>
  <c r="J41" i="34"/>
  <c r="J52" i="34"/>
  <c r="J40" i="34"/>
  <c r="L40" i="34" s="1"/>
  <c r="J57" i="34"/>
  <c r="L57" i="34" s="1"/>
  <c r="E32" i="34"/>
  <c r="K23" i="34"/>
  <c r="I24" i="34"/>
  <c r="K14" i="34"/>
  <c r="K15" i="34"/>
  <c r="J10" i="34"/>
  <c r="L10" i="34" s="1"/>
  <c r="J17" i="34"/>
  <c r="L17" i="34" s="1"/>
  <c r="K11" i="34"/>
  <c r="L21" i="34"/>
  <c r="K21" i="34"/>
  <c r="K7" i="34"/>
  <c r="K12" i="34"/>
  <c r="K45" i="34"/>
  <c r="K51" i="34"/>
  <c r="K53" i="34"/>
  <c r="K5" i="34"/>
  <c r="K13" i="34"/>
  <c r="K3" i="34"/>
  <c r="H59" i="34"/>
  <c r="K36" i="34"/>
  <c r="K43" i="34"/>
  <c r="K52" i="34"/>
  <c r="I59" i="34"/>
  <c r="K42" i="34"/>
  <c r="K48" i="34"/>
  <c r="K54" i="34"/>
  <c r="K63" i="34"/>
  <c r="F18" i="34"/>
  <c r="F32" i="34" s="1"/>
  <c r="K28" i="34"/>
  <c r="J35" i="34"/>
  <c r="L35" i="34" s="1"/>
  <c r="J68" i="34"/>
  <c r="G32" i="34"/>
  <c r="K39" i="34"/>
  <c r="K46" i="34"/>
  <c r="H68" i="34"/>
  <c r="J62" i="34"/>
  <c r="L62" i="34" s="1"/>
  <c r="I18" i="34"/>
  <c r="G4" i="33"/>
  <c r="F4" i="33"/>
  <c r="E58" i="33"/>
  <c r="D58" i="33"/>
  <c r="E48" i="33"/>
  <c r="D48" i="33"/>
  <c r="E45" i="33"/>
  <c r="D45" i="33"/>
  <c r="H27" i="41" l="1"/>
  <c r="H29" i="40"/>
  <c r="H32" i="40" s="1"/>
  <c r="J27" i="40"/>
  <c r="L27" i="39"/>
  <c r="L29" i="39" s="1"/>
  <c r="L32" i="39" s="1"/>
  <c r="K27" i="39"/>
  <c r="K29" i="39" s="1"/>
  <c r="K32" i="39" s="1"/>
  <c r="J29" i="39"/>
  <c r="J32" i="39" s="1"/>
  <c r="K41" i="34"/>
  <c r="L41" i="34"/>
  <c r="L59" i="34" s="1"/>
  <c r="K49" i="34"/>
  <c r="K57" i="34"/>
  <c r="K67" i="34"/>
  <c r="K68" i="34" s="1"/>
  <c r="K27" i="34"/>
  <c r="K29" i="34" s="1"/>
  <c r="J29" i="34"/>
  <c r="K16" i="34"/>
  <c r="I32" i="34"/>
  <c r="L24" i="34"/>
  <c r="K22" i="34"/>
  <c r="K24" i="34" s="1"/>
  <c r="J24" i="34"/>
  <c r="K8" i="34"/>
  <c r="K10" i="34"/>
  <c r="K40" i="34"/>
  <c r="K17" i="34"/>
  <c r="L64" i="34"/>
  <c r="K62" i="34"/>
  <c r="K64" i="34" s="1"/>
  <c r="J64" i="34"/>
  <c r="J59" i="34"/>
  <c r="K35" i="34"/>
  <c r="H18" i="34"/>
  <c r="H32" i="34" s="1"/>
  <c r="J4" i="34"/>
  <c r="L4" i="34" s="1"/>
  <c r="G7" i="33"/>
  <c r="F7" i="33"/>
  <c r="L27" i="40" l="1"/>
  <c r="L29" i="40" s="1"/>
  <c r="L32" i="40" s="1"/>
  <c r="K27" i="40"/>
  <c r="K29" i="40" s="1"/>
  <c r="K32" i="40" s="1"/>
  <c r="J29" i="40"/>
  <c r="J32" i="40" s="1"/>
  <c r="H27" i="42"/>
  <c r="H29" i="41"/>
  <c r="H32" i="41" s="1"/>
  <c r="J27" i="41"/>
  <c r="K59" i="34"/>
  <c r="L18" i="34"/>
  <c r="L32" i="34" s="1"/>
  <c r="K4" i="34"/>
  <c r="K18" i="34" s="1"/>
  <c r="K32" i="34" s="1"/>
  <c r="J18" i="34"/>
  <c r="J32" i="34" s="1"/>
  <c r="L55" i="33"/>
  <c r="L54" i="33"/>
  <c r="L53" i="33"/>
  <c r="L52" i="33"/>
  <c r="L51" i="33"/>
  <c r="L50" i="33"/>
  <c r="L47" i="33"/>
  <c r="L43" i="33"/>
  <c r="L39" i="33"/>
  <c r="L38" i="33"/>
  <c r="L9" i="33"/>
  <c r="L67" i="32"/>
  <c r="L63" i="32"/>
  <c r="L62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27" i="32"/>
  <c r="L23" i="32"/>
  <c r="L22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I67" i="33"/>
  <c r="I68" i="33" s="1"/>
  <c r="H67" i="33"/>
  <c r="H68" i="33" s="1"/>
  <c r="I63" i="33"/>
  <c r="H63" i="33"/>
  <c r="I62" i="33"/>
  <c r="H62" i="33"/>
  <c r="H64" i="33" s="1"/>
  <c r="I58" i="33"/>
  <c r="H58" i="33"/>
  <c r="I57" i="33"/>
  <c r="H57" i="33"/>
  <c r="J57" i="33" s="1"/>
  <c r="L57" i="33" s="1"/>
  <c r="I56" i="33"/>
  <c r="H56" i="33"/>
  <c r="I55" i="33"/>
  <c r="H55" i="33"/>
  <c r="J55" i="33" s="1"/>
  <c r="I54" i="33"/>
  <c r="H54" i="33"/>
  <c r="I53" i="33"/>
  <c r="H53" i="33"/>
  <c r="J53" i="33" s="1"/>
  <c r="I52" i="33"/>
  <c r="H52" i="33"/>
  <c r="J52" i="33" s="1"/>
  <c r="I51" i="33"/>
  <c r="H51" i="33"/>
  <c r="I50" i="33"/>
  <c r="H50" i="33"/>
  <c r="I49" i="33"/>
  <c r="H49" i="33"/>
  <c r="J49" i="33" s="1"/>
  <c r="I48" i="33"/>
  <c r="H48" i="33"/>
  <c r="I47" i="33"/>
  <c r="H47" i="33"/>
  <c r="J47" i="33" s="1"/>
  <c r="I46" i="33"/>
  <c r="H46" i="33"/>
  <c r="I45" i="33"/>
  <c r="H45" i="33"/>
  <c r="I44" i="33"/>
  <c r="H44" i="33"/>
  <c r="I43" i="33"/>
  <c r="H43" i="33"/>
  <c r="I42" i="33"/>
  <c r="H42" i="33"/>
  <c r="I41" i="33"/>
  <c r="H41" i="33"/>
  <c r="J41" i="33" s="1"/>
  <c r="L41" i="33" s="1"/>
  <c r="I40" i="33"/>
  <c r="H40" i="33"/>
  <c r="I39" i="33"/>
  <c r="H39" i="33"/>
  <c r="I38" i="33"/>
  <c r="H38" i="33"/>
  <c r="J38" i="33" s="1"/>
  <c r="I37" i="33"/>
  <c r="H37" i="33"/>
  <c r="J37" i="33" s="1"/>
  <c r="L37" i="33" s="1"/>
  <c r="I36" i="33"/>
  <c r="H36" i="33"/>
  <c r="I35" i="33"/>
  <c r="H35" i="33"/>
  <c r="I27" i="33"/>
  <c r="I29" i="33" s="1"/>
  <c r="H27" i="33"/>
  <c r="H29" i="33" s="1"/>
  <c r="I23" i="33"/>
  <c r="H23" i="33"/>
  <c r="I22" i="33"/>
  <c r="H22" i="33"/>
  <c r="I17" i="33"/>
  <c r="H17" i="33"/>
  <c r="J17" i="33" s="1"/>
  <c r="L17" i="33" s="1"/>
  <c r="I16" i="33"/>
  <c r="H16" i="33"/>
  <c r="I15" i="33"/>
  <c r="H15" i="33"/>
  <c r="J15" i="33" s="1"/>
  <c r="L15" i="33" s="1"/>
  <c r="I14" i="33"/>
  <c r="H14" i="33"/>
  <c r="J14" i="33" s="1"/>
  <c r="L14" i="33" s="1"/>
  <c r="I13" i="33"/>
  <c r="H13" i="33"/>
  <c r="I12" i="33"/>
  <c r="H12" i="33"/>
  <c r="I11" i="33"/>
  <c r="H11" i="33"/>
  <c r="I10" i="33"/>
  <c r="H10" i="33"/>
  <c r="I9" i="33"/>
  <c r="H9" i="33"/>
  <c r="J9" i="33" s="1"/>
  <c r="I8" i="33"/>
  <c r="H8" i="33"/>
  <c r="I7" i="33"/>
  <c r="H7" i="33"/>
  <c r="J7" i="33" s="1"/>
  <c r="L7" i="33" s="1"/>
  <c r="I6" i="33"/>
  <c r="H6" i="33"/>
  <c r="J6" i="33" s="1"/>
  <c r="L6" i="33" s="1"/>
  <c r="I5" i="33"/>
  <c r="H5" i="33"/>
  <c r="I3" i="33"/>
  <c r="H3" i="33"/>
  <c r="I4" i="33"/>
  <c r="H4" i="33"/>
  <c r="G68" i="33"/>
  <c r="F68" i="33"/>
  <c r="E68" i="33"/>
  <c r="D68" i="33"/>
  <c r="C68" i="33"/>
  <c r="G64" i="33"/>
  <c r="F64" i="33"/>
  <c r="E64" i="33"/>
  <c r="D64" i="33"/>
  <c r="C64" i="33"/>
  <c r="J51" i="33"/>
  <c r="C46" i="33"/>
  <c r="C43" i="33"/>
  <c r="J39" i="33"/>
  <c r="G29" i="33"/>
  <c r="F29" i="33"/>
  <c r="E29" i="33"/>
  <c r="D29" i="33"/>
  <c r="C29" i="33"/>
  <c r="I28" i="33"/>
  <c r="H28" i="33"/>
  <c r="J28" i="33" s="1"/>
  <c r="G24" i="33"/>
  <c r="F24" i="33"/>
  <c r="E24" i="33"/>
  <c r="D24" i="33"/>
  <c r="C24" i="33"/>
  <c r="I21" i="33"/>
  <c r="H21" i="33"/>
  <c r="J21" i="33" s="1"/>
  <c r="G18" i="33"/>
  <c r="F18" i="33"/>
  <c r="D18" i="33"/>
  <c r="C15" i="33"/>
  <c r="C12" i="33"/>
  <c r="C5" i="33"/>
  <c r="C18" i="33" s="1"/>
  <c r="C32" i="33" s="1"/>
  <c r="L27" i="41" l="1"/>
  <c r="L29" i="41" s="1"/>
  <c r="L32" i="41" s="1"/>
  <c r="K27" i="41"/>
  <c r="K29" i="41" s="1"/>
  <c r="K32" i="41" s="1"/>
  <c r="J29" i="41"/>
  <c r="J32" i="41" s="1"/>
  <c r="H27" i="43"/>
  <c r="H29" i="42"/>
  <c r="H32" i="42" s="1"/>
  <c r="J27" i="42"/>
  <c r="J35" i="33"/>
  <c r="L35" i="33" s="1"/>
  <c r="J22" i="33"/>
  <c r="L22" i="33" s="1"/>
  <c r="J10" i="33"/>
  <c r="L10" i="33" s="1"/>
  <c r="J5" i="33"/>
  <c r="L5" i="33" s="1"/>
  <c r="J62" i="33"/>
  <c r="L62" i="33" s="1"/>
  <c r="J27" i="33"/>
  <c r="I24" i="33"/>
  <c r="J11" i="33"/>
  <c r="L11" i="33" s="1"/>
  <c r="J8" i="33"/>
  <c r="L8" i="33" s="1"/>
  <c r="J44" i="33"/>
  <c r="L44" i="33" s="1"/>
  <c r="K49" i="33"/>
  <c r="L49" i="33"/>
  <c r="J45" i="33"/>
  <c r="L45" i="33" s="1"/>
  <c r="J4" i="33"/>
  <c r="L4" i="33" s="1"/>
  <c r="J67" i="33"/>
  <c r="K67" i="33"/>
  <c r="K68" i="33" s="1"/>
  <c r="I64" i="33"/>
  <c r="J63" i="33"/>
  <c r="K55" i="33"/>
  <c r="K41" i="33"/>
  <c r="H59" i="33"/>
  <c r="J46" i="33"/>
  <c r="L46" i="33" s="1"/>
  <c r="J58" i="33"/>
  <c r="J40" i="33"/>
  <c r="J42" i="33"/>
  <c r="L42" i="33" s="1"/>
  <c r="J54" i="33"/>
  <c r="K54" i="33" s="1"/>
  <c r="J56" i="33"/>
  <c r="L56" i="33" s="1"/>
  <c r="J36" i="33"/>
  <c r="L36" i="33" s="1"/>
  <c r="J43" i="33"/>
  <c r="K43" i="33" s="1"/>
  <c r="K46" i="33"/>
  <c r="J48" i="33"/>
  <c r="J50" i="33"/>
  <c r="K50" i="33" s="1"/>
  <c r="D32" i="33"/>
  <c r="F32" i="33"/>
  <c r="G32" i="33"/>
  <c r="J23" i="33"/>
  <c r="H24" i="33"/>
  <c r="K9" i="33"/>
  <c r="J16" i="33"/>
  <c r="L16" i="33" s="1"/>
  <c r="J12" i="33"/>
  <c r="L12" i="33" s="1"/>
  <c r="H18" i="33"/>
  <c r="I18" i="33"/>
  <c r="K52" i="33"/>
  <c r="K57" i="33"/>
  <c r="K6" i="33"/>
  <c r="K11" i="33"/>
  <c r="L28" i="33"/>
  <c r="K28" i="33"/>
  <c r="J13" i="33"/>
  <c r="L13" i="33" s="1"/>
  <c r="K14" i="33"/>
  <c r="K37" i="33"/>
  <c r="K51" i="33"/>
  <c r="K38" i="33"/>
  <c r="L21" i="33"/>
  <c r="K21" i="33"/>
  <c r="K10" i="33"/>
  <c r="K15" i="33"/>
  <c r="K17" i="33"/>
  <c r="J29" i="33"/>
  <c r="K39" i="33"/>
  <c r="J3" i="33"/>
  <c r="L3" i="33" s="1"/>
  <c r="K5" i="33"/>
  <c r="C59" i="33"/>
  <c r="E18" i="33"/>
  <c r="E32" i="33" s="1"/>
  <c r="K35" i="33"/>
  <c r="I59" i="33"/>
  <c r="K7" i="33"/>
  <c r="K47" i="33"/>
  <c r="K53" i="33"/>
  <c r="E13" i="32"/>
  <c r="D13" i="32"/>
  <c r="L27" i="42" l="1"/>
  <c r="L29" i="42" s="1"/>
  <c r="L32" i="42" s="1"/>
  <c r="K27" i="42"/>
  <c r="K29" i="42" s="1"/>
  <c r="K32" i="42" s="1"/>
  <c r="J29" i="42"/>
  <c r="J32" i="42" s="1"/>
  <c r="H27" i="44"/>
  <c r="J27" i="43"/>
  <c r="H29" i="43"/>
  <c r="H32" i="43" s="1"/>
  <c r="J68" i="33"/>
  <c r="L67" i="33"/>
  <c r="L68" i="33" s="1"/>
  <c r="J64" i="33"/>
  <c r="L63" i="33"/>
  <c r="K36" i="33"/>
  <c r="K22" i="33"/>
  <c r="I32" i="33"/>
  <c r="K62" i="33"/>
  <c r="K27" i="33"/>
  <c r="K29" i="33" s="1"/>
  <c r="L27" i="33"/>
  <c r="L29" i="33" s="1"/>
  <c r="K16" i="33"/>
  <c r="K23" i="33"/>
  <c r="K24" i="33" s="1"/>
  <c r="L23" i="33"/>
  <c r="K8" i="33"/>
  <c r="K4" i="33"/>
  <c r="K44" i="33"/>
  <c r="K40" i="33"/>
  <c r="L40" i="33"/>
  <c r="K58" i="33"/>
  <c r="L58" i="33"/>
  <c r="K48" i="33"/>
  <c r="L48" i="33"/>
  <c r="K45" i="33"/>
  <c r="K63" i="33"/>
  <c r="L64" i="33"/>
  <c r="J59" i="33"/>
  <c r="K56" i="33"/>
  <c r="J24" i="33"/>
  <c r="H32" i="33"/>
  <c r="K42" i="33"/>
  <c r="L24" i="33"/>
  <c r="K12" i="33"/>
  <c r="J18" i="33"/>
  <c r="K3" i="33"/>
  <c r="K13" i="33"/>
  <c r="I37" i="32"/>
  <c r="H37" i="32"/>
  <c r="L27" i="43" l="1"/>
  <c r="L29" i="43" s="1"/>
  <c r="L32" i="43" s="1"/>
  <c r="K27" i="43"/>
  <c r="K29" i="43" s="1"/>
  <c r="K32" i="43" s="1"/>
  <c r="J29" i="43"/>
  <c r="J32" i="43" s="1"/>
  <c r="H29" i="44"/>
  <c r="H32" i="44" s="1"/>
  <c r="H27" i="45"/>
  <c r="J27" i="44"/>
  <c r="K64" i="33"/>
  <c r="J32" i="33"/>
  <c r="L59" i="33"/>
  <c r="K59" i="33"/>
  <c r="K18" i="33"/>
  <c r="K32" i="33" s="1"/>
  <c r="L18" i="33"/>
  <c r="L32" i="33" s="1"/>
  <c r="J37" i="32"/>
  <c r="K37" i="32" s="1"/>
  <c r="H27" i="46" l="1"/>
  <c r="H29" i="45"/>
  <c r="H32" i="45" s="1"/>
  <c r="J27" i="45"/>
  <c r="L27" i="44"/>
  <c r="L29" i="44" s="1"/>
  <c r="L32" i="44" s="1"/>
  <c r="J29" i="44"/>
  <c r="J32" i="44" s="1"/>
  <c r="K27" i="44"/>
  <c r="K29" i="44" s="1"/>
  <c r="K32" i="44" s="1"/>
  <c r="I67" i="32"/>
  <c r="H67" i="32"/>
  <c r="I63" i="32"/>
  <c r="H63" i="32"/>
  <c r="I62" i="32"/>
  <c r="H62" i="32"/>
  <c r="I58" i="32"/>
  <c r="H58" i="32"/>
  <c r="J58" i="32" s="1"/>
  <c r="I57" i="32"/>
  <c r="H57" i="32"/>
  <c r="J57" i="32" s="1"/>
  <c r="I56" i="32"/>
  <c r="H56" i="32"/>
  <c r="I55" i="32"/>
  <c r="H55" i="32"/>
  <c r="J55" i="32" s="1"/>
  <c r="I54" i="32"/>
  <c r="H54" i="32"/>
  <c r="J54" i="32" s="1"/>
  <c r="K54" i="32" s="1"/>
  <c r="I53" i="32"/>
  <c r="H53" i="32"/>
  <c r="I52" i="32"/>
  <c r="H52" i="32"/>
  <c r="J52" i="32" s="1"/>
  <c r="I51" i="32"/>
  <c r="H51" i="32"/>
  <c r="I50" i="32"/>
  <c r="H50" i="32"/>
  <c r="J50" i="32" s="1"/>
  <c r="I49" i="32"/>
  <c r="H49" i="32"/>
  <c r="I48" i="32"/>
  <c r="H48" i="32"/>
  <c r="J48" i="32" s="1"/>
  <c r="K48" i="32" s="1"/>
  <c r="I47" i="32"/>
  <c r="H47" i="32"/>
  <c r="I46" i="32"/>
  <c r="H46" i="32"/>
  <c r="I45" i="32"/>
  <c r="H45" i="32"/>
  <c r="I44" i="32"/>
  <c r="H44" i="32"/>
  <c r="I43" i="32"/>
  <c r="H43" i="32"/>
  <c r="J43" i="32" s="1"/>
  <c r="I42" i="32"/>
  <c r="H42" i="32"/>
  <c r="I41" i="32"/>
  <c r="H41" i="32"/>
  <c r="I40" i="32"/>
  <c r="H40" i="32"/>
  <c r="I39" i="32"/>
  <c r="H39" i="32"/>
  <c r="I38" i="32"/>
  <c r="H38" i="32"/>
  <c r="I36" i="32"/>
  <c r="H36" i="32"/>
  <c r="I35" i="32"/>
  <c r="H35" i="32"/>
  <c r="J35" i="32" s="1"/>
  <c r="I27" i="32"/>
  <c r="H27" i="32"/>
  <c r="I23" i="32"/>
  <c r="H23" i="32"/>
  <c r="I22" i="32"/>
  <c r="H22" i="32"/>
  <c r="I17" i="32"/>
  <c r="H17" i="32"/>
  <c r="I16" i="32"/>
  <c r="H16" i="32"/>
  <c r="I15" i="32"/>
  <c r="H15" i="32"/>
  <c r="I14" i="32"/>
  <c r="H14" i="32"/>
  <c r="I13" i="32"/>
  <c r="H13" i="32"/>
  <c r="I12" i="32"/>
  <c r="H12" i="32"/>
  <c r="I11" i="32"/>
  <c r="H11" i="32"/>
  <c r="I10" i="32"/>
  <c r="H10" i="32"/>
  <c r="I9" i="32"/>
  <c r="H9" i="32"/>
  <c r="J9" i="32" s="1"/>
  <c r="I8" i="32"/>
  <c r="H8" i="32"/>
  <c r="I7" i="32"/>
  <c r="H7" i="32"/>
  <c r="I6" i="32"/>
  <c r="H6" i="32"/>
  <c r="J6" i="32" s="1"/>
  <c r="I5" i="32"/>
  <c r="H5" i="32"/>
  <c r="J5" i="32" s="1"/>
  <c r="I4" i="32"/>
  <c r="H4" i="32"/>
  <c r="J4" i="32" s="1"/>
  <c r="G68" i="32"/>
  <c r="F68" i="32"/>
  <c r="E68" i="32"/>
  <c r="D68" i="32"/>
  <c r="C68" i="32"/>
  <c r="I68" i="32"/>
  <c r="G64" i="32"/>
  <c r="F64" i="32"/>
  <c r="E64" i="32"/>
  <c r="D64" i="32"/>
  <c r="C64" i="32"/>
  <c r="J51" i="32"/>
  <c r="J47" i="32"/>
  <c r="C46" i="32"/>
  <c r="C43" i="32"/>
  <c r="C59" i="32" s="1"/>
  <c r="G29" i="32"/>
  <c r="F29" i="32"/>
  <c r="E29" i="32"/>
  <c r="D29" i="32"/>
  <c r="C29" i="32"/>
  <c r="I28" i="32"/>
  <c r="H28" i="32"/>
  <c r="H29" i="32"/>
  <c r="G24" i="32"/>
  <c r="F24" i="32"/>
  <c r="E24" i="32"/>
  <c r="D24" i="32"/>
  <c r="C24" i="32"/>
  <c r="I21" i="32"/>
  <c r="H21" i="32"/>
  <c r="J21" i="32" s="1"/>
  <c r="G18" i="32"/>
  <c r="F18" i="32"/>
  <c r="E18" i="32"/>
  <c r="D18" i="32"/>
  <c r="C15" i="32"/>
  <c r="C12" i="32"/>
  <c r="J10" i="32"/>
  <c r="C5" i="32"/>
  <c r="C18" i="32" s="1"/>
  <c r="C32" i="32" s="1"/>
  <c r="I3" i="32"/>
  <c r="H3" i="32"/>
  <c r="L27" i="45" l="1"/>
  <c r="L29" i="45" s="1"/>
  <c r="L32" i="45" s="1"/>
  <c r="K27" i="45"/>
  <c r="K29" i="45" s="1"/>
  <c r="K32" i="45" s="1"/>
  <c r="J29" i="45"/>
  <c r="J32" i="45" s="1"/>
  <c r="H30" i="47"/>
  <c r="J27" i="46"/>
  <c r="H29" i="46"/>
  <c r="H32" i="46" s="1"/>
  <c r="J44" i="32"/>
  <c r="J46" i="32"/>
  <c r="J56" i="32"/>
  <c r="J63" i="32"/>
  <c r="J67" i="32"/>
  <c r="L68" i="32" s="1"/>
  <c r="J17" i="32"/>
  <c r="J27" i="32"/>
  <c r="D32" i="32"/>
  <c r="J12" i="32"/>
  <c r="J11" i="32"/>
  <c r="J8" i="32"/>
  <c r="J45" i="32"/>
  <c r="J28" i="32"/>
  <c r="I29" i="32"/>
  <c r="J36" i="32"/>
  <c r="J38" i="32"/>
  <c r="J42" i="32"/>
  <c r="J40" i="32"/>
  <c r="H64" i="32"/>
  <c r="I64" i="32"/>
  <c r="K50" i="32"/>
  <c r="J39" i="32"/>
  <c r="J53" i="32"/>
  <c r="I59" i="32"/>
  <c r="J41" i="32"/>
  <c r="J49" i="32"/>
  <c r="J22" i="32"/>
  <c r="H24" i="32"/>
  <c r="G32" i="32"/>
  <c r="J23" i="32"/>
  <c r="F32" i="32"/>
  <c r="K11" i="32"/>
  <c r="K4" i="32"/>
  <c r="H18" i="32"/>
  <c r="J15" i="32"/>
  <c r="I18" i="32"/>
  <c r="J7" i="32"/>
  <c r="J13" i="32"/>
  <c r="E32" i="32"/>
  <c r="K12" i="32"/>
  <c r="J14" i="32"/>
  <c r="J16" i="32"/>
  <c r="K44" i="32"/>
  <c r="K6" i="32"/>
  <c r="L21" i="32"/>
  <c r="K21" i="32"/>
  <c r="K45" i="32"/>
  <c r="K47" i="32"/>
  <c r="K52" i="32"/>
  <c r="K51" i="32"/>
  <c r="K22" i="32"/>
  <c r="K39" i="32"/>
  <c r="K55" i="32"/>
  <c r="K57" i="32"/>
  <c r="K10" i="32"/>
  <c r="L28" i="32"/>
  <c r="K28" i="32"/>
  <c r="K58" i="32"/>
  <c r="I24" i="32"/>
  <c r="J3" i="32"/>
  <c r="K5" i="32"/>
  <c r="K35" i="32"/>
  <c r="K43" i="32"/>
  <c r="H68" i="32"/>
  <c r="H59" i="32"/>
  <c r="K9" i="32"/>
  <c r="J62" i="32"/>
  <c r="C12" i="31"/>
  <c r="C42" i="31"/>
  <c r="H30" i="48" l="1"/>
  <c r="J30" i="47"/>
  <c r="H32" i="47"/>
  <c r="H35" i="47" s="1"/>
  <c r="L27" i="46"/>
  <c r="L29" i="46" s="1"/>
  <c r="L32" i="46" s="1"/>
  <c r="K27" i="46"/>
  <c r="K29" i="46" s="1"/>
  <c r="K32" i="46" s="1"/>
  <c r="J29" i="46"/>
  <c r="J32" i="46" s="1"/>
  <c r="K36" i="32"/>
  <c r="K46" i="32"/>
  <c r="K56" i="32"/>
  <c r="K63" i="32"/>
  <c r="J68" i="32"/>
  <c r="K67" i="32"/>
  <c r="K68" i="32" s="1"/>
  <c r="K17" i="32"/>
  <c r="J29" i="32"/>
  <c r="K27" i="32"/>
  <c r="K29" i="32" s="1"/>
  <c r="K8" i="32"/>
  <c r="K38" i="32"/>
  <c r="K7" i="32"/>
  <c r="I32" i="32"/>
  <c r="K16" i="32"/>
  <c r="K53" i="32"/>
  <c r="K49" i="32"/>
  <c r="K42" i="32"/>
  <c r="K40" i="32"/>
  <c r="K41" i="32"/>
  <c r="K13" i="32"/>
  <c r="J59" i="32"/>
  <c r="K14" i="32"/>
  <c r="H32" i="32"/>
  <c r="L29" i="32"/>
  <c r="K23" i="32"/>
  <c r="K24" i="32" s="1"/>
  <c r="J24" i="32"/>
  <c r="K15" i="32"/>
  <c r="K3" i="32"/>
  <c r="J18" i="32"/>
  <c r="L64" i="32"/>
  <c r="K62" i="32"/>
  <c r="J64" i="32"/>
  <c r="L24" i="32"/>
  <c r="H11" i="29"/>
  <c r="E10" i="28"/>
  <c r="D10" i="28"/>
  <c r="K30" i="47" l="1"/>
  <c r="K32" i="47" s="1"/>
  <c r="K35" i="47" s="1"/>
  <c r="J32" i="47"/>
  <c r="J35" i="47" s="1"/>
  <c r="L30" i="47"/>
  <c r="L32" i="47" s="1"/>
  <c r="L35" i="47" s="1"/>
  <c r="J30" i="48"/>
  <c r="H32" i="48"/>
  <c r="H35" i="48" s="1"/>
  <c r="K64" i="32"/>
  <c r="K59" i="32"/>
  <c r="L59" i="32"/>
  <c r="L18" i="32"/>
  <c r="L32" i="32" s="1"/>
  <c r="J32" i="32"/>
  <c r="K18" i="32"/>
  <c r="K32" i="32" s="1"/>
  <c r="I44" i="31"/>
  <c r="H44" i="31"/>
  <c r="L30" i="48" l="1"/>
  <c r="L32" i="48" s="1"/>
  <c r="L35" i="48" s="1"/>
  <c r="J32" i="48"/>
  <c r="J35" i="48" s="1"/>
  <c r="K30" i="48"/>
  <c r="K32" i="48" s="1"/>
  <c r="K35" i="48" s="1"/>
  <c r="J44" i="31"/>
  <c r="K44" i="31" s="1"/>
  <c r="I57" i="31"/>
  <c r="H57" i="31"/>
  <c r="I66" i="31"/>
  <c r="I67" i="31" s="1"/>
  <c r="H66" i="31"/>
  <c r="I62" i="31"/>
  <c r="H62" i="31"/>
  <c r="I61" i="31"/>
  <c r="H61" i="31"/>
  <c r="I56" i="31"/>
  <c r="H56" i="31"/>
  <c r="I55" i="31"/>
  <c r="H55" i="31"/>
  <c r="I54" i="31"/>
  <c r="H54" i="31"/>
  <c r="I53" i="31"/>
  <c r="H53" i="31"/>
  <c r="I52" i="31"/>
  <c r="H52" i="31"/>
  <c r="I51" i="31"/>
  <c r="H51" i="31"/>
  <c r="I50" i="31"/>
  <c r="H50" i="31"/>
  <c r="I49" i="31"/>
  <c r="H49" i="31"/>
  <c r="I48" i="31"/>
  <c r="H48" i="31"/>
  <c r="I47" i="31"/>
  <c r="H47" i="31"/>
  <c r="I46" i="31"/>
  <c r="H46" i="31"/>
  <c r="I45" i="31"/>
  <c r="H45" i="31"/>
  <c r="I43" i="31"/>
  <c r="H43" i="31"/>
  <c r="I42" i="31"/>
  <c r="H42" i="31"/>
  <c r="I27" i="31"/>
  <c r="H27" i="31"/>
  <c r="I23" i="31"/>
  <c r="H23" i="31"/>
  <c r="I22" i="31"/>
  <c r="H22" i="31"/>
  <c r="I17" i="31"/>
  <c r="H17" i="31"/>
  <c r="I16" i="31"/>
  <c r="H16" i="31"/>
  <c r="I15" i="31"/>
  <c r="H15" i="31"/>
  <c r="I14" i="31"/>
  <c r="H14" i="31"/>
  <c r="I13" i="31"/>
  <c r="H13" i="31"/>
  <c r="I9" i="31"/>
  <c r="H9" i="31"/>
  <c r="I8" i="31"/>
  <c r="H8" i="31"/>
  <c r="I7" i="31"/>
  <c r="H7" i="31"/>
  <c r="I6" i="31"/>
  <c r="H6" i="31"/>
  <c r="I5" i="31"/>
  <c r="H5" i="31"/>
  <c r="I4" i="31"/>
  <c r="H4" i="31"/>
  <c r="G67" i="31"/>
  <c r="F67" i="31"/>
  <c r="E67" i="31"/>
  <c r="D67" i="31"/>
  <c r="C67" i="31"/>
  <c r="G63" i="31"/>
  <c r="F63" i="31"/>
  <c r="E63" i="31"/>
  <c r="D63" i="31"/>
  <c r="C63" i="31"/>
  <c r="C45" i="31"/>
  <c r="G29" i="31"/>
  <c r="F29" i="31"/>
  <c r="E29" i="31"/>
  <c r="D29" i="31"/>
  <c r="C29" i="31"/>
  <c r="I28" i="31"/>
  <c r="H28" i="31"/>
  <c r="G24" i="31"/>
  <c r="F24" i="31"/>
  <c r="E24" i="31"/>
  <c r="I24" i="31" s="1"/>
  <c r="D24" i="31"/>
  <c r="C24" i="31"/>
  <c r="I21" i="31"/>
  <c r="H21" i="31"/>
  <c r="E18" i="31"/>
  <c r="D18" i="31"/>
  <c r="C15" i="31"/>
  <c r="C5" i="31"/>
  <c r="G18" i="31"/>
  <c r="F18" i="31"/>
  <c r="I3" i="31"/>
  <c r="H3" i="31"/>
  <c r="J3" i="31" s="1"/>
  <c r="J62" i="31" l="1"/>
  <c r="L62" i="31" s="1"/>
  <c r="D32" i="31"/>
  <c r="J13" i="31"/>
  <c r="L13" i="31" s="1"/>
  <c r="J57" i="31"/>
  <c r="L57" i="31" s="1"/>
  <c r="L44" i="31"/>
  <c r="J7" i="31"/>
  <c r="L7" i="31" s="1"/>
  <c r="J23" i="31"/>
  <c r="L23" i="31" s="1"/>
  <c r="J52" i="31"/>
  <c r="L52" i="31" s="1"/>
  <c r="J55" i="31"/>
  <c r="L55" i="31" s="1"/>
  <c r="J43" i="31"/>
  <c r="L43" i="31" s="1"/>
  <c r="J21" i="31"/>
  <c r="L21" i="31" s="1"/>
  <c r="J47" i="31"/>
  <c r="L47" i="31" s="1"/>
  <c r="J9" i="31"/>
  <c r="L9" i="31" s="1"/>
  <c r="J15" i="31"/>
  <c r="L15" i="31" s="1"/>
  <c r="J27" i="31"/>
  <c r="L27" i="31" s="1"/>
  <c r="H29" i="31"/>
  <c r="J46" i="31"/>
  <c r="L46" i="31" s="1"/>
  <c r="J50" i="31"/>
  <c r="L50" i="31" s="1"/>
  <c r="J53" i="31"/>
  <c r="L53" i="31" s="1"/>
  <c r="J56" i="31"/>
  <c r="L56" i="31" s="1"/>
  <c r="J22" i="31"/>
  <c r="L22" i="31" s="1"/>
  <c r="J51" i="31"/>
  <c r="L51" i="31" s="1"/>
  <c r="J54" i="31"/>
  <c r="L54" i="31" s="1"/>
  <c r="J16" i="31"/>
  <c r="L16" i="31" s="1"/>
  <c r="J28" i="31"/>
  <c r="J5" i="31"/>
  <c r="J17" i="31"/>
  <c r="L17" i="31" s="1"/>
  <c r="I29" i="31"/>
  <c r="J66" i="31"/>
  <c r="J67" i="31" s="1"/>
  <c r="H63" i="31"/>
  <c r="I63" i="31"/>
  <c r="J49" i="31"/>
  <c r="L49" i="31" s="1"/>
  <c r="J42" i="31"/>
  <c r="L42" i="31" s="1"/>
  <c r="J45" i="31"/>
  <c r="L45" i="31" s="1"/>
  <c r="J48" i="31"/>
  <c r="L48" i="31" s="1"/>
  <c r="F32" i="31"/>
  <c r="G32" i="31"/>
  <c r="E32" i="31"/>
  <c r="H24" i="31"/>
  <c r="J8" i="31"/>
  <c r="J6" i="31"/>
  <c r="L6" i="31" s="1"/>
  <c r="J14" i="31"/>
  <c r="L14" i="31" s="1"/>
  <c r="K23" i="31"/>
  <c r="K13" i="31"/>
  <c r="L3" i="31"/>
  <c r="K3" i="31"/>
  <c r="K21" i="31"/>
  <c r="K50" i="31"/>
  <c r="K27" i="31"/>
  <c r="K46" i="31"/>
  <c r="J4" i="31"/>
  <c r="L4" i="31" s="1"/>
  <c r="C18" i="31"/>
  <c r="C32" i="31" s="1"/>
  <c r="C58" i="31"/>
  <c r="H67" i="31"/>
  <c r="K52" i="31"/>
  <c r="J61" i="31"/>
  <c r="L61" i="31" s="1"/>
  <c r="E35" i="30"/>
  <c r="D35" i="30"/>
  <c r="E7" i="30"/>
  <c r="D7" i="30"/>
  <c r="G4" i="30"/>
  <c r="F4" i="30"/>
  <c r="K62" i="31" l="1"/>
  <c r="K56" i="31"/>
  <c r="K43" i="31"/>
  <c r="J29" i="31"/>
  <c r="K7" i="31"/>
  <c r="K57" i="31"/>
  <c r="J24" i="31"/>
  <c r="K9" i="31"/>
  <c r="K28" i="31"/>
  <c r="K29" i="31" s="1"/>
  <c r="K55" i="31"/>
  <c r="K16" i="31"/>
  <c r="K47" i="31"/>
  <c r="K53" i="31"/>
  <c r="K45" i="31"/>
  <c r="K15" i="31"/>
  <c r="L28" i="31"/>
  <c r="L29" i="31" s="1"/>
  <c r="K22" i="31"/>
  <c r="K24" i="31" s="1"/>
  <c r="K17" i="31"/>
  <c r="K8" i="31"/>
  <c r="L8" i="31"/>
  <c r="K5" i="31"/>
  <c r="L5" i="31"/>
  <c r="K54" i="31"/>
  <c r="L66" i="31"/>
  <c r="L67" i="31" s="1"/>
  <c r="K51" i="31"/>
  <c r="K66" i="31"/>
  <c r="K67" i="31" s="1"/>
  <c r="K48" i="31"/>
  <c r="L24" i="31"/>
  <c r="K6" i="31"/>
  <c r="K42" i="31"/>
  <c r="K49" i="31"/>
  <c r="K14" i="31"/>
  <c r="L63" i="31"/>
  <c r="K61" i="31"/>
  <c r="J63" i="31"/>
  <c r="K4" i="31"/>
  <c r="I35" i="30"/>
  <c r="I35" i="31" s="1"/>
  <c r="G12" i="30"/>
  <c r="F12" i="30"/>
  <c r="G7" i="30"/>
  <c r="F7" i="30"/>
  <c r="H8" i="30"/>
  <c r="L53" i="30"/>
  <c r="L52" i="30"/>
  <c r="L51" i="30"/>
  <c r="L50" i="30"/>
  <c r="L49" i="30"/>
  <c r="L48" i="30"/>
  <c r="L45" i="30"/>
  <c r="L14" i="30"/>
  <c r="I64" i="30"/>
  <c r="I65" i="30" s="1"/>
  <c r="H64" i="30"/>
  <c r="H65" i="30" s="1"/>
  <c r="I60" i="30"/>
  <c r="H60" i="30"/>
  <c r="I59" i="30"/>
  <c r="H59" i="30"/>
  <c r="I55" i="30"/>
  <c r="H55" i="30"/>
  <c r="I54" i="30"/>
  <c r="H54" i="30"/>
  <c r="I53" i="30"/>
  <c r="J53" i="30" s="1"/>
  <c r="K53" i="30" s="1"/>
  <c r="H53" i="30"/>
  <c r="I52" i="30"/>
  <c r="H52" i="30"/>
  <c r="J52" i="30" s="1"/>
  <c r="I51" i="30"/>
  <c r="H51" i="30"/>
  <c r="I50" i="30"/>
  <c r="J50" i="30" s="1"/>
  <c r="H50" i="30"/>
  <c r="I49" i="30"/>
  <c r="H49" i="30"/>
  <c r="I48" i="30"/>
  <c r="H48" i="30"/>
  <c r="J48" i="30" s="1"/>
  <c r="K48" i="30" s="1"/>
  <c r="I47" i="30"/>
  <c r="H47" i="30"/>
  <c r="I46" i="30"/>
  <c r="H46" i="30"/>
  <c r="I45" i="30"/>
  <c r="H45" i="30"/>
  <c r="I44" i="30"/>
  <c r="H44" i="30"/>
  <c r="I43" i="30"/>
  <c r="H43" i="30"/>
  <c r="I42" i="30"/>
  <c r="H42" i="30"/>
  <c r="I41" i="30"/>
  <c r="H41" i="30"/>
  <c r="H41" i="31" s="1"/>
  <c r="I40" i="30"/>
  <c r="I40" i="31" s="1"/>
  <c r="H40" i="30"/>
  <c r="I39" i="30"/>
  <c r="I39" i="31" s="1"/>
  <c r="H39" i="30"/>
  <c r="H39" i="31" s="1"/>
  <c r="J39" i="31" s="1"/>
  <c r="L39" i="31" s="1"/>
  <c r="I38" i="30"/>
  <c r="I38" i="31" s="1"/>
  <c r="H38" i="30"/>
  <c r="H38" i="31" s="1"/>
  <c r="J38" i="31" s="1"/>
  <c r="I37" i="30"/>
  <c r="I37" i="31" s="1"/>
  <c r="H37" i="30"/>
  <c r="H37" i="31" s="1"/>
  <c r="J37" i="31" s="1"/>
  <c r="I36" i="30"/>
  <c r="I36" i="31" s="1"/>
  <c r="H36" i="30"/>
  <c r="H35" i="30"/>
  <c r="H35" i="31" s="1"/>
  <c r="I27" i="30"/>
  <c r="I29" i="30" s="1"/>
  <c r="H27" i="30"/>
  <c r="I23" i="30"/>
  <c r="H23" i="30"/>
  <c r="I22" i="30"/>
  <c r="H22" i="30"/>
  <c r="J22" i="30" s="1"/>
  <c r="L22" i="30" s="1"/>
  <c r="I4" i="30"/>
  <c r="H4" i="30"/>
  <c r="I17" i="30"/>
  <c r="H17" i="30"/>
  <c r="I16" i="30"/>
  <c r="H16" i="30"/>
  <c r="I15" i="30"/>
  <c r="H15" i="30"/>
  <c r="J15" i="30" s="1"/>
  <c r="L15" i="30" s="1"/>
  <c r="I14" i="30"/>
  <c r="H14" i="30"/>
  <c r="J14" i="30" s="1"/>
  <c r="K14" i="30" s="1"/>
  <c r="I13" i="30"/>
  <c r="H13" i="30"/>
  <c r="I9" i="30"/>
  <c r="H9" i="30"/>
  <c r="I8" i="30"/>
  <c r="I7" i="30"/>
  <c r="H7" i="30"/>
  <c r="I6" i="30"/>
  <c r="H6" i="30"/>
  <c r="I5" i="30"/>
  <c r="H5" i="30"/>
  <c r="J5" i="30" s="1"/>
  <c r="L5" i="30" s="1"/>
  <c r="J49" i="30"/>
  <c r="G65" i="30"/>
  <c r="F65" i="30"/>
  <c r="E65" i="30"/>
  <c r="D65" i="30"/>
  <c r="C65" i="30"/>
  <c r="G61" i="30"/>
  <c r="F61" i="30"/>
  <c r="C61" i="30"/>
  <c r="C56" i="30"/>
  <c r="C44" i="30"/>
  <c r="C42" i="30"/>
  <c r="G29" i="30"/>
  <c r="F29" i="30"/>
  <c r="E29" i="30"/>
  <c r="D29" i="30"/>
  <c r="C29" i="30"/>
  <c r="I28" i="30"/>
  <c r="H28" i="30"/>
  <c r="J28" i="30" s="1"/>
  <c r="G24" i="30"/>
  <c r="F24" i="30"/>
  <c r="E24" i="30"/>
  <c r="D24" i="30"/>
  <c r="C24" i="30"/>
  <c r="I21" i="30"/>
  <c r="H21" i="30"/>
  <c r="J21" i="30" s="1"/>
  <c r="F18" i="30"/>
  <c r="C15" i="30"/>
  <c r="C12" i="30"/>
  <c r="C5" i="30"/>
  <c r="L3" i="30"/>
  <c r="K3" i="30"/>
  <c r="J3" i="30"/>
  <c r="I3" i="30"/>
  <c r="H3" i="30"/>
  <c r="K63" i="31" l="1"/>
  <c r="J38" i="30"/>
  <c r="L38" i="30" s="1"/>
  <c r="J37" i="30"/>
  <c r="L37" i="30" s="1"/>
  <c r="K39" i="31"/>
  <c r="J36" i="30"/>
  <c r="L36" i="30" s="1"/>
  <c r="H36" i="31"/>
  <c r="J36" i="31" s="1"/>
  <c r="L37" i="31"/>
  <c r="K37" i="31"/>
  <c r="J40" i="30"/>
  <c r="H40" i="31"/>
  <c r="J40" i="31" s="1"/>
  <c r="L38" i="31"/>
  <c r="K38" i="31"/>
  <c r="J35" i="31"/>
  <c r="J41" i="30"/>
  <c r="L41" i="30" s="1"/>
  <c r="I41" i="31"/>
  <c r="J41" i="31" s="1"/>
  <c r="J60" i="30"/>
  <c r="L60" i="30" s="1"/>
  <c r="J54" i="30"/>
  <c r="K54" i="30" s="1"/>
  <c r="J46" i="30"/>
  <c r="L46" i="30" s="1"/>
  <c r="J43" i="30"/>
  <c r="L43" i="30" s="1"/>
  <c r="J23" i="30"/>
  <c r="L23" i="30" s="1"/>
  <c r="H24" i="30"/>
  <c r="I24" i="30"/>
  <c r="J17" i="30"/>
  <c r="J16" i="30"/>
  <c r="J55" i="30"/>
  <c r="L55" i="30" s="1"/>
  <c r="I56" i="30"/>
  <c r="J44" i="30"/>
  <c r="L44" i="30" s="1"/>
  <c r="G18" i="30"/>
  <c r="G32" i="30" s="1"/>
  <c r="J4" i="30"/>
  <c r="L4" i="30" s="1"/>
  <c r="I61" i="30"/>
  <c r="J64" i="30"/>
  <c r="K38" i="30"/>
  <c r="J51" i="30"/>
  <c r="J39" i="30"/>
  <c r="L39" i="30" s="1"/>
  <c r="J45" i="30"/>
  <c r="J35" i="30"/>
  <c r="J42" i="30"/>
  <c r="J47" i="30"/>
  <c r="L47" i="30" s="1"/>
  <c r="F32" i="30"/>
  <c r="J8" i="30"/>
  <c r="L8" i="30" s="1"/>
  <c r="J9" i="30"/>
  <c r="L9" i="30" s="1"/>
  <c r="J7" i="30"/>
  <c r="L7" i="30" s="1"/>
  <c r="L28" i="30"/>
  <c r="K28" i="30"/>
  <c r="H61" i="30"/>
  <c r="J59" i="30"/>
  <c r="L59" i="30" s="1"/>
  <c r="K22" i="30"/>
  <c r="K44" i="30"/>
  <c r="K9" i="30"/>
  <c r="K50" i="30"/>
  <c r="L21" i="30"/>
  <c r="K21" i="30"/>
  <c r="C18" i="30"/>
  <c r="C32" i="30" s="1"/>
  <c r="H29" i="30"/>
  <c r="J27" i="30"/>
  <c r="L27" i="30" s="1"/>
  <c r="K49" i="30"/>
  <c r="K52" i="30"/>
  <c r="H56" i="30"/>
  <c r="K60" i="30"/>
  <c r="K5" i="30"/>
  <c r="K41" i="30"/>
  <c r="D18" i="30"/>
  <c r="D32" i="30" s="1"/>
  <c r="K15" i="30"/>
  <c r="D61" i="30"/>
  <c r="J6" i="30"/>
  <c r="L6" i="30" s="1"/>
  <c r="E18" i="30"/>
  <c r="E32" i="30" s="1"/>
  <c r="E61" i="30"/>
  <c r="E59" i="29"/>
  <c r="D59" i="29"/>
  <c r="E17" i="29"/>
  <c r="D17" i="29"/>
  <c r="E13" i="29"/>
  <c r="D13" i="29"/>
  <c r="K36" i="30" l="1"/>
  <c r="K37" i="30"/>
  <c r="I58" i="31"/>
  <c r="K35" i="31"/>
  <c r="L35" i="31"/>
  <c r="J58" i="31"/>
  <c r="K40" i="30"/>
  <c r="L40" i="30"/>
  <c r="L41" i="31"/>
  <c r="K41" i="31"/>
  <c r="L36" i="31"/>
  <c r="K36" i="31"/>
  <c r="H58" i="31"/>
  <c r="L40" i="31"/>
  <c r="K40" i="31"/>
  <c r="J65" i="30"/>
  <c r="L64" i="30"/>
  <c r="L65" i="30" s="1"/>
  <c r="L54" i="30"/>
  <c r="K46" i="30"/>
  <c r="K43" i="30"/>
  <c r="J24" i="30"/>
  <c r="K23" i="30"/>
  <c r="K24" i="30" s="1"/>
  <c r="K17" i="30"/>
  <c r="L17" i="30"/>
  <c r="K16" i="30"/>
  <c r="L16" i="30"/>
  <c r="K42" i="30"/>
  <c r="L42" i="30"/>
  <c r="K55" i="30"/>
  <c r="K35" i="30"/>
  <c r="L35" i="30"/>
  <c r="K4" i="30"/>
  <c r="K45" i="30"/>
  <c r="K39" i="30"/>
  <c r="L24" i="30"/>
  <c r="K7" i="30"/>
  <c r="K51" i="30"/>
  <c r="K8" i="30"/>
  <c r="K64" i="30"/>
  <c r="K65" i="30" s="1"/>
  <c r="K47" i="30"/>
  <c r="J56" i="30"/>
  <c r="J13" i="30"/>
  <c r="L13" i="30" s="1"/>
  <c r="K6" i="30"/>
  <c r="L29" i="30"/>
  <c r="K27" i="30"/>
  <c r="K29" i="30" s="1"/>
  <c r="J29" i="30"/>
  <c r="K59" i="30"/>
  <c r="K61" i="30" s="1"/>
  <c r="J61" i="30"/>
  <c r="L61" i="30"/>
  <c r="I4" i="29"/>
  <c r="H4" i="29"/>
  <c r="J4" i="29" s="1"/>
  <c r="I64" i="29"/>
  <c r="I65" i="29" s="1"/>
  <c r="H64" i="29"/>
  <c r="I60" i="29"/>
  <c r="H60" i="29"/>
  <c r="I59" i="29"/>
  <c r="H59" i="29"/>
  <c r="H61" i="29" s="1"/>
  <c r="I55" i="29"/>
  <c r="H55" i="29"/>
  <c r="I54" i="29"/>
  <c r="H54" i="29"/>
  <c r="I53" i="29"/>
  <c r="H53" i="29"/>
  <c r="I52" i="29"/>
  <c r="H52" i="29"/>
  <c r="J52" i="29" s="1"/>
  <c r="L52" i="29" s="1"/>
  <c r="I51" i="29"/>
  <c r="H51" i="29"/>
  <c r="I50" i="29"/>
  <c r="H50" i="29"/>
  <c r="I49" i="29"/>
  <c r="H49" i="29"/>
  <c r="I48" i="29"/>
  <c r="H48" i="29"/>
  <c r="I47" i="29"/>
  <c r="H47" i="29"/>
  <c r="I46" i="29"/>
  <c r="H46" i="29"/>
  <c r="I44" i="29"/>
  <c r="H44" i="29"/>
  <c r="I40" i="29"/>
  <c r="H40" i="29"/>
  <c r="I39" i="29"/>
  <c r="H39" i="29"/>
  <c r="J39" i="29" s="1"/>
  <c r="L39" i="29" s="1"/>
  <c r="I38" i="29"/>
  <c r="H38" i="29"/>
  <c r="I37" i="29"/>
  <c r="H37" i="29"/>
  <c r="J37" i="29" s="1"/>
  <c r="L37" i="29" s="1"/>
  <c r="I36" i="29"/>
  <c r="H36" i="29"/>
  <c r="J36" i="29" s="1"/>
  <c r="L36" i="29" s="1"/>
  <c r="I35" i="29"/>
  <c r="H35" i="29"/>
  <c r="I27" i="29"/>
  <c r="H27" i="29"/>
  <c r="I23" i="29"/>
  <c r="H23" i="29"/>
  <c r="I22" i="29"/>
  <c r="J22" i="29" s="1"/>
  <c r="L22" i="29" s="1"/>
  <c r="H22" i="29"/>
  <c r="I17" i="29"/>
  <c r="H17" i="29"/>
  <c r="I16" i="29"/>
  <c r="H16" i="29"/>
  <c r="I15" i="29"/>
  <c r="H15" i="29"/>
  <c r="I14" i="29"/>
  <c r="H14" i="29"/>
  <c r="I13" i="29"/>
  <c r="H13" i="29"/>
  <c r="I9" i="29"/>
  <c r="H9" i="29"/>
  <c r="I8" i="29"/>
  <c r="H8" i="29"/>
  <c r="I7" i="29"/>
  <c r="H7" i="29"/>
  <c r="I6" i="29"/>
  <c r="H6" i="29"/>
  <c r="J6" i="29" s="1"/>
  <c r="L6" i="29" s="1"/>
  <c r="I5" i="29"/>
  <c r="H5" i="29"/>
  <c r="J5" i="29" s="1"/>
  <c r="L5" i="29" s="1"/>
  <c r="G65" i="29"/>
  <c r="F65" i="29"/>
  <c r="E65" i="29"/>
  <c r="D65" i="29"/>
  <c r="C65" i="29"/>
  <c r="G61" i="29"/>
  <c r="F61" i="29"/>
  <c r="D61" i="29"/>
  <c r="C61" i="29"/>
  <c r="J55" i="29"/>
  <c r="L55" i="29" s="1"/>
  <c r="J51" i="29"/>
  <c r="L51" i="29" s="1"/>
  <c r="J49" i="29"/>
  <c r="L49" i="29" s="1"/>
  <c r="I45" i="29"/>
  <c r="H45" i="29"/>
  <c r="J45" i="29" s="1"/>
  <c r="L45" i="29" s="1"/>
  <c r="C44" i="29"/>
  <c r="C42" i="29"/>
  <c r="C56" i="29" s="1"/>
  <c r="G29" i="29"/>
  <c r="F29" i="29"/>
  <c r="E29" i="29"/>
  <c r="D29" i="29"/>
  <c r="C29" i="29"/>
  <c r="I28" i="29"/>
  <c r="H28" i="29"/>
  <c r="J28" i="29" s="1"/>
  <c r="G24" i="29"/>
  <c r="F24" i="29"/>
  <c r="E24" i="29"/>
  <c r="I24" i="29" s="1"/>
  <c r="D24" i="29"/>
  <c r="H24" i="29" s="1"/>
  <c r="C24" i="29"/>
  <c r="I21" i="29"/>
  <c r="H21" i="29"/>
  <c r="G18" i="29"/>
  <c r="F18" i="29"/>
  <c r="C15" i="29"/>
  <c r="C12" i="29"/>
  <c r="C18" i="29" s="1"/>
  <c r="E18" i="29"/>
  <c r="D18" i="29"/>
  <c r="C5" i="29"/>
  <c r="I3" i="29"/>
  <c r="H3" i="29"/>
  <c r="L58" i="31" l="1"/>
  <c r="K58" i="31"/>
  <c r="L56" i="30"/>
  <c r="K56" i="30"/>
  <c r="K13" i="30"/>
  <c r="J46" i="29"/>
  <c r="L46" i="29" s="1"/>
  <c r="D32" i="29"/>
  <c r="J15" i="29"/>
  <c r="L15" i="29" s="1"/>
  <c r="L4" i="29"/>
  <c r="K4" i="29"/>
  <c r="J17" i="29"/>
  <c r="L17" i="29" s="1"/>
  <c r="J14" i="29"/>
  <c r="L14" i="29" s="1"/>
  <c r="J8" i="29"/>
  <c r="L8" i="29" s="1"/>
  <c r="J47" i="29"/>
  <c r="L47" i="29" s="1"/>
  <c r="J44" i="29"/>
  <c r="K44" i="29" s="1"/>
  <c r="I61" i="29"/>
  <c r="H29" i="29"/>
  <c r="I29" i="29"/>
  <c r="C32" i="29"/>
  <c r="J7" i="29"/>
  <c r="L7" i="29" s="1"/>
  <c r="J13" i="29"/>
  <c r="L13" i="29" s="1"/>
  <c r="J16" i="29"/>
  <c r="L16" i="29" s="1"/>
  <c r="J23" i="29"/>
  <c r="L23" i="29" s="1"/>
  <c r="J64" i="29"/>
  <c r="J35" i="29"/>
  <c r="J38" i="29"/>
  <c r="L38" i="29" s="1"/>
  <c r="J48" i="29"/>
  <c r="J54" i="29"/>
  <c r="L54" i="29" s="1"/>
  <c r="J40" i="29"/>
  <c r="L40" i="29" s="1"/>
  <c r="J50" i="29"/>
  <c r="L50" i="29" s="1"/>
  <c r="J53" i="29"/>
  <c r="L53" i="29" s="1"/>
  <c r="E32" i="29"/>
  <c r="F32" i="29"/>
  <c r="G32" i="29"/>
  <c r="K6" i="29"/>
  <c r="K51" i="29"/>
  <c r="K36" i="29"/>
  <c r="K39" i="29"/>
  <c r="K46" i="29"/>
  <c r="K16" i="29"/>
  <c r="K52" i="29"/>
  <c r="J59" i="29"/>
  <c r="L59" i="29" s="1"/>
  <c r="K5" i="29"/>
  <c r="L28" i="29"/>
  <c r="K28" i="29"/>
  <c r="K37" i="29"/>
  <c r="K17" i="29"/>
  <c r="K22" i="29"/>
  <c r="K53" i="29"/>
  <c r="K55" i="29"/>
  <c r="K45" i="29"/>
  <c r="K49" i="29"/>
  <c r="E61" i="29"/>
  <c r="H65" i="29"/>
  <c r="J3" i="29"/>
  <c r="J60" i="29"/>
  <c r="L60" i="29" s="1"/>
  <c r="J21" i="29"/>
  <c r="J9" i="29"/>
  <c r="L9" i="29" s="1"/>
  <c r="J27" i="29"/>
  <c r="L27" i="29" s="1"/>
  <c r="E58" i="28"/>
  <c r="D58" i="28"/>
  <c r="E16" i="28"/>
  <c r="D16" i="28"/>
  <c r="E37" i="28"/>
  <c r="E34" i="28"/>
  <c r="E12" i="28"/>
  <c r="D12" i="28"/>
  <c r="E8" i="28"/>
  <c r="D8" i="28"/>
  <c r="G54" i="28"/>
  <c r="F54" i="28"/>
  <c r="K23" i="29" l="1"/>
  <c r="K15" i="29"/>
  <c r="K14" i="29"/>
  <c r="K8" i="29"/>
  <c r="K47" i="29"/>
  <c r="L44" i="29"/>
  <c r="K13" i="29"/>
  <c r="J65" i="29"/>
  <c r="L64" i="29"/>
  <c r="K40" i="29"/>
  <c r="K48" i="29"/>
  <c r="L48" i="29"/>
  <c r="K7" i="29"/>
  <c r="K35" i="29"/>
  <c r="L35" i="29"/>
  <c r="K64" i="29"/>
  <c r="K65" i="29" s="1"/>
  <c r="L65" i="29"/>
  <c r="K50" i="29"/>
  <c r="K38" i="29"/>
  <c r="K54" i="29"/>
  <c r="K9" i="29"/>
  <c r="K59" i="29"/>
  <c r="J61" i="29"/>
  <c r="K27" i="29"/>
  <c r="K29" i="29" s="1"/>
  <c r="L29" i="29"/>
  <c r="J29" i="29"/>
  <c r="J24" i="29"/>
  <c r="L21" i="29"/>
  <c r="L24" i="29" s="1"/>
  <c r="K21" i="29"/>
  <c r="K60" i="29"/>
  <c r="L3" i="29"/>
  <c r="K3" i="29"/>
  <c r="C43" i="28"/>
  <c r="K24" i="29" l="1"/>
  <c r="K61" i="29"/>
  <c r="L61" i="29"/>
  <c r="I45" i="28"/>
  <c r="H45" i="28"/>
  <c r="J45" i="28" l="1"/>
  <c r="L45" i="28"/>
  <c r="K45" i="28"/>
  <c r="C41" i="28"/>
  <c r="H42" i="27" l="1"/>
  <c r="H42" i="28" s="1"/>
  <c r="I42" i="27"/>
  <c r="I42" i="28" s="1"/>
  <c r="I43" i="29" s="1"/>
  <c r="J42" i="28" l="1"/>
  <c r="H43" i="29"/>
  <c r="J43" i="29" s="1"/>
  <c r="L42" i="28"/>
  <c r="K42" i="28"/>
  <c r="J42" i="27"/>
  <c r="K42" i="27" s="1"/>
  <c r="H14" i="28"/>
  <c r="C14" i="28"/>
  <c r="I14" i="28"/>
  <c r="C14" i="27"/>
  <c r="L43" i="29" l="1"/>
  <c r="K43" i="29"/>
  <c r="J14" i="28"/>
  <c r="L42" i="27"/>
  <c r="K14" i="28"/>
  <c r="L14" i="28"/>
  <c r="H38" i="27" l="1"/>
  <c r="H38" i="28" s="1"/>
  <c r="I38" i="27"/>
  <c r="I38" i="28" s="1"/>
  <c r="H39" i="27"/>
  <c r="I39" i="27"/>
  <c r="I39" i="28" s="1"/>
  <c r="H40" i="27"/>
  <c r="H40" i="28" s="1"/>
  <c r="H41" i="29" s="1"/>
  <c r="I40" i="27"/>
  <c r="I40" i="28" s="1"/>
  <c r="I41" i="29" s="1"/>
  <c r="H41" i="27"/>
  <c r="H41" i="28" s="1"/>
  <c r="H42" i="29" s="1"/>
  <c r="I41" i="27"/>
  <c r="I41" i="28" s="1"/>
  <c r="I42" i="29" s="1"/>
  <c r="C11" i="28"/>
  <c r="C11" i="27"/>
  <c r="I56" i="29" l="1"/>
  <c r="J41" i="29"/>
  <c r="H56" i="29"/>
  <c r="J42" i="29"/>
  <c r="J39" i="27"/>
  <c r="K39" i="27" s="1"/>
  <c r="H39" i="28"/>
  <c r="J39" i="28" s="1"/>
  <c r="J41" i="28"/>
  <c r="K41" i="28" s="1"/>
  <c r="J40" i="28"/>
  <c r="J40" i="27"/>
  <c r="L40" i="27" s="1"/>
  <c r="J38" i="28"/>
  <c r="J41" i="27"/>
  <c r="K41" i="27" s="1"/>
  <c r="J38" i="27"/>
  <c r="E60" i="28"/>
  <c r="G64" i="28"/>
  <c r="F64" i="28"/>
  <c r="E64" i="28"/>
  <c r="D64" i="28"/>
  <c r="C64" i="28"/>
  <c r="G60" i="28"/>
  <c r="F60" i="28"/>
  <c r="C60" i="28"/>
  <c r="C55" i="28"/>
  <c r="G28" i="28"/>
  <c r="F28" i="28"/>
  <c r="E28" i="28"/>
  <c r="D28" i="28"/>
  <c r="C28" i="28"/>
  <c r="G23" i="28"/>
  <c r="F23" i="28"/>
  <c r="E23" i="28"/>
  <c r="D23" i="28"/>
  <c r="C23" i="28"/>
  <c r="I20" i="28"/>
  <c r="H20" i="28"/>
  <c r="G17" i="28"/>
  <c r="F17" i="28"/>
  <c r="C4" i="28"/>
  <c r="I3" i="28"/>
  <c r="H3" i="28"/>
  <c r="L39" i="27" l="1"/>
  <c r="L42" i="29"/>
  <c r="K42" i="29"/>
  <c r="L41" i="29"/>
  <c r="K41" i="29"/>
  <c r="J56" i="29"/>
  <c r="L41" i="28"/>
  <c r="K38" i="28"/>
  <c r="L38" i="28"/>
  <c r="K40" i="28"/>
  <c r="L40" i="28"/>
  <c r="K40" i="27"/>
  <c r="L39" i="28"/>
  <c r="K39" i="28"/>
  <c r="L41" i="27"/>
  <c r="L38" i="27"/>
  <c r="K38" i="27"/>
  <c r="D17" i="28"/>
  <c r="D31" i="28" s="1"/>
  <c r="F31" i="28"/>
  <c r="J3" i="28"/>
  <c r="L3" i="28" s="1"/>
  <c r="D60" i="28"/>
  <c r="E17" i="28"/>
  <c r="E31" i="28" s="1"/>
  <c r="G31" i="28"/>
  <c r="C17" i="28"/>
  <c r="C31" i="28" s="1"/>
  <c r="J20" i="28"/>
  <c r="L56" i="29" l="1"/>
  <c r="K56" i="29"/>
  <c r="K3" i="28"/>
  <c r="L20" i="28"/>
  <c r="K20" i="28"/>
  <c r="G17" i="27" l="1"/>
  <c r="I16" i="27"/>
  <c r="I16" i="28" s="1"/>
  <c r="F17" i="27"/>
  <c r="H16" i="27"/>
  <c r="H16" i="28" s="1"/>
  <c r="E17" i="27"/>
  <c r="D17" i="27"/>
  <c r="J16" i="27" l="1"/>
  <c r="L16" i="27" s="1"/>
  <c r="J16" i="28"/>
  <c r="E34" i="27"/>
  <c r="E37" i="27"/>
  <c r="K16" i="27" l="1"/>
  <c r="L16" i="28"/>
  <c r="K16" i="28"/>
  <c r="D28" i="27"/>
  <c r="E28" i="27"/>
  <c r="F28" i="27"/>
  <c r="G28" i="27"/>
  <c r="C28" i="27"/>
  <c r="C4" i="27"/>
  <c r="I62" i="27" l="1"/>
  <c r="I63" i="28" s="1"/>
  <c r="I64" i="28" s="1"/>
  <c r="H62" i="27"/>
  <c r="H63" i="28" s="1"/>
  <c r="I58" i="27"/>
  <c r="I59" i="28" s="1"/>
  <c r="H58" i="27"/>
  <c r="H59" i="28" s="1"/>
  <c r="I57" i="27"/>
  <c r="I58" i="28" s="1"/>
  <c r="H57" i="27"/>
  <c r="H58" i="28" s="1"/>
  <c r="I53" i="27"/>
  <c r="I54" i="28" s="1"/>
  <c r="H53" i="27"/>
  <c r="H54" i="28" s="1"/>
  <c r="I52" i="27"/>
  <c r="I53" i="28" s="1"/>
  <c r="H52" i="27"/>
  <c r="H53" i="28" s="1"/>
  <c r="I51" i="27"/>
  <c r="I52" i="28" s="1"/>
  <c r="H51" i="27"/>
  <c r="H52" i="28" s="1"/>
  <c r="I50" i="27"/>
  <c r="I51" i="28" s="1"/>
  <c r="H50" i="27"/>
  <c r="H51" i="28" s="1"/>
  <c r="I49" i="27"/>
  <c r="I50" i="28" s="1"/>
  <c r="H49" i="27"/>
  <c r="H50" i="28" s="1"/>
  <c r="I48" i="27"/>
  <c r="I49" i="28" s="1"/>
  <c r="H48" i="27"/>
  <c r="H49" i="28" s="1"/>
  <c r="I47" i="27"/>
  <c r="I48" i="28" s="1"/>
  <c r="H47" i="27"/>
  <c r="H48" i="28" s="1"/>
  <c r="I46" i="27"/>
  <c r="I47" i="28" s="1"/>
  <c r="H46" i="27"/>
  <c r="H47" i="28" s="1"/>
  <c r="I45" i="27"/>
  <c r="I46" i="28" s="1"/>
  <c r="H45" i="27"/>
  <c r="H46" i="28" s="1"/>
  <c r="I44" i="27"/>
  <c r="I44" i="28" s="1"/>
  <c r="H44" i="27"/>
  <c r="H44" i="28" s="1"/>
  <c r="I43" i="27"/>
  <c r="I43" i="28" s="1"/>
  <c r="H43" i="27"/>
  <c r="H43" i="28" s="1"/>
  <c r="I37" i="27"/>
  <c r="I37" i="28" s="1"/>
  <c r="H37" i="27"/>
  <c r="H37" i="28" s="1"/>
  <c r="I36" i="27"/>
  <c r="I36" i="28" s="1"/>
  <c r="H36" i="27"/>
  <c r="H36" i="28" s="1"/>
  <c r="I35" i="27"/>
  <c r="I35" i="28" s="1"/>
  <c r="H35" i="27"/>
  <c r="H35" i="28" s="1"/>
  <c r="I34" i="27"/>
  <c r="I34" i="28" s="1"/>
  <c r="H34" i="27"/>
  <c r="H34" i="28" s="1"/>
  <c r="I14" i="27"/>
  <c r="H14" i="27"/>
  <c r="I27" i="27"/>
  <c r="I27" i="28" s="1"/>
  <c r="H27" i="27"/>
  <c r="H27" i="28" s="1"/>
  <c r="I26" i="27"/>
  <c r="I26" i="28" s="1"/>
  <c r="H26" i="27"/>
  <c r="H26" i="28" s="1"/>
  <c r="I22" i="27"/>
  <c r="I22" i="28" s="1"/>
  <c r="H22" i="27"/>
  <c r="H22" i="28" s="1"/>
  <c r="I21" i="27"/>
  <c r="I21" i="28" s="1"/>
  <c r="H21" i="27"/>
  <c r="H21" i="28" s="1"/>
  <c r="I20" i="27"/>
  <c r="H20" i="27"/>
  <c r="I15" i="27"/>
  <c r="I15" i="28" s="1"/>
  <c r="H15" i="27"/>
  <c r="H15" i="28" s="1"/>
  <c r="I13" i="27"/>
  <c r="I13" i="28" s="1"/>
  <c r="H13" i="27"/>
  <c r="H13" i="28" s="1"/>
  <c r="I12" i="27"/>
  <c r="I12" i="28" s="1"/>
  <c r="H12" i="27"/>
  <c r="H12" i="28" s="1"/>
  <c r="I11" i="27"/>
  <c r="I11" i="28" s="1"/>
  <c r="I12" i="29" s="1"/>
  <c r="I12" i="30" s="1"/>
  <c r="I12" i="31" s="1"/>
  <c r="H11" i="27"/>
  <c r="H11" i="28" s="1"/>
  <c r="H12" i="29" s="1"/>
  <c r="H12" i="30" s="1"/>
  <c r="I10" i="27"/>
  <c r="I10" i="28" s="1"/>
  <c r="I11" i="29" s="1"/>
  <c r="I11" i="30" s="1"/>
  <c r="H10" i="27"/>
  <c r="H10" i="28" s="1"/>
  <c r="I9" i="27"/>
  <c r="I9" i="28" s="1"/>
  <c r="I10" i="29" s="1"/>
  <c r="I10" i="30" s="1"/>
  <c r="I10" i="31" s="1"/>
  <c r="H9" i="27"/>
  <c r="H9" i="28" s="1"/>
  <c r="H10" i="29" s="1"/>
  <c r="I8" i="27"/>
  <c r="I8" i="28" s="1"/>
  <c r="H8" i="27"/>
  <c r="H8" i="28" s="1"/>
  <c r="I7" i="27"/>
  <c r="I7" i="28" s="1"/>
  <c r="H7" i="27"/>
  <c r="H7" i="28" s="1"/>
  <c r="I6" i="27"/>
  <c r="I6" i="28" s="1"/>
  <c r="H6" i="27"/>
  <c r="H6" i="28" s="1"/>
  <c r="I5" i="27"/>
  <c r="I5" i="28" s="1"/>
  <c r="H5" i="27"/>
  <c r="H5" i="28" s="1"/>
  <c r="I4" i="27"/>
  <c r="I4" i="28" s="1"/>
  <c r="H4" i="27"/>
  <c r="H4" i="28" s="1"/>
  <c r="I3" i="27"/>
  <c r="H3" i="27"/>
  <c r="H12" i="31" l="1"/>
  <c r="J12" i="31" s="1"/>
  <c r="J12" i="30"/>
  <c r="H10" i="30"/>
  <c r="J10" i="29"/>
  <c r="I11" i="31"/>
  <c r="I18" i="31" s="1"/>
  <c r="I32" i="31" s="1"/>
  <c r="I18" i="30"/>
  <c r="I32" i="30" s="1"/>
  <c r="I18" i="29"/>
  <c r="I32" i="29" s="1"/>
  <c r="H11" i="30"/>
  <c r="J11" i="29"/>
  <c r="J12" i="29"/>
  <c r="H18" i="29"/>
  <c r="H32" i="29" s="1"/>
  <c r="J5" i="28"/>
  <c r="K5" i="28" s="1"/>
  <c r="J15" i="28"/>
  <c r="L15" i="28" s="1"/>
  <c r="J48" i="28"/>
  <c r="J51" i="28"/>
  <c r="K51" i="28" s="1"/>
  <c r="J8" i="28"/>
  <c r="K8" i="28" s="1"/>
  <c r="J11" i="28"/>
  <c r="L11" i="28" s="1"/>
  <c r="J22" i="28"/>
  <c r="L22" i="28" s="1"/>
  <c r="J44" i="28"/>
  <c r="K44" i="28" s="1"/>
  <c r="J43" i="28"/>
  <c r="K43" i="28" s="1"/>
  <c r="J47" i="28"/>
  <c r="K47" i="28" s="1"/>
  <c r="J50" i="28"/>
  <c r="L50" i="28" s="1"/>
  <c r="J53" i="28"/>
  <c r="K53" i="28" s="1"/>
  <c r="J59" i="28"/>
  <c r="K59" i="28" s="1"/>
  <c r="J54" i="28"/>
  <c r="K54" i="28" s="1"/>
  <c r="J6" i="28"/>
  <c r="K6" i="28" s="1"/>
  <c r="J9" i="28"/>
  <c r="K9" i="28" s="1"/>
  <c r="J12" i="28"/>
  <c r="K12" i="28" s="1"/>
  <c r="J37" i="28"/>
  <c r="L37" i="28" s="1"/>
  <c r="H17" i="27"/>
  <c r="I17" i="28"/>
  <c r="I23" i="28"/>
  <c r="I60" i="28"/>
  <c r="L51" i="28"/>
  <c r="I17" i="27"/>
  <c r="I28" i="28"/>
  <c r="H28" i="28"/>
  <c r="J26" i="28"/>
  <c r="L44" i="28"/>
  <c r="L48" i="28"/>
  <c r="K48" i="28"/>
  <c r="H64" i="28"/>
  <c r="J63" i="28"/>
  <c r="J4" i="28"/>
  <c r="H17" i="28"/>
  <c r="J7" i="28"/>
  <c r="J10" i="28"/>
  <c r="J13" i="28"/>
  <c r="J21" i="28"/>
  <c r="H23" i="28"/>
  <c r="J27" i="28"/>
  <c r="J46" i="28"/>
  <c r="J49" i="28"/>
  <c r="J52" i="28"/>
  <c r="H60" i="28"/>
  <c r="J58" i="28"/>
  <c r="J35" i="28"/>
  <c r="K35" i="28" s="1"/>
  <c r="J36" i="28"/>
  <c r="H55" i="28"/>
  <c r="J34" i="28"/>
  <c r="I55" i="28"/>
  <c r="I28" i="27"/>
  <c r="H28" i="27"/>
  <c r="H63" i="27"/>
  <c r="J43" i="27"/>
  <c r="L43" i="27" s="1"/>
  <c r="H23" i="27"/>
  <c r="G63" i="27"/>
  <c r="F63" i="27"/>
  <c r="E63" i="27"/>
  <c r="D63" i="27"/>
  <c r="C63" i="27"/>
  <c r="G59" i="27"/>
  <c r="F59" i="27"/>
  <c r="E59" i="27"/>
  <c r="C59" i="27"/>
  <c r="D59" i="27"/>
  <c r="G23" i="27"/>
  <c r="F23" i="27"/>
  <c r="E23" i="27"/>
  <c r="D23" i="27"/>
  <c r="C23" i="27"/>
  <c r="L12" i="30" l="1"/>
  <c r="K12" i="30"/>
  <c r="L12" i="31"/>
  <c r="K12" i="31"/>
  <c r="L10" i="29"/>
  <c r="K10" i="29"/>
  <c r="H10" i="31"/>
  <c r="J10" i="31" s="1"/>
  <c r="J10" i="30"/>
  <c r="L11" i="29"/>
  <c r="K11" i="29"/>
  <c r="H11" i="31"/>
  <c r="J11" i="30"/>
  <c r="H18" i="30"/>
  <c r="H32" i="30" s="1"/>
  <c r="L12" i="29"/>
  <c r="K12" i="29"/>
  <c r="J18" i="29"/>
  <c r="J32" i="29" s="1"/>
  <c r="K15" i="28"/>
  <c r="L8" i="28"/>
  <c r="L5" i="28"/>
  <c r="K11" i="28"/>
  <c r="L35" i="28"/>
  <c r="K22" i="28"/>
  <c r="L54" i="28"/>
  <c r="L43" i="28"/>
  <c r="L47" i="28"/>
  <c r="L53" i="28"/>
  <c r="L59" i="28"/>
  <c r="L6" i="28"/>
  <c r="K50" i="28"/>
  <c r="L9" i="28"/>
  <c r="K37" i="28"/>
  <c r="L12" i="28"/>
  <c r="L49" i="28"/>
  <c r="K49" i="28"/>
  <c r="L10" i="28"/>
  <c r="K10" i="28"/>
  <c r="L52" i="28"/>
  <c r="K52" i="28"/>
  <c r="L21" i="28"/>
  <c r="L23" i="28" s="1"/>
  <c r="K21" i="28"/>
  <c r="J23" i="28"/>
  <c r="L63" i="28"/>
  <c r="L64" i="28" s="1"/>
  <c r="J64" i="28"/>
  <c r="K63" i="28"/>
  <c r="K64" i="28" s="1"/>
  <c r="L26" i="28"/>
  <c r="K26" i="28"/>
  <c r="J28" i="28"/>
  <c r="I31" i="28"/>
  <c r="L46" i="28"/>
  <c r="K46" i="28"/>
  <c r="L58" i="28"/>
  <c r="K58" i="28"/>
  <c r="K60" i="28" s="1"/>
  <c r="J60" i="28"/>
  <c r="L27" i="28"/>
  <c r="K27" i="28"/>
  <c r="L13" i="28"/>
  <c r="K13" i="28"/>
  <c r="L7" i="28"/>
  <c r="K7" i="28"/>
  <c r="H31" i="28"/>
  <c r="L4" i="28"/>
  <c r="J17" i="28"/>
  <c r="K4" i="28"/>
  <c r="L34" i="28"/>
  <c r="J55" i="28"/>
  <c r="K34" i="28"/>
  <c r="L36" i="28"/>
  <c r="K36" i="28"/>
  <c r="J4" i="27"/>
  <c r="J10" i="27"/>
  <c r="L10" i="27" s="1"/>
  <c r="J12" i="27"/>
  <c r="L12" i="27" s="1"/>
  <c r="J35" i="27"/>
  <c r="L35" i="27" s="1"/>
  <c r="J45" i="27"/>
  <c r="L45" i="27" s="1"/>
  <c r="J48" i="27"/>
  <c r="L48" i="27" s="1"/>
  <c r="J58" i="27"/>
  <c r="L58" i="27" s="1"/>
  <c r="C17" i="27"/>
  <c r="C31" i="27" s="1"/>
  <c r="C54" i="27"/>
  <c r="J9" i="27"/>
  <c r="J50" i="27"/>
  <c r="L50" i="27" s="1"/>
  <c r="I59" i="27"/>
  <c r="J53" i="27"/>
  <c r="L53" i="27" s="1"/>
  <c r="J3" i="27"/>
  <c r="J6" i="27"/>
  <c r="L6" i="27" s="1"/>
  <c r="J27" i="27"/>
  <c r="L27" i="27" s="1"/>
  <c r="J47" i="27"/>
  <c r="L47" i="27" s="1"/>
  <c r="H59" i="27"/>
  <c r="J14" i="27"/>
  <c r="L14" i="27" s="1"/>
  <c r="J21" i="27"/>
  <c r="L21" i="27" s="1"/>
  <c r="J36" i="27"/>
  <c r="L36" i="27" s="1"/>
  <c r="J46" i="27"/>
  <c r="L46" i="27" s="1"/>
  <c r="K43" i="27"/>
  <c r="J62" i="27"/>
  <c r="H54" i="27"/>
  <c r="J37" i="27"/>
  <c r="L37" i="27" s="1"/>
  <c r="I54" i="27"/>
  <c r="J52" i="27"/>
  <c r="L52" i="27" s="1"/>
  <c r="J34" i="27"/>
  <c r="L34" i="27" s="1"/>
  <c r="J44" i="27"/>
  <c r="L44" i="27" s="1"/>
  <c r="J49" i="27"/>
  <c r="L49" i="27" s="1"/>
  <c r="J51" i="27"/>
  <c r="L51" i="27" s="1"/>
  <c r="F31" i="27"/>
  <c r="G31" i="27"/>
  <c r="I23" i="27"/>
  <c r="J20" i="27"/>
  <c r="L20" i="27" s="1"/>
  <c r="J22" i="27"/>
  <c r="L22" i="27" s="1"/>
  <c r="E31" i="27"/>
  <c r="J8" i="27"/>
  <c r="L8" i="27" s="1"/>
  <c r="J15" i="27"/>
  <c r="L15" i="27" s="1"/>
  <c r="J5" i="27"/>
  <c r="L5" i="27" s="1"/>
  <c r="J11" i="27"/>
  <c r="L11" i="27" s="1"/>
  <c r="J7" i="27"/>
  <c r="L7" i="27" s="1"/>
  <c r="J13" i="27"/>
  <c r="L13" i="27" s="1"/>
  <c r="D31" i="27"/>
  <c r="J26" i="27"/>
  <c r="J57" i="27"/>
  <c r="L57" i="27" s="1"/>
  <c r="I63" i="27"/>
  <c r="L18" i="29" l="1"/>
  <c r="L32" i="29" s="1"/>
  <c r="L10" i="30"/>
  <c r="K10" i="30"/>
  <c r="L10" i="31"/>
  <c r="K10" i="31"/>
  <c r="L11" i="30"/>
  <c r="K11" i="30"/>
  <c r="K18" i="30" s="1"/>
  <c r="K32" i="30" s="1"/>
  <c r="J18" i="30"/>
  <c r="J32" i="30" s="1"/>
  <c r="J11" i="31"/>
  <c r="H18" i="31"/>
  <c r="H32" i="31" s="1"/>
  <c r="K18" i="29"/>
  <c r="K32" i="29" s="1"/>
  <c r="K23" i="28"/>
  <c r="K10" i="27"/>
  <c r="L60" i="28"/>
  <c r="K17" i="28"/>
  <c r="J31" i="28"/>
  <c r="K28" i="28"/>
  <c r="L17" i="28"/>
  <c r="L28" i="28"/>
  <c r="K55" i="28"/>
  <c r="L55" i="28"/>
  <c r="L3" i="27"/>
  <c r="J17" i="27"/>
  <c r="K9" i="27"/>
  <c r="L9" i="27"/>
  <c r="K4" i="27"/>
  <c r="L4" i="27"/>
  <c r="J28" i="27"/>
  <c r="L26" i="27"/>
  <c r="L28" i="27" s="1"/>
  <c r="J63" i="27"/>
  <c r="L62" i="27"/>
  <c r="L63" i="27" s="1"/>
  <c r="K45" i="27"/>
  <c r="K58" i="27"/>
  <c r="K36" i="27"/>
  <c r="K48" i="27"/>
  <c r="K46" i="27"/>
  <c r="K35" i="27"/>
  <c r="K12" i="27"/>
  <c r="K49" i="27"/>
  <c r="K44" i="27"/>
  <c r="K5" i="27"/>
  <c r="K50" i="27"/>
  <c r="K3" i="27"/>
  <c r="K47" i="27"/>
  <c r="K53" i="27"/>
  <c r="K21" i="27"/>
  <c r="K6" i="27"/>
  <c r="K11" i="27"/>
  <c r="K22" i="27"/>
  <c r="K27" i="27"/>
  <c r="K20" i="27"/>
  <c r="K52" i="27"/>
  <c r="K14" i="27"/>
  <c r="K37" i="27"/>
  <c r="L54" i="27"/>
  <c r="K62" i="27"/>
  <c r="K63" i="27" s="1"/>
  <c r="K51" i="27"/>
  <c r="J23" i="27"/>
  <c r="K15" i="27"/>
  <c r="K8" i="27"/>
  <c r="K34" i="27"/>
  <c r="I31" i="27"/>
  <c r="H31" i="27"/>
  <c r="K13" i="27"/>
  <c r="K7" i="27"/>
  <c r="K26" i="27"/>
  <c r="J54" i="27"/>
  <c r="J59" i="27"/>
  <c r="L59" i="27"/>
  <c r="K57" i="27"/>
  <c r="L18" i="30" l="1"/>
  <c r="L32" i="30" s="1"/>
  <c r="L11" i="31"/>
  <c r="L18" i="31" s="1"/>
  <c r="L32" i="31" s="1"/>
  <c r="K11" i="31"/>
  <c r="K18" i="31" s="1"/>
  <c r="K32" i="31" s="1"/>
  <c r="J18" i="31"/>
  <c r="J32" i="31" s="1"/>
  <c r="K59" i="27"/>
  <c r="L31" i="28"/>
  <c r="L17" i="27"/>
  <c r="K31" i="28"/>
  <c r="K17" i="27"/>
  <c r="K28" i="27"/>
  <c r="K23" i="27"/>
  <c r="K54" i="27"/>
  <c r="L23" i="27"/>
  <c r="J31" i="27"/>
  <c r="L31" i="27" l="1"/>
  <c r="K31" i="27"/>
</calcChain>
</file>

<file path=xl/sharedStrings.xml><?xml version="1.0" encoding="utf-8"?>
<sst xmlns="http://schemas.openxmlformats.org/spreadsheetml/2006/main" count="3106" uniqueCount="165">
  <si>
    <t>TOTAL SUS</t>
  </si>
  <si>
    <t>SUS</t>
  </si>
  <si>
    <t>TOTAL  Health 
Science Center Libraries</t>
  </si>
  <si>
    <t>55170100 / 102</t>
  </si>
  <si>
    <t>HSCL</t>
  </si>
  <si>
    <t>55010000 / F011742</t>
  </si>
  <si>
    <t>YEOMANS</t>
  </si>
  <si>
    <t>55010000 / F019154</t>
  </si>
  <si>
    <t>SPRING WOMEN IN DEVELOPMENT</t>
  </si>
  <si>
    <t>55080500 / 101 / CRRNT</t>
  </si>
  <si>
    <t>55080500 / 101 / CYFWD</t>
  </si>
  <si>
    <t>FLMH DICKINSON</t>
  </si>
  <si>
    <t xml:space="preserve">55080500 / 103 </t>
  </si>
  <si>
    <t>IFAS ENDNOTE / 103</t>
  </si>
  <si>
    <t>TOTAL University Libraries</t>
  </si>
  <si>
    <t>SUBTOTAL Special Projects</t>
  </si>
  <si>
    <t>55080500 / 171</t>
  </si>
  <si>
    <t>STAUG FUNDING</t>
  </si>
  <si>
    <t>OPS INTERNS / U-GRAD FELLOWSHIP</t>
  </si>
  <si>
    <t>SUBTOTAL Discovery, Digital Services &amp; Shared Collections</t>
  </si>
  <si>
    <t>PRESERVATION</t>
  </si>
  <si>
    <t>CATALOGING</t>
  </si>
  <si>
    <t>DIGITAL LIBRARY</t>
  </si>
  <si>
    <t>SUBTOTAL Scholarly Resources &amp; 
Services</t>
  </si>
  <si>
    <t>MARSTON 3D PRINT</t>
  </si>
  <si>
    <t>ACQUISITIONS</t>
  </si>
  <si>
    <t>SPECIAL COLLECTIONS</t>
  </si>
  <si>
    <t>MARSTON-CIRC / STACKS</t>
  </si>
  <si>
    <t>LIBRARY WEST - STACKS</t>
  </si>
  <si>
    <t>EDUCATION</t>
  </si>
  <si>
    <t>AFA</t>
  </si>
  <si>
    <t>LIBRARY WEST - BRANCH / CIRC.</t>
  </si>
  <si>
    <t>DEANS DISCRETIONARY</t>
  </si>
  <si>
    <t>Left at YTD Rate</t>
  </si>
  <si>
    <t>Remaining</t>
  </si>
  <si>
    <t>YTD TOTAL</t>
  </si>
  <si>
    <t>YTD Fringe</t>
  </si>
  <si>
    <t>YTD OPS</t>
  </si>
  <si>
    <t>Fringe</t>
  </si>
  <si>
    <t>Current Other OPS</t>
  </si>
  <si>
    <t>Current Student</t>
  </si>
  <si>
    <t xml:space="preserve">ALLOCATION </t>
  </si>
  <si>
    <t>Department ID</t>
  </si>
  <si>
    <t>DEPARTMENT</t>
  </si>
  <si>
    <t>55080500 / 101</t>
  </si>
  <si>
    <t>FREGLEY</t>
  </si>
  <si>
    <t>55010000 / F007870</t>
  </si>
  <si>
    <t>55010000 / F008400</t>
  </si>
  <si>
    <t>FRIENDS PANAMA CANAL MUSEUM</t>
  </si>
  <si>
    <t>55010000 / F017863</t>
  </si>
  <si>
    <t>PRICE LIBRARY OF JUDAICA NEH</t>
  </si>
  <si>
    <t>ISABELL BRIGGS MYERS</t>
  </si>
  <si>
    <t>55010000 / F022003</t>
  </si>
  <si>
    <t>55010000 / F019836</t>
  </si>
  <si>
    <t>55010000 / F017267</t>
  </si>
  <si>
    <t>GAYLORD ENDOWMENT</t>
  </si>
  <si>
    <t>55010000 / F004188</t>
  </si>
  <si>
    <t>55010000 / F017606</t>
  </si>
  <si>
    <t>PANAMA CANAL MUSEUM</t>
  </si>
  <si>
    <t>ACCESS SERVICES</t>
  </si>
  <si>
    <t>55010000 / F013861</t>
  </si>
  <si>
    <t>STEWARDS OF FLORIDA HISTORY</t>
  </si>
  <si>
    <t xml:space="preserve">MAP AND IMAGERY FUND </t>
  </si>
  <si>
    <t>55170100 / 101</t>
  </si>
  <si>
    <t>HSCL OPS SECURITY</t>
  </si>
  <si>
    <t>IFAS ENDNOTE / 101 (MSL)</t>
  </si>
  <si>
    <t>55010000 / F020922</t>
  </si>
  <si>
    <t>WOODELL LIBRARY ENDOWMENT FUND-DPS</t>
  </si>
  <si>
    <t>SPECIAL COLLECTIONS PURCHASE FUND</t>
  </si>
  <si>
    <t>55010000 / F005434</t>
  </si>
  <si>
    <t>PRM / COMMUNICATIONS</t>
  </si>
  <si>
    <t>2ND PILOT SUPPORT 24/5 LW ACCESS</t>
  </si>
  <si>
    <t>55010000 / F011224</t>
  </si>
  <si>
    <t>LOCKHEART BOOK FUND AFRICAN STUDIES</t>
  </si>
  <si>
    <t>PPED 07-08-21</t>
  </si>
  <si>
    <t>DPS DEPARTMENT</t>
  </si>
  <si>
    <t xml:space="preserve">LTS IT PROGRAMMING SUPPORT </t>
  </si>
  <si>
    <t>No funding per AMH 7/23/21</t>
  </si>
  <si>
    <t>PPED 07-22-21</t>
  </si>
  <si>
    <t>Allocation to come per AMH 7/30/21</t>
  </si>
  <si>
    <t>SRRS DISCRETIONARY (HSS/MSL OPS Security)</t>
  </si>
  <si>
    <t>MSL UNDERGRAD LIB ADVISORS</t>
  </si>
  <si>
    <t>55050200 / 101</t>
  </si>
  <si>
    <t>7/23/21 Allocation of funds to LTS IT PROGRAMMING SUPPORT from OEFM</t>
  </si>
  <si>
    <t>7/22/21 Allocation of funds to MSL UNDERGRAD LIB ADVISORS from OEFM</t>
  </si>
  <si>
    <t>7/23/21 Allocation of funds to DPS DEPARTMENT from SALARIES</t>
  </si>
  <si>
    <t>7/23/21 Allocation of funds to LTS IT PROGRAMMING SUPPORT from SALARIES</t>
  </si>
  <si>
    <t>7/22/21 Allocation of funds to PRM / COMMUNICATIONS from SALARIES</t>
  </si>
  <si>
    <t>TOTAL Projects</t>
  </si>
  <si>
    <t>LTS MIGRATION PROJECT</t>
  </si>
  <si>
    <t>7/23/21 Allocation of funds to LTS MIGRATION PROJECT from OEFM</t>
  </si>
  <si>
    <t>ATH ASSN - SOP &amp; ULA</t>
  </si>
  <si>
    <t>7/30/21 Allocation of funds to ATH ASSN - SOP &amp; UNDERGRAD LIB ADVISORS</t>
  </si>
  <si>
    <t>ATH ASSN - SOP</t>
  </si>
  <si>
    <t>ATH ASSN UNDERGRAD LIB ADVISORS</t>
  </si>
  <si>
    <t>55050200 / F008400</t>
  </si>
  <si>
    <t>8/2/21 Transfer of from F008400/55010000 ATH ASSN - SOP TO F008400/55050200 ATH ASSN UNDERGRAD LIB ADVISORS</t>
  </si>
  <si>
    <t>PPED 08-05-21</t>
  </si>
  <si>
    <t>8/4/21 Allocation of funds to OPS SECURITY LW AND MSL from OE</t>
  </si>
  <si>
    <t xml:space="preserve">SRRS DISCRETIONARY </t>
  </si>
  <si>
    <t>OPS SECURITY LIB WEST AND MSL</t>
  </si>
  <si>
    <t>8/18/21 Allocation of funds to IFAS ENDNOTE / 101 (MSL)</t>
  </si>
  <si>
    <t>PPED 08-19-21</t>
  </si>
  <si>
    <t>8/02/21 Transfer of from F008400/55010000 ATH ASSN - SOP TO F008400/55050200 ATH ASSN UNDERGRAD LIB ADVISORS</t>
  </si>
  <si>
    <t>8/04/21 Allocation of funds to OPS SECURITY LW AND MSL from OE</t>
  </si>
  <si>
    <t>PPED 09-02-21</t>
  </si>
  <si>
    <t>PANAMA CANAL GALLERY EXHIBIT FUND</t>
  </si>
  <si>
    <t>55010000 / F020870</t>
  </si>
  <si>
    <t>FLORIDA AGRICULTURAL HISTORY</t>
  </si>
  <si>
    <t>55070100 / F005636</t>
  </si>
  <si>
    <t>9/02/21 Allocation of funds to PANAMA CANAL GALLERY EXHIBIT FUND</t>
  </si>
  <si>
    <t>9/03/21 Allocation of funds to FLORIDA AGRICULTURAL HISTORY</t>
  </si>
  <si>
    <t>PPED 09-16-21</t>
  </si>
  <si>
    <t>9/16/21 Allocation of funds to DEANS DISCRETIONARY</t>
  </si>
  <si>
    <t>IFAS ENDNOTE / 103 YR 4 of 5 (62124590)</t>
  </si>
  <si>
    <t>9/16/21 Allocation of funds to IFAS ENDNOTE 103 INDEXING DATA PROJECT (44348000)</t>
  </si>
  <si>
    <t>9/16/21 Allocation of funds to IFAS ENDNOTE 103 YR 4 OF 5 (62124590)</t>
  </si>
  <si>
    <t>IFAS Indexing Data Project / 103 (44348000)</t>
  </si>
  <si>
    <t>PPED 09-30-21</t>
  </si>
  <si>
    <t>PPED 10-14-21</t>
  </si>
  <si>
    <t>PPED 10-28-21</t>
  </si>
  <si>
    <t>PPED 11-11-21</t>
  </si>
  <si>
    <t>PPED 11-25-21</t>
  </si>
  <si>
    <t>12/13/21 Posted Allocation of funds to IFAS ENDNOTE 103 INDEXING DATA PROJECT (44348000)</t>
  </si>
  <si>
    <t>12/13/21  Allocation of funds to ATH ASSN UNDERGRAD LIB ADVISORS (0003768866)</t>
  </si>
  <si>
    <t>12/15/21 Allocation of funds to PANAMA CANAL GALLERY EXHIBIT FUND</t>
  </si>
  <si>
    <t>PPED 12-09-21</t>
  </si>
  <si>
    <t>PPED 12-23-21</t>
  </si>
  <si>
    <t>PPED 01-06-22</t>
  </si>
  <si>
    <t>1/05/22 Allocation of funds to F008400/55010000 TH ASSN - SOP</t>
  </si>
  <si>
    <t>1/5/22 Allocation of funds to IFAS ENDNOTE 103 INDEXING DATA PROJECT from IFAS ENDNOTE 103 YR 4 OF 5</t>
  </si>
  <si>
    <t>PPED 01-20-22</t>
  </si>
  <si>
    <t>1/12/22 Allocation of funds to DEANS DISCRETIONARY</t>
  </si>
  <si>
    <t>YEOMANS - EXHIBIT PROJECT</t>
  </si>
  <si>
    <t>1/26/22 Allocation of funds to F011742/55010000 YEOMANS - EXHIBITIONS</t>
  </si>
  <si>
    <t>1/31/22 Allocation of funds to DEANS DISCRETIONARY</t>
  </si>
  <si>
    <t>PPED 02-03-22</t>
  </si>
  <si>
    <t>1/05/22 Allocation of funds to IFAS ENDNOTE 103 INDEXING DATA PROJECT from IFAS ENDNOTE 103 YR 4 OF 5</t>
  </si>
  <si>
    <t>12/13/21 Allocation of funds to ATH ASSN UNDERGRAD LIB ADVISORS (0003768866)</t>
  </si>
  <si>
    <t>2/10/22 Allocation of funds from FRIENDS PANAMA CANAL MUSEUM</t>
  </si>
  <si>
    <t>2/10/22 Allocation of funds to FRIENDS PANAMA CANAL MUSEUM</t>
  </si>
  <si>
    <t>PPED 02-17-22</t>
  </si>
  <si>
    <t>EDNA HINDSON PRVS-ORAL HST PJCT</t>
  </si>
  <si>
    <t>55010000 / F025317</t>
  </si>
  <si>
    <t>2/11/22 Allocation of funds to F025317/55010000 EDNA HINDSON PRVS-ORAL HST PJCT</t>
  </si>
  <si>
    <t>1/05/22 Allocation of funds to F008400/55010000 ATH ASSN - SOP</t>
  </si>
  <si>
    <t>PPED 03-03-22</t>
  </si>
  <si>
    <t>PPED 03-17-22</t>
  </si>
  <si>
    <t>PPED 03-31-22</t>
  </si>
  <si>
    <t>PPED 04-14-22</t>
  </si>
  <si>
    <t>TOTAL Health Science Center Libraries</t>
  </si>
  <si>
    <t>SUBTOTAL Other</t>
  </si>
  <si>
    <t>4/27/22 Allocation of funds to 55010300 DEANS DISCRETIONARY</t>
  </si>
  <si>
    <t>PPED 04-28-22</t>
  </si>
  <si>
    <t>PPED 05-12-22</t>
  </si>
  <si>
    <t>8/02/21 Transfer of funds from Salaray Savings to OPS INTERNS / U-GRAD FELLOWSHIP 55200000</t>
  </si>
  <si>
    <t>5/18/22 Transfer of from SRRS DISCRETIONARY 55010500 to F008400/55050200 ATH ASSN UNDERGRAD LIB ADVISORS</t>
  </si>
  <si>
    <t>5/18/22 Transfer of from F008400/55010000 ATH ASSN - SOP to F008400/55050200 ATH ASSN UNDERGRAD LIB ADVISORS</t>
  </si>
  <si>
    <t xml:space="preserve">5/23/22 Transfer of from 55010300 DEANS DISCRETIONARY (650000) TO 550103000 (700000 Salaries)  </t>
  </si>
  <si>
    <t>PPED 05-26-22</t>
  </si>
  <si>
    <t>PPED 06-09-22</t>
  </si>
  <si>
    <t>6/15/22 Allocation of funds to FRIENDS PANAMA CANAL MUSEUM</t>
  </si>
  <si>
    <t>LOCKHEART - MANUSCRIPT MATERIALS</t>
  </si>
  <si>
    <t>PPED 06-23-22</t>
  </si>
  <si>
    <t>06-30-22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</si>
</sst>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b/>
      <i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23">
    <xf numFmtId="0" fontId="0" fillId="0" borderId="0" xfId="0"/>
    <xf numFmtId="0" fontId="3" fillId="0" borderId="0" xfId="0" applyFont="1" applyFill="1"/>
    <xf numFmtId="39" fontId="3" fillId="0" borderId="0" xfId="0" applyNumberFormat="1" applyFont="1" applyFill="1"/>
    <xf numFmtId="0" fontId="3" fillId="2" borderId="0" xfId="0" applyFont="1" applyFill="1"/>
    <xf numFmtId="39" fontId="4" fillId="0" borderId="0" xfId="0" applyNumberFormat="1" applyFont="1" applyFill="1" applyBorder="1" applyAlignment="1">
      <alignment horizontal="center" vertical="center"/>
    </xf>
    <xf numFmtId="44" fontId="6" fillId="0" borderId="0" xfId="2" applyNumberFormat="1" applyFont="1" applyFill="1" applyBorder="1" applyAlignment="1">
      <alignment horizontal="left" vertical="center"/>
    </xf>
    <xf numFmtId="14" fontId="6" fillId="0" borderId="0" xfId="2" applyNumberFormat="1" applyFont="1" applyFill="1" applyBorder="1" applyAlignment="1">
      <alignment horizontal="left" vertical="center" wrapText="1"/>
    </xf>
    <xf numFmtId="39" fontId="6" fillId="0" borderId="1" xfId="2" applyNumberFormat="1" applyFont="1" applyFill="1" applyBorder="1" applyAlignment="1">
      <alignment horizontal="center" vertical="center"/>
    </xf>
    <xf numFmtId="39" fontId="7" fillId="0" borderId="1" xfId="2" applyNumberFormat="1" applyFont="1" applyFill="1" applyBorder="1" applyAlignment="1">
      <alignment horizontal="center" vertical="center"/>
    </xf>
    <xf numFmtId="3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39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/>
    <xf numFmtId="39" fontId="4" fillId="0" borderId="1" xfId="0" applyNumberFormat="1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39" fontId="6" fillId="0" borderId="2" xfId="2" applyNumberFormat="1" applyFont="1" applyFill="1" applyBorder="1" applyAlignment="1">
      <alignment horizontal="center" vertical="center"/>
    </xf>
    <xf numFmtId="39" fontId="6" fillId="6" borderId="3" xfId="2" applyNumberFormat="1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/>
    <xf numFmtId="39" fontId="6" fillId="6" borderId="5" xfId="2" applyNumberFormat="1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/>
    </xf>
    <xf numFmtId="0" fontId="6" fillId="6" borderId="6" xfId="2" applyFont="1" applyFill="1" applyBorder="1"/>
    <xf numFmtId="39" fontId="6" fillId="0" borderId="7" xfId="2" applyNumberFormat="1" applyFont="1" applyFill="1" applyBorder="1" applyAlignment="1">
      <alignment horizontal="center" vertical="center"/>
    </xf>
    <xf numFmtId="39" fontId="7" fillId="2" borderId="7" xfId="2" applyNumberFormat="1" applyFont="1" applyFill="1" applyBorder="1" applyAlignment="1">
      <alignment horizontal="center" vertical="center"/>
    </xf>
    <xf numFmtId="39" fontId="7" fillId="0" borderId="7" xfId="2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39" fontId="6" fillId="2" borderId="1" xfId="2" applyNumberFormat="1" applyFont="1" applyFill="1" applyBorder="1" applyAlignment="1">
      <alignment horizontal="center" vertical="center"/>
    </xf>
    <xf numFmtId="39" fontId="6" fillId="6" borderId="8" xfId="2" applyNumberFormat="1" applyFont="1" applyFill="1" applyBorder="1" applyAlignment="1">
      <alignment horizontal="center" vertical="center"/>
    </xf>
    <xf numFmtId="39" fontId="6" fillId="6" borderId="9" xfId="2" applyNumberFormat="1" applyFont="1" applyFill="1" applyBorder="1" applyAlignment="1">
      <alignment horizontal="center" vertical="center"/>
    </xf>
    <xf numFmtId="0" fontId="7" fillId="6" borderId="6" xfId="2" applyFont="1" applyFill="1" applyBorder="1"/>
    <xf numFmtId="0" fontId="7" fillId="2" borderId="7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/>
    </xf>
    <xf numFmtId="39" fontId="7" fillId="2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/>
    </xf>
    <xf numFmtId="0" fontId="3" fillId="0" borderId="0" xfId="0" applyFont="1" applyFill="1" applyBorder="1" applyAlignment="1"/>
    <xf numFmtId="39" fontId="9" fillId="7" borderId="1" xfId="2" applyNumberFormat="1" applyFont="1" applyFill="1" applyBorder="1" applyAlignment="1">
      <alignment horizontal="center"/>
    </xf>
    <xf numFmtId="39" fontId="9" fillId="7" borderId="1" xfId="2" applyNumberFormat="1" applyFont="1" applyFill="1" applyBorder="1" applyAlignment="1">
      <alignment horizontal="center" wrapText="1"/>
    </xf>
    <xf numFmtId="0" fontId="9" fillId="7" borderId="1" xfId="2" applyFont="1" applyFill="1" applyBorder="1" applyAlignment="1">
      <alignment horizontal="center"/>
    </xf>
    <xf numFmtId="39" fontId="6" fillId="8" borderId="0" xfId="2" applyNumberFormat="1" applyFont="1" applyFill="1"/>
    <xf numFmtId="39" fontId="6" fillId="0" borderId="0" xfId="2" applyNumberFormat="1" applyFont="1" applyFill="1"/>
    <xf numFmtId="0" fontId="6" fillId="0" borderId="0" xfId="2" applyFont="1" applyFill="1"/>
    <xf numFmtId="40" fontId="10" fillId="0" borderId="0" xfId="0" applyNumberFormat="1" applyFont="1" applyFill="1" applyAlignment="1"/>
    <xf numFmtId="39" fontId="6" fillId="0" borderId="0" xfId="2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39" fontId="7" fillId="0" borderId="2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39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2" borderId="0" xfId="0" applyFont="1" applyFill="1"/>
    <xf numFmtId="39" fontId="11" fillId="0" borderId="0" xfId="0" applyNumberFormat="1" applyFont="1" applyFill="1" applyAlignment="1">
      <alignment vertical="center"/>
    </xf>
    <xf numFmtId="39" fontId="7" fillId="0" borderId="0" xfId="0" applyNumberFormat="1" applyFont="1" applyFill="1" applyAlignment="1">
      <alignment vertical="center"/>
    </xf>
    <xf numFmtId="39" fontId="12" fillId="2" borderId="0" xfId="0" applyNumberFormat="1" applyFont="1" applyFill="1" applyAlignment="1">
      <alignment vertical="center"/>
    </xf>
    <xf numFmtId="0" fontId="7" fillId="8" borderId="1" xfId="2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7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/>
    </xf>
    <xf numFmtId="39" fontId="13" fillId="0" borderId="0" xfId="0" applyNumberFormat="1" applyFont="1" applyFill="1" applyAlignment="1">
      <alignment vertical="center"/>
    </xf>
    <xf numFmtId="39" fontId="7" fillId="9" borderId="1" xfId="2" applyNumberFormat="1" applyFont="1" applyFill="1" applyBorder="1" applyAlignment="1">
      <alignment horizontal="center" vertical="center"/>
    </xf>
    <xf numFmtId="39" fontId="7" fillId="9" borderId="1" xfId="0" applyNumberFormat="1" applyFont="1" applyFill="1" applyBorder="1" applyAlignment="1">
      <alignment horizontal="center" vertical="center"/>
    </xf>
    <xf numFmtId="39" fontId="12" fillId="0" borderId="0" xfId="0" applyNumberFormat="1" applyFont="1" applyFill="1" applyAlignment="1">
      <alignment vertical="center"/>
    </xf>
    <xf numFmtId="39" fontId="13" fillId="0" borderId="1" xfId="2" applyNumberFormat="1" applyFon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164" fontId="4" fillId="2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39" fontId="11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7" fillId="10" borderId="1" xfId="2" applyFont="1" applyFill="1" applyBorder="1" applyAlignment="1">
      <alignment horizontal="left" vertical="center"/>
    </xf>
    <xf numFmtId="0" fontId="7" fillId="10" borderId="1" xfId="2" applyFont="1" applyFill="1" applyBorder="1" applyAlignment="1">
      <alignment horizontal="center" vertical="center"/>
    </xf>
    <xf numFmtId="39" fontId="7" fillId="10" borderId="1" xfId="2" applyNumberFormat="1" applyFont="1" applyFill="1" applyBorder="1" applyAlignment="1">
      <alignment horizontal="center" vertical="center"/>
    </xf>
    <xf numFmtId="39" fontId="7" fillId="10" borderId="7" xfId="2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7" fillId="10" borderId="1" xfId="2" applyFont="1" applyFill="1" applyBorder="1" applyAlignment="1">
      <alignment vertical="center" wrapText="1"/>
    </xf>
    <xf numFmtId="39" fontId="15" fillId="0" borderId="1" xfId="2" applyNumberFormat="1" applyFont="1" applyFill="1" applyBorder="1" applyAlignment="1">
      <alignment horizontal="center" vertical="center"/>
    </xf>
    <xf numFmtId="39" fontId="11" fillId="10" borderId="1" xfId="0" applyNumberFormat="1" applyFont="1" applyFill="1" applyBorder="1" applyAlignment="1">
      <alignment horizontal="center" vertical="center"/>
    </xf>
    <xf numFmtId="39" fontId="11" fillId="10" borderId="1" xfId="2" applyNumberFormat="1" applyFont="1" applyFill="1" applyBorder="1" applyAlignment="1">
      <alignment horizontal="center" vertical="center"/>
    </xf>
    <xf numFmtId="39" fontId="7" fillId="11" borderId="1" xfId="2" applyNumberFormat="1" applyFont="1" applyFill="1" applyBorder="1" applyAlignment="1">
      <alignment horizontal="center" vertical="center"/>
    </xf>
    <xf numFmtId="39" fontId="7" fillId="11" borderId="2" xfId="2" applyNumberFormat="1" applyFont="1" applyFill="1" applyBorder="1" applyAlignment="1">
      <alignment horizontal="center" vertical="center"/>
    </xf>
    <xf numFmtId="0" fontId="7" fillId="12" borderId="1" xfId="2" applyFont="1" applyFill="1" applyBorder="1" applyAlignment="1">
      <alignment horizontal="center" vertical="center"/>
    </xf>
    <xf numFmtId="0" fontId="7" fillId="12" borderId="7" xfId="2" applyFont="1" applyFill="1" applyBorder="1" applyAlignment="1">
      <alignment horizontal="center" vertical="center"/>
    </xf>
    <xf numFmtId="39" fontId="7" fillId="11" borderId="7" xfId="2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left" vertical="center" wrapText="1"/>
    </xf>
    <xf numFmtId="39" fontId="7" fillId="10" borderId="1" xfId="0" applyNumberFormat="1" applyFont="1" applyFill="1" applyBorder="1" applyAlignment="1">
      <alignment horizontal="center" vertical="center"/>
    </xf>
    <xf numFmtId="39" fontId="7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7" fillId="13" borderId="1" xfId="2" applyFont="1" applyFill="1" applyBorder="1" applyAlignment="1">
      <alignment horizontal="center" vertical="center"/>
    </xf>
    <xf numFmtId="39" fontId="14" fillId="0" borderId="0" xfId="0" applyNumberFormat="1" applyFont="1" applyFill="1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14" fontId="13" fillId="2" borderId="0" xfId="2" applyNumberFormat="1" applyFont="1" applyFill="1" applyBorder="1" applyAlignment="1">
      <alignment horizontal="left" vertical="center" wrapText="1"/>
    </xf>
    <xf numFmtId="14" fontId="6" fillId="2" borderId="0" xfId="2" applyNumberFormat="1" applyFont="1" applyFill="1" applyBorder="1" applyAlignment="1">
      <alignment horizontal="left" vertical="center" wrapText="1"/>
    </xf>
  </cellXfs>
  <cellStyles count="3">
    <cellStyle name="Explanatory Text" xfId="1" builtinId="5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B695-4AA3-4C7C-ABBD-F7F1AF8D3060}">
  <sheetPr>
    <pageSetUpPr fitToPage="1"/>
  </sheetPr>
  <dimension ref="A1:S70"/>
  <sheetViews>
    <sheetView zoomScale="145" zoomScaleNormal="145" workbookViewId="0">
      <pane ySplit="2" topLeftCell="A10" activePane="bottomLeft" state="frozen"/>
      <selection pane="bottomLeft" activeCell="D26" sqref="D26"/>
    </sheetView>
  </sheetViews>
  <sheetFormatPr defaultColWidth="28" defaultRowHeight="15" x14ac:dyDescent="0.25"/>
  <cols>
    <col min="1" max="1" width="28.5703125" style="1" customWidth="1"/>
    <col min="2" max="2" width="16.140625" style="1" customWidth="1"/>
    <col min="3" max="3" width="11.140625" style="52" bestFit="1" customWidth="1"/>
    <col min="4" max="4" width="7.5703125" style="2" bestFit="1" customWidth="1"/>
    <col min="5" max="5" width="6" style="2" bestFit="1" customWidth="1"/>
    <col min="6" max="6" width="9" style="2" bestFit="1" customWidth="1"/>
    <col min="7" max="7" width="8.7109375" style="2" bestFit="1" customWidth="1"/>
    <col min="8" max="8" width="7.5703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74</v>
      </c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hidden="1" customHeight="1" x14ac:dyDescent="0.25">
      <c r="A3" s="17" t="s">
        <v>32</v>
      </c>
      <c r="B3" s="21">
        <v>55010300</v>
      </c>
      <c r="C3" s="8">
        <v>0</v>
      </c>
      <c r="D3" s="32">
        <v>0</v>
      </c>
      <c r="E3" s="32">
        <v>0</v>
      </c>
      <c r="F3" s="32">
        <v>0</v>
      </c>
      <c r="G3" s="32">
        <v>0</v>
      </c>
      <c r="H3" s="8">
        <f>D3+F3</f>
        <v>0</v>
      </c>
      <c r="I3" s="8">
        <f>E3+G3</f>
        <v>0</v>
      </c>
      <c r="J3" s="8">
        <f>H3+I3</f>
        <v>0</v>
      </c>
      <c r="K3" s="8">
        <f>C3-J3</f>
        <v>0</v>
      </c>
      <c r="L3" s="8">
        <f>C3-((J3/1)*26.0714285714285)</f>
        <v>0</v>
      </c>
      <c r="M3" s="66"/>
    </row>
    <row r="4" spans="1:13" s="56" customFormat="1" ht="11.25" customHeight="1" x14ac:dyDescent="0.25">
      <c r="A4" s="91" t="s">
        <v>80</v>
      </c>
      <c r="B4" s="21">
        <v>55010500</v>
      </c>
      <c r="C4" s="8">
        <f>2229+688</f>
        <v>2917</v>
      </c>
      <c r="D4" s="32">
        <v>0</v>
      </c>
      <c r="E4" s="32">
        <v>0</v>
      </c>
      <c r="F4" s="32">
        <v>0</v>
      </c>
      <c r="G4" s="32">
        <v>0</v>
      </c>
      <c r="H4" s="8">
        <f t="shared" ref="H4:H16" si="0">D4+F4</f>
        <v>0</v>
      </c>
      <c r="I4" s="8">
        <f t="shared" ref="I4:I16" si="1">E4+G4</f>
        <v>0</v>
      </c>
      <c r="J4" s="8">
        <f t="shared" ref="J4:J16" si="2">H4+I4</f>
        <v>0</v>
      </c>
      <c r="K4" s="8">
        <f t="shared" ref="K4:K16" si="3">C4-J4</f>
        <v>2917</v>
      </c>
      <c r="L4" s="8">
        <f t="shared" ref="L4:L16" si="4">C4-((J4/1)*26.0714285714285)</f>
        <v>2917</v>
      </c>
      <c r="M4" s="66"/>
    </row>
    <row r="5" spans="1:13" s="56" customFormat="1" ht="11.25" customHeight="1" x14ac:dyDescent="0.25">
      <c r="A5" s="42" t="s">
        <v>70</v>
      </c>
      <c r="B5" s="57">
        <v>55010601</v>
      </c>
      <c r="C5" s="8">
        <v>6450</v>
      </c>
      <c r="D5" s="8">
        <v>120</v>
      </c>
      <c r="E5" s="8">
        <v>1.44</v>
      </c>
      <c r="F5" s="8">
        <v>0</v>
      </c>
      <c r="G5" s="8">
        <v>0</v>
      </c>
      <c r="H5" s="8">
        <f t="shared" si="0"/>
        <v>120</v>
      </c>
      <c r="I5" s="8">
        <f t="shared" si="1"/>
        <v>1.44</v>
      </c>
      <c r="J5" s="8">
        <f t="shared" si="2"/>
        <v>121.44</v>
      </c>
      <c r="K5" s="8">
        <f t="shared" si="3"/>
        <v>6328.56</v>
      </c>
      <c r="L5" s="8">
        <f t="shared" si="4"/>
        <v>3283.8857142857232</v>
      </c>
      <c r="M5" s="66"/>
    </row>
    <row r="6" spans="1:13" s="53" customFormat="1" ht="11.25" customHeight="1" x14ac:dyDescent="0.25">
      <c r="A6" s="42" t="s">
        <v>31</v>
      </c>
      <c r="B6" s="57">
        <v>55020200</v>
      </c>
      <c r="C6" s="58">
        <v>24649</v>
      </c>
      <c r="D6" s="41">
        <v>633.20000000000005</v>
      </c>
      <c r="E6" s="41">
        <v>7.59</v>
      </c>
      <c r="F6" s="41">
        <v>348.13</v>
      </c>
      <c r="G6" s="41">
        <v>26.1</v>
      </c>
      <c r="H6" s="8">
        <f t="shared" si="0"/>
        <v>981.33</v>
      </c>
      <c r="I6" s="8">
        <f t="shared" si="1"/>
        <v>33.69</v>
      </c>
      <c r="J6" s="8">
        <f t="shared" si="2"/>
        <v>1015.02</v>
      </c>
      <c r="K6" s="8">
        <f t="shared" si="3"/>
        <v>23633.98</v>
      </c>
      <c r="L6" s="8">
        <f t="shared" si="4"/>
        <v>-1814.0214285713555</v>
      </c>
      <c r="M6" s="67"/>
    </row>
    <row r="7" spans="1:13" s="53" customFormat="1" ht="11.25" customHeight="1" x14ac:dyDescent="0.25">
      <c r="A7" s="17" t="s">
        <v>30</v>
      </c>
      <c r="B7" s="21">
        <v>55020300</v>
      </c>
      <c r="C7" s="8">
        <v>17974</v>
      </c>
      <c r="D7" s="9">
        <v>337.02</v>
      </c>
      <c r="E7" s="9">
        <v>4.0199999999999996</v>
      </c>
      <c r="F7" s="9">
        <v>0</v>
      </c>
      <c r="G7" s="9">
        <v>0</v>
      </c>
      <c r="H7" s="8">
        <f t="shared" si="0"/>
        <v>337.02</v>
      </c>
      <c r="I7" s="8">
        <f t="shared" si="1"/>
        <v>4.0199999999999996</v>
      </c>
      <c r="J7" s="8">
        <f t="shared" si="2"/>
        <v>341.03999999999996</v>
      </c>
      <c r="K7" s="8">
        <f t="shared" si="3"/>
        <v>17632.96</v>
      </c>
      <c r="L7" s="8">
        <f t="shared" si="4"/>
        <v>9082.6000000000258</v>
      </c>
      <c r="M7" s="67"/>
    </row>
    <row r="8" spans="1:13" s="53" customFormat="1" ht="11.25" customHeight="1" x14ac:dyDescent="0.25">
      <c r="A8" s="17" t="s">
        <v>29</v>
      </c>
      <c r="B8" s="21">
        <v>55020400</v>
      </c>
      <c r="C8" s="8">
        <v>17974</v>
      </c>
      <c r="D8" s="9">
        <v>120.81</v>
      </c>
      <c r="E8" s="9">
        <v>1.44</v>
      </c>
      <c r="F8" s="9">
        <v>249.75</v>
      </c>
      <c r="G8" s="9">
        <v>18.73</v>
      </c>
      <c r="H8" s="8">
        <f t="shared" si="0"/>
        <v>370.56</v>
      </c>
      <c r="I8" s="8">
        <f t="shared" si="1"/>
        <v>20.170000000000002</v>
      </c>
      <c r="J8" s="8">
        <f t="shared" si="2"/>
        <v>390.73</v>
      </c>
      <c r="K8" s="8">
        <f t="shared" si="3"/>
        <v>17583.27</v>
      </c>
      <c r="L8" s="8">
        <f t="shared" si="4"/>
        <v>7787.1107142857418</v>
      </c>
      <c r="M8" s="67"/>
    </row>
    <row r="9" spans="1:13" s="53" customFormat="1" ht="11.25" customHeight="1" x14ac:dyDescent="0.25">
      <c r="A9" s="17" t="s">
        <v>59</v>
      </c>
      <c r="B9" s="21">
        <v>55030100</v>
      </c>
      <c r="C9" s="8">
        <v>2109</v>
      </c>
      <c r="D9" s="32">
        <v>0</v>
      </c>
      <c r="E9" s="32">
        <v>0</v>
      </c>
      <c r="F9" s="32">
        <v>0</v>
      </c>
      <c r="G9" s="32">
        <v>0</v>
      </c>
      <c r="H9" s="8">
        <f t="shared" si="0"/>
        <v>0</v>
      </c>
      <c r="I9" s="8">
        <f t="shared" si="1"/>
        <v>0</v>
      </c>
      <c r="J9" s="8">
        <f t="shared" si="2"/>
        <v>0</v>
      </c>
      <c r="K9" s="8">
        <f t="shared" si="3"/>
        <v>2109</v>
      </c>
      <c r="L9" s="8">
        <f t="shared" si="4"/>
        <v>2109</v>
      </c>
      <c r="M9" s="67"/>
    </row>
    <row r="10" spans="1:13" s="53" customFormat="1" ht="11.25" customHeight="1" x14ac:dyDescent="0.25">
      <c r="A10" s="40" t="s">
        <v>28</v>
      </c>
      <c r="B10" s="21">
        <v>55030200</v>
      </c>
      <c r="C10" s="8">
        <v>24330</v>
      </c>
      <c r="D10" s="9">
        <v>318.62</v>
      </c>
      <c r="E10" s="9">
        <v>3.82</v>
      </c>
      <c r="F10" s="9">
        <v>410.46</v>
      </c>
      <c r="G10" s="9">
        <v>30.78</v>
      </c>
      <c r="H10" s="8">
        <f t="shared" si="0"/>
        <v>729.07999999999993</v>
      </c>
      <c r="I10" s="8">
        <f t="shared" si="1"/>
        <v>34.6</v>
      </c>
      <c r="J10" s="8">
        <f t="shared" si="2"/>
        <v>763.68</v>
      </c>
      <c r="K10" s="8">
        <f t="shared" si="3"/>
        <v>23566.32</v>
      </c>
      <c r="L10" s="8">
        <f t="shared" si="4"/>
        <v>4419.7714285714865</v>
      </c>
      <c r="M10" s="74"/>
    </row>
    <row r="11" spans="1:13" s="53" customFormat="1" ht="11.25" customHeight="1" x14ac:dyDescent="0.25">
      <c r="A11" s="17" t="s">
        <v>27</v>
      </c>
      <c r="B11" s="21">
        <v>55050200</v>
      </c>
      <c r="C11" s="8">
        <f>34000</f>
        <v>34000</v>
      </c>
      <c r="D11" s="8">
        <v>649.84</v>
      </c>
      <c r="E11" s="8">
        <v>7.8</v>
      </c>
      <c r="F11" s="8">
        <v>919.64</v>
      </c>
      <c r="G11" s="8">
        <v>68.97</v>
      </c>
      <c r="H11" s="8">
        <f t="shared" si="0"/>
        <v>1569.48</v>
      </c>
      <c r="I11" s="8">
        <f t="shared" si="1"/>
        <v>76.77</v>
      </c>
      <c r="J11" s="8">
        <f t="shared" si="2"/>
        <v>1646.25</v>
      </c>
      <c r="K11" s="8">
        <f t="shared" si="3"/>
        <v>32353.75</v>
      </c>
      <c r="L11" s="8">
        <f t="shared" si="4"/>
        <v>-8920.0892857141662</v>
      </c>
      <c r="M11" s="81"/>
    </row>
    <row r="12" spans="1:13" s="54" customFormat="1" ht="11.25" customHeight="1" x14ac:dyDescent="0.25">
      <c r="A12" s="17" t="s">
        <v>26</v>
      </c>
      <c r="B12" s="21">
        <v>55070100</v>
      </c>
      <c r="C12" s="8">
        <v>42741</v>
      </c>
      <c r="D12" s="8">
        <v>509.09</v>
      </c>
      <c r="E12" s="8">
        <v>6.1</v>
      </c>
      <c r="F12" s="8">
        <v>36.6</v>
      </c>
      <c r="G12" s="8">
        <v>2.74</v>
      </c>
      <c r="H12" s="8">
        <f t="shared" si="0"/>
        <v>545.68999999999994</v>
      </c>
      <c r="I12" s="8">
        <f t="shared" si="1"/>
        <v>8.84</v>
      </c>
      <c r="J12" s="8">
        <f t="shared" si="2"/>
        <v>554.53</v>
      </c>
      <c r="K12" s="8">
        <f t="shared" si="3"/>
        <v>42186.47</v>
      </c>
      <c r="L12" s="8">
        <f t="shared" si="4"/>
        <v>28283.610714285758</v>
      </c>
      <c r="M12" s="84"/>
    </row>
    <row r="13" spans="1:13" s="53" customFormat="1" ht="11.25" customHeight="1" x14ac:dyDescent="0.25">
      <c r="A13" s="17" t="s">
        <v>25</v>
      </c>
      <c r="B13" s="21">
        <v>55080100</v>
      </c>
      <c r="C13" s="8">
        <v>24173</v>
      </c>
      <c r="D13" s="9">
        <v>177.42</v>
      </c>
      <c r="E13" s="9">
        <v>2.12</v>
      </c>
      <c r="F13" s="9">
        <v>0</v>
      </c>
      <c r="G13" s="9">
        <v>0</v>
      </c>
      <c r="H13" s="8">
        <f t="shared" si="0"/>
        <v>177.42</v>
      </c>
      <c r="I13" s="8">
        <f t="shared" si="1"/>
        <v>2.12</v>
      </c>
      <c r="J13" s="8">
        <f t="shared" si="2"/>
        <v>179.54</v>
      </c>
      <c r="K13" s="8">
        <f t="shared" si="3"/>
        <v>23993.46</v>
      </c>
      <c r="L13" s="8">
        <f t="shared" si="4"/>
        <v>19492.135714285727</v>
      </c>
      <c r="M13" s="74"/>
    </row>
    <row r="14" spans="1:13" s="55" customFormat="1" ht="10.9" customHeight="1" x14ac:dyDescent="0.25">
      <c r="A14" s="79" t="s">
        <v>76</v>
      </c>
      <c r="B14" s="80">
        <v>55110100</v>
      </c>
      <c r="C14" s="33">
        <f>2659+6941+5955</f>
        <v>15555</v>
      </c>
      <c r="D14" s="33">
        <v>0</v>
      </c>
      <c r="E14" s="33">
        <v>0</v>
      </c>
      <c r="F14" s="33">
        <v>0</v>
      </c>
      <c r="G14" s="33">
        <v>0</v>
      </c>
      <c r="H14" s="8">
        <f>D14+F14</f>
        <v>0</v>
      </c>
      <c r="I14" s="8">
        <f>E14+G14</f>
        <v>0</v>
      </c>
      <c r="J14" s="8">
        <f>H14+I14</f>
        <v>0</v>
      </c>
      <c r="K14" s="8">
        <f>C14-J14</f>
        <v>15555</v>
      </c>
      <c r="L14" s="8">
        <f>C14-((J14/1)*26.0714285714285)</f>
        <v>15555</v>
      </c>
      <c r="M14" s="76"/>
    </row>
    <row r="15" spans="1:13" s="55" customFormat="1" ht="11.25" customHeight="1" x14ac:dyDescent="0.25">
      <c r="A15" s="39" t="s">
        <v>24</v>
      </c>
      <c r="B15" s="23">
        <v>55190000</v>
      </c>
      <c r="C15" s="8">
        <v>6000</v>
      </c>
      <c r="D15" s="9">
        <v>64.48</v>
      </c>
      <c r="E15" s="9">
        <v>0.77</v>
      </c>
      <c r="F15" s="9">
        <v>142.5</v>
      </c>
      <c r="G15" s="9">
        <v>10.68</v>
      </c>
      <c r="H15" s="8">
        <f t="shared" si="0"/>
        <v>206.98000000000002</v>
      </c>
      <c r="I15" s="8">
        <f t="shared" si="1"/>
        <v>11.45</v>
      </c>
      <c r="J15" s="8">
        <f t="shared" si="2"/>
        <v>218.43</v>
      </c>
      <c r="K15" s="8">
        <f t="shared" si="3"/>
        <v>5781.57</v>
      </c>
      <c r="L15" s="8">
        <f t="shared" si="4"/>
        <v>305.21785714287307</v>
      </c>
      <c r="M15" s="69"/>
    </row>
    <row r="16" spans="1:13" s="55" customFormat="1" ht="11.25" customHeight="1" x14ac:dyDescent="0.25">
      <c r="A16" s="39" t="s">
        <v>75</v>
      </c>
      <c r="B16" s="23">
        <v>55400000</v>
      </c>
      <c r="C16" s="8">
        <v>10800</v>
      </c>
      <c r="D16" s="9">
        <v>252</v>
      </c>
      <c r="E16" s="9">
        <v>3.02</v>
      </c>
      <c r="F16" s="9">
        <v>0</v>
      </c>
      <c r="G16" s="9">
        <v>0</v>
      </c>
      <c r="H16" s="8">
        <f t="shared" si="0"/>
        <v>252</v>
      </c>
      <c r="I16" s="8">
        <f t="shared" si="1"/>
        <v>3.02</v>
      </c>
      <c r="J16" s="8">
        <f t="shared" si="2"/>
        <v>255.02</v>
      </c>
      <c r="K16" s="8">
        <f t="shared" si="3"/>
        <v>10544.98</v>
      </c>
      <c r="L16" s="8">
        <f t="shared" si="4"/>
        <v>4151.2642857143037</v>
      </c>
      <c r="M16" s="69"/>
    </row>
    <row r="17" spans="1:13" ht="21.6" customHeight="1" thickBot="1" x14ac:dyDescent="0.3">
      <c r="A17" s="114" t="s">
        <v>23</v>
      </c>
      <c r="B17" s="115"/>
      <c r="C17" s="35">
        <f t="shared" ref="C17" si="5">SUM(C3:C15)</f>
        <v>218872</v>
      </c>
      <c r="D17" s="7">
        <f t="shared" ref="D17:L17" si="6">SUM(D3:D16)</f>
        <v>3182.4800000000005</v>
      </c>
      <c r="E17" s="7">
        <f t="shared" si="6"/>
        <v>38.120000000000005</v>
      </c>
      <c r="F17" s="7">
        <f t="shared" si="6"/>
        <v>2107.08</v>
      </c>
      <c r="G17" s="7">
        <f t="shared" si="6"/>
        <v>158</v>
      </c>
      <c r="H17" s="7">
        <f t="shared" si="6"/>
        <v>5289.5599999999995</v>
      </c>
      <c r="I17" s="7">
        <f t="shared" si="6"/>
        <v>196.12</v>
      </c>
      <c r="J17" s="35">
        <f t="shared" si="6"/>
        <v>5485.68</v>
      </c>
      <c r="K17" s="35">
        <f t="shared" si="6"/>
        <v>224186.32</v>
      </c>
      <c r="L17" s="7">
        <f t="shared" si="6"/>
        <v>86652.485714286115</v>
      </c>
    </row>
    <row r="18" spans="1:13" ht="11.25" customHeight="1" x14ac:dyDescent="0.25">
      <c r="A18" s="3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37"/>
    </row>
    <row r="19" spans="1:13" ht="11.25" customHeight="1" thickBot="1" x14ac:dyDescent="0.3">
      <c r="A19" s="27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6"/>
    </row>
    <row r="20" spans="1:13" s="53" customFormat="1" ht="11.45" hidden="1" customHeight="1" x14ac:dyDescent="0.25">
      <c r="A20" s="10" t="s">
        <v>22</v>
      </c>
      <c r="B20" s="23">
        <v>55090100</v>
      </c>
      <c r="C20" s="82"/>
      <c r="D20" s="32">
        <v>0</v>
      </c>
      <c r="E20" s="32">
        <v>0</v>
      </c>
      <c r="F20" s="32">
        <v>0</v>
      </c>
      <c r="G20" s="32">
        <v>0</v>
      </c>
      <c r="H20" s="8">
        <f t="shared" ref="H20:H22" si="7">D20+F20</f>
        <v>0</v>
      </c>
      <c r="I20" s="8">
        <f t="shared" ref="I20:I22" si="8">E20+G20</f>
        <v>0</v>
      </c>
      <c r="J20" s="8">
        <f t="shared" ref="J20:J22" si="9">H20+I20</f>
        <v>0</v>
      </c>
      <c r="K20" s="8">
        <f>C20-J20</f>
        <v>0</v>
      </c>
      <c r="L20" s="8">
        <f t="shared" ref="L20:L22" si="10">C20-((J20/1)*26.0714285714285)</f>
        <v>0</v>
      </c>
      <c r="M20" s="68"/>
    </row>
    <row r="21" spans="1:13" s="53" customFormat="1" ht="11.45" customHeight="1" x14ac:dyDescent="0.25">
      <c r="A21" s="17" t="s">
        <v>21</v>
      </c>
      <c r="B21" s="21">
        <v>55160100</v>
      </c>
      <c r="C21" s="8">
        <v>13953</v>
      </c>
      <c r="D21" s="32">
        <v>0</v>
      </c>
      <c r="E21" s="32">
        <v>0</v>
      </c>
      <c r="F21" s="32">
        <v>0</v>
      </c>
      <c r="G21" s="32">
        <v>0</v>
      </c>
      <c r="H21" s="8">
        <f t="shared" si="7"/>
        <v>0</v>
      </c>
      <c r="I21" s="8">
        <f t="shared" si="8"/>
        <v>0</v>
      </c>
      <c r="J21" s="8">
        <f t="shared" si="9"/>
        <v>0</v>
      </c>
      <c r="K21" s="8">
        <f t="shared" ref="K21:K22" si="11">C21-J21</f>
        <v>13953</v>
      </c>
      <c r="L21" s="8">
        <f t="shared" si="10"/>
        <v>13953</v>
      </c>
      <c r="M21" s="67"/>
    </row>
    <row r="22" spans="1:13" s="53" customFormat="1" ht="11.45" customHeight="1" x14ac:dyDescent="0.25">
      <c r="A22" s="10" t="s">
        <v>20</v>
      </c>
      <c r="B22" s="23">
        <v>55100100</v>
      </c>
      <c r="C22" s="8">
        <v>2026</v>
      </c>
      <c r="D22" s="32">
        <v>0</v>
      </c>
      <c r="E22" s="32">
        <v>0</v>
      </c>
      <c r="F22" s="32">
        <v>0</v>
      </c>
      <c r="G22" s="32">
        <v>0</v>
      </c>
      <c r="H22" s="8">
        <f t="shared" si="7"/>
        <v>0</v>
      </c>
      <c r="I22" s="8">
        <f t="shared" si="8"/>
        <v>0</v>
      </c>
      <c r="J22" s="8">
        <f t="shared" si="9"/>
        <v>0</v>
      </c>
      <c r="K22" s="8">
        <f t="shared" si="11"/>
        <v>2026</v>
      </c>
      <c r="L22" s="8">
        <f t="shared" si="10"/>
        <v>2026</v>
      </c>
      <c r="M22" s="67"/>
    </row>
    <row r="23" spans="1:13" ht="21.6" customHeight="1" thickBot="1" x14ac:dyDescent="0.3">
      <c r="A23" s="114" t="s">
        <v>19</v>
      </c>
      <c r="B23" s="115"/>
      <c r="C23" s="7">
        <f t="shared" ref="C23:L23" si="12">SUM(C20:C22)</f>
        <v>15979</v>
      </c>
      <c r="D23" s="7">
        <f t="shared" si="12"/>
        <v>0</v>
      </c>
      <c r="E23" s="7">
        <f t="shared" si="12"/>
        <v>0</v>
      </c>
      <c r="F23" s="7">
        <f t="shared" si="12"/>
        <v>0</v>
      </c>
      <c r="G23" s="7">
        <f t="shared" si="12"/>
        <v>0</v>
      </c>
      <c r="H23" s="7">
        <f t="shared" si="12"/>
        <v>0</v>
      </c>
      <c r="I23" s="7">
        <f t="shared" si="12"/>
        <v>0</v>
      </c>
      <c r="J23" s="35">
        <f t="shared" si="12"/>
        <v>0</v>
      </c>
      <c r="K23" s="7">
        <f t="shared" si="12"/>
        <v>15979</v>
      </c>
      <c r="L23" s="7">
        <f t="shared" si="12"/>
        <v>15979</v>
      </c>
    </row>
    <row r="24" spans="1:13" ht="11.25" customHeight="1" x14ac:dyDescent="0.25">
      <c r="A24" s="30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37"/>
    </row>
    <row r="25" spans="1:13" ht="11.25" customHeight="1" thickBot="1" x14ac:dyDescent="0.3">
      <c r="A25" s="27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6"/>
    </row>
    <row r="26" spans="1:13" s="55" customFormat="1" ht="11.45" customHeight="1" x14ac:dyDescent="0.25">
      <c r="A26" s="10" t="s">
        <v>18</v>
      </c>
      <c r="B26" s="23">
        <v>55200000</v>
      </c>
      <c r="C26" s="8">
        <v>25000</v>
      </c>
      <c r="D26" s="9">
        <v>285</v>
      </c>
      <c r="E26" s="9">
        <v>3.42</v>
      </c>
      <c r="F26" s="9">
        <v>96</v>
      </c>
      <c r="G26" s="9">
        <v>7.2</v>
      </c>
      <c r="H26" s="8">
        <f t="shared" ref="H26:H27" si="13">D26+F26</f>
        <v>381</v>
      </c>
      <c r="I26" s="8">
        <f t="shared" ref="I26:I27" si="14">E26+G26</f>
        <v>10.620000000000001</v>
      </c>
      <c r="J26" s="8">
        <f t="shared" ref="J26:J27" si="15">H26+I26</f>
        <v>391.62</v>
      </c>
      <c r="K26" s="8">
        <f>C26-J26</f>
        <v>24608.38</v>
      </c>
      <c r="L26" s="8">
        <f t="shared" ref="L26:L27" si="16">C26-((J26/1)*26.0714285714285)</f>
        <v>14789.907142857171</v>
      </c>
      <c r="M26" s="70"/>
    </row>
    <row r="27" spans="1:13" s="55" customFormat="1" ht="10.9" hidden="1" customHeight="1" x14ac:dyDescent="0.25">
      <c r="A27" s="20" t="s">
        <v>17</v>
      </c>
      <c r="B27" s="34" t="s">
        <v>16</v>
      </c>
      <c r="C27" s="33">
        <v>0</v>
      </c>
      <c r="D27" s="32">
        <v>0</v>
      </c>
      <c r="E27" s="32">
        <v>0</v>
      </c>
      <c r="F27" s="32">
        <v>0</v>
      </c>
      <c r="G27" s="32">
        <v>0</v>
      </c>
      <c r="H27" s="8">
        <f t="shared" si="13"/>
        <v>0</v>
      </c>
      <c r="I27" s="8">
        <f t="shared" si="14"/>
        <v>0</v>
      </c>
      <c r="J27" s="8">
        <f t="shared" si="15"/>
        <v>0</v>
      </c>
      <c r="K27" s="8">
        <f t="shared" ref="K27" si="17">C27-J27</f>
        <v>0</v>
      </c>
      <c r="L27" s="8">
        <f t="shared" si="16"/>
        <v>0</v>
      </c>
      <c r="M27" s="69"/>
    </row>
    <row r="28" spans="1:13" ht="24.75" customHeight="1" thickBot="1" x14ac:dyDescent="0.3">
      <c r="A28" s="116" t="s">
        <v>15</v>
      </c>
      <c r="B28" s="117"/>
      <c r="C28" s="31">
        <f t="shared" ref="C28:L28" si="18">SUM(C26:C27)</f>
        <v>25000</v>
      </c>
      <c r="D28" s="31">
        <f t="shared" si="18"/>
        <v>285</v>
      </c>
      <c r="E28" s="31">
        <f t="shared" si="18"/>
        <v>3.42</v>
      </c>
      <c r="F28" s="31">
        <f t="shared" si="18"/>
        <v>96</v>
      </c>
      <c r="G28" s="31">
        <f t="shared" si="18"/>
        <v>7.2</v>
      </c>
      <c r="H28" s="31">
        <f t="shared" si="18"/>
        <v>381</v>
      </c>
      <c r="I28" s="31">
        <f t="shared" si="18"/>
        <v>10.620000000000001</v>
      </c>
      <c r="J28" s="31">
        <f t="shared" si="18"/>
        <v>391.62</v>
      </c>
      <c r="K28" s="31">
        <f t="shared" si="18"/>
        <v>24608.38</v>
      </c>
      <c r="L28" s="31">
        <f t="shared" si="18"/>
        <v>14789.907142857171</v>
      </c>
    </row>
    <row r="29" spans="1:13" ht="11.25" customHeight="1" x14ac:dyDescent="0.25">
      <c r="A29" s="30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3" ht="11.25" customHeight="1" thickBot="1" x14ac:dyDescent="0.3">
      <c r="A30" s="27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3" ht="21.6" customHeight="1" x14ac:dyDescent="0.25">
      <c r="A31" s="118" t="s">
        <v>14</v>
      </c>
      <c r="B31" s="118"/>
      <c r="C31" s="24">
        <f t="shared" ref="C31:L31" si="19">C17+C23+C28</f>
        <v>259851</v>
      </c>
      <c r="D31" s="24">
        <f t="shared" si="19"/>
        <v>3467.4800000000005</v>
      </c>
      <c r="E31" s="24">
        <f t="shared" si="19"/>
        <v>41.540000000000006</v>
      </c>
      <c r="F31" s="24">
        <f t="shared" si="19"/>
        <v>2203.08</v>
      </c>
      <c r="G31" s="24">
        <f t="shared" si="19"/>
        <v>165.2</v>
      </c>
      <c r="H31" s="24">
        <f t="shared" si="19"/>
        <v>5670.5599999999995</v>
      </c>
      <c r="I31" s="24">
        <f t="shared" si="19"/>
        <v>206.74</v>
      </c>
      <c r="J31" s="24">
        <f t="shared" si="19"/>
        <v>5877.3</v>
      </c>
      <c r="K31" s="24">
        <f t="shared" si="19"/>
        <v>264773.7</v>
      </c>
      <c r="L31" s="24">
        <f t="shared" si="19"/>
        <v>117421.39285714329</v>
      </c>
    </row>
    <row r="32" spans="1:13" ht="10.9" customHeight="1" x14ac:dyDescent="0.25">
      <c r="A32" s="13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3" ht="11.25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s="59" customFormat="1" ht="11.25" customHeight="1" x14ac:dyDescent="0.25">
      <c r="A34" s="86" t="s">
        <v>65</v>
      </c>
      <c r="B34" s="77" t="s">
        <v>44</v>
      </c>
      <c r="C34" s="82"/>
      <c r="D34" s="9">
        <v>120</v>
      </c>
      <c r="E34" s="9">
        <f>120*0.012</f>
        <v>1.44</v>
      </c>
      <c r="F34" s="9">
        <v>102.6</v>
      </c>
      <c r="G34" s="9">
        <v>7.69</v>
      </c>
      <c r="H34" s="8">
        <f t="shared" ref="H34:H53" si="20">D34+F34</f>
        <v>222.6</v>
      </c>
      <c r="I34" s="8">
        <f t="shared" ref="I34:I53" si="21">E34+G34</f>
        <v>9.1300000000000008</v>
      </c>
      <c r="J34" s="8">
        <f>H34+I34</f>
        <v>231.73</v>
      </c>
      <c r="K34" s="85">
        <f>C34-J34</f>
        <v>-231.73</v>
      </c>
      <c r="L34" s="8">
        <f t="shared" ref="L34:L53" si="22">C34-((J34/1)*26.0714285714285)</f>
        <v>-6041.532142857126</v>
      </c>
      <c r="M34" s="76"/>
    </row>
    <row r="35" spans="1:13" s="59" customFormat="1" ht="11.25" hidden="1" customHeight="1" x14ac:dyDescent="0.25">
      <c r="A35" s="22" t="s">
        <v>13</v>
      </c>
      <c r="B35" s="19" t="s">
        <v>12</v>
      </c>
      <c r="C35" s="83"/>
      <c r="D35" s="9"/>
      <c r="E35" s="9"/>
      <c r="F35" s="9"/>
      <c r="G35" s="9"/>
      <c r="H35" s="8">
        <f t="shared" si="20"/>
        <v>0</v>
      </c>
      <c r="I35" s="8">
        <f t="shared" si="21"/>
        <v>0</v>
      </c>
      <c r="J35" s="8">
        <f t="shared" ref="J35:J52" si="23">H35+I35</f>
        <v>0</v>
      </c>
      <c r="K35" s="8">
        <f t="shared" ref="K35:K48" si="24">C35-J35</f>
        <v>0</v>
      </c>
      <c r="L35" s="8">
        <f t="shared" si="22"/>
        <v>0</v>
      </c>
      <c r="M35" s="71"/>
    </row>
    <row r="36" spans="1:13" s="60" customFormat="1" ht="11.25" hidden="1" customHeight="1" x14ac:dyDescent="0.25">
      <c r="A36" s="20" t="s">
        <v>11</v>
      </c>
      <c r="B36" s="21" t="s">
        <v>10</v>
      </c>
      <c r="C36" s="8">
        <v>0</v>
      </c>
      <c r="D36" s="32">
        <v>0</v>
      </c>
      <c r="E36" s="32">
        <v>0</v>
      </c>
      <c r="F36" s="32">
        <v>0</v>
      </c>
      <c r="G36" s="32">
        <v>0</v>
      </c>
      <c r="H36" s="8">
        <f t="shared" si="20"/>
        <v>0</v>
      </c>
      <c r="I36" s="8">
        <f t="shared" si="21"/>
        <v>0</v>
      </c>
      <c r="J36" s="8">
        <f t="shared" si="23"/>
        <v>0</v>
      </c>
      <c r="K36" s="8">
        <f t="shared" si="24"/>
        <v>0</v>
      </c>
      <c r="L36" s="8">
        <f t="shared" si="22"/>
        <v>0</v>
      </c>
      <c r="M36" s="72"/>
    </row>
    <row r="37" spans="1:13" s="60" customFormat="1" ht="11.25" customHeight="1" x14ac:dyDescent="0.25">
      <c r="A37" s="86" t="s">
        <v>71</v>
      </c>
      <c r="B37" s="77" t="s">
        <v>9</v>
      </c>
      <c r="C37" s="82"/>
      <c r="D37" s="8">
        <v>7.71</v>
      </c>
      <c r="E37" s="8">
        <f>7.71*0.012</f>
        <v>9.2520000000000005E-2</v>
      </c>
      <c r="F37" s="8">
        <v>0</v>
      </c>
      <c r="G37" s="8">
        <v>0</v>
      </c>
      <c r="H37" s="8">
        <f t="shared" si="20"/>
        <v>7.71</v>
      </c>
      <c r="I37" s="8">
        <f t="shared" si="21"/>
        <v>9.2520000000000005E-2</v>
      </c>
      <c r="J37" s="9">
        <f t="shared" si="23"/>
        <v>7.8025200000000003</v>
      </c>
      <c r="K37" s="85">
        <f t="shared" si="24"/>
        <v>-7.8025200000000003</v>
      </c>
      <c r="L37" s="8">
        <f t="shared" si="22"/>
        <v>-203.42284285714229</v>
      </c>
      <c r="M37" s="68"/>
    </row>
    <row r="38" spans="1:13" s="60" customFormat="1" ht="11.25" hidden="1" customHeight="1" x14ac:dyDescent="0.25">
      <c r="A38" s="18" t="s">
        <v>62</v>
      </c>
      <c r="B38" s="61" t="s">
        <v>54</v>
      </c>
      <c r="C38" s="8">
        <v>356.53</v>
      </c>
      <c r="D38" s="32">
        <v>0</v>
      </c>
      <c r="E38" s="32">
        <v>0</v>
      </c>
      <c r="F38" s="32">
        <v>0</v>
      </c>
      <c r="G38" s="32">
        <v>0</v>
      </c>
      <c r="H38" s="8">
        <f t="shared" ref="H38:H41" si="25">D38+F38</f>
        <v>0</v>
      </c>
      <c r="I38" s="8">
        <f t="shared" ref="I38:I41" si="26">E38+G38</f>
        <v>0</v>
      </c>
      <c r="J38" s="9">
        <f t="shared" ref="J38:J41" si="27">H38+I38</f>
        <v>0</v>
      </c>
      <c r="K38" s="85">
        <f t="shared" ref="K38:K41" si="28">C38-J38</f>
        <v>356.53</v>
      </c>
      <c r="L38" s="8">
        <f t="shared" ref="L38:L41" si="29">C38-((J38/1)*26.0714285714285)</f>
        <v>356.53</v>
      </c>
      <c r="M38" s="75"/>
    </row>
    <row r="39" spans="1:13" s="60" customFormat="1" ht="11.45" hidden="1" customHeight="1" x14ac:dyDescent="0.25">
      <c r="A39" s="18" t="s">
        <v>58</v>
      </c>
      <c r="B39" s="61" t="s">
        <v>57</v>
      </c>
      <c r="C39" s="8">
        <v>554.22</v>
      </c>
      <c r="D39" s="32">
        <v>0</v>
      </c>
      <c r="E39" s="32">
        <v>0</v>
      </c>
      <c r="F39" s="32">
        <v>0</v>
      </c>
      <c r="G39" s="32">
        <v>0</v>
      </c>
      <c r="H39" s="8">
        <f t="shared" si="25"/>
        <v>0</v>
      </c>
      <c r="I39" s="8">
        <f t="shared" si="26"/>
        <v>0</v>
      </c>
      <c r="J39" s="9">
        <f t="shared" si="27"/>
        <v>0</v>
      </c>
      <c r="K39" s="85">
        <f t="shared" si="28"/>
        <v>554.22</v>
      </c>
      <c r="L39" s="8">
        <f t="shared" si="29"/>
        <v>554.22</v>
      </c>
      <c r="M39" s="72"/>
    </row>
    <row r="40" spans="1:13" s="54" customFormat="1" ht="11.45" customHeight="1" x14ac:dyDescent="0.2">
      <c r="A40" s="18" t="s">
        <v>48</v>
      </c>
      <c r="B40" s="61" t="s">
        <v>49</v>
      </c>
      <c r="C40" s="8">
        <v>6710</v>
      </c>
      <c r="D40" s="33">
        <v>0</v>
      </c>
      <c r="E40" s="33">
        <v>0</v>
      </c>
      <c r="F40" s="33">
        <v>0</v>
      </c>
      <c r="G40" s="33">
        <v>0</v>
      </c>
      <c r="H40" s="8">
        <f t="shared" si="25"/>
        <v>0</v>
      </c>
      <c r="I40" s="8">
        <f t="shared" si="26"/>
        <v>0</v>
      </c>
      <c r="J40" s="9">
        <f t="shared" si="27"/>
        <v>0</v>
      </c>
      <c r="K40" s="85">
        <f t="shared" si="28"/>
        <v>6710</v>
      </c>
      <c r="L40" s="8">
        <f t="shared" si="29"/>
        <v>6710</v>
      </c>
      <c r="M40" s="88"/>
    </row>
    <row r="41" spans="1:13" s="54" customFormat="1" ht="11.45" customHeight="1" x14ac:dyDescent="0.2">
      <c r="A41" s="18" t="s">
        <v>81</v>
      </c>
      <c r="B41" s="21" t="s">
        <v>82</v>
      </c>
      <c r="C41" s="8">
        <v>2880</v>
      </c>
      <c r="D41" s="33">
        <v>424.08</v>
      </c>
      <c r="E41" s="33">
        <v>5.09</v>
      </c>
      <c r="F41" s="33">
        <v>0</v>
      </c>
      <c r="G41" s="33">
        <v>0</v>
      </c>
      <c r="H41" s="8">
        <f t="shared" si="25"/>
        <v>424.08</v>
      </c>
      <c r="I41" s="8">
        <f t="shared" si="26"/>
        <v>5.09</v>
      </c>
      <c r="J41" s="9">
        <f t="shared" si="27"/>
        <v>429.16999999999996</v>
      </c>
      <c r="K41" s="92">
        <f t="shared" si="28"/>
        <v>2450.83</v>
      </c>
      <c r="L41" s="8">
        <f t="shared" si="29"/>
        <v>-8309.074999999968</v>
      </c>
      <c r="M41" s="88"/>
    </row>
    <row r="42" spans="1:13" s="54" customFormat="1" ht="11.45" customHeight="1" x14ac:dyDescent="0.2">
      <c r="A42" s="18" t="s">
        <v>89</v>
      </c>
      <c r="B42" s="21">
        <v>55110100</v>
      </c>
      <c r="C42" s="8">
        <v>1332</v>
      </c>
      <c r="D42" s="33">
        <v>0</v>
      </c>
      <c r="E42" s="33">
        <v>0</v>
      </c>
      <c r="F42" s="33">
        <v>0</v>
      </c>
      <c r="G42" s="33">
        <v>0</v>
      </c>
      <c r="H42" s="8">
        <f t="shared" ref="H42" si="30">D42+F42</f>
        <v>0</v>
      </c>
      <c r="I42" s="8">
        <f t="shared" ref="I42" si="31">E42+G42</f>
        <v>0</v>
      </c>
      <c r="J42" s="9">
        <f t="shared" ref="J42" si="32">H42+I42</f>
        <v>0</v>
      </c>
      <c r="K42" s="92">
        <f t="shared" ref="K42" si="33">C42-J42</f>
        <v>1332</v>
      </c>
      <c r="L42" s="8">
        <f t="shared" ref="L42" si="34">C42-((J42/1)*26.0714285714285)</f>
        <v>1332</v>
      </c>
      <c r="M42" s="88"/>
    </row>
    <row r="43" spans="1:13" s="54" customFormat="1" ht="11.45" customHeight="1" x14ac:dyDescent="0.25">
      <c r="A43" s="18" t="s">
        <v>91</v>
      </c>
      <c r="B43" s="61" t="s">
        <v>47</v>
      </c>
      <c r="C43" s="8">
        <v>1734.35</v>
      </c>
      <c r="D43" s="62">
        <v>12</v>
      </c>
      <c r="E43" s="62">
        <v>0.14000000000000001</v>
      </c>
      <c r="F43" s="62">
        <v>0</v>
      </c>
      <c r="G43" s="62">
        <v>0</v>
      </c>
      <c r="H43" s="8">
        <f t="shared" si="20"/>
        <v>12</v>
      </c>
      <c r="I43" s="8">
        <f t="shared" si="21"/>
        <v>0.14000000000000001</v>
      </c>
      <c r="J43" s="8">
        <f t="shared" si="23"/>
        <v>12.14</v>
      </c>
      <c r="K43" s="8">
        <f>C43-J43</f>
        <v>1722.2099999999998</v>
      </c>
      <c r="L43" s="8">
        <f t="shared" si="22"/>
        <v>1417.8428571428581</v>
      </c>
      <c r="M43" s="68"/>
    </row>
    <row r="44" spans="1:13" s="54" customFormat="1" ht="11.45" hidden="1" customHeight="1" x14ac:dyDescent="0.25">
      <c r="A44" s="18" t="s">
        <v>55</v>
      </c>
      <c r="B44" s="61" t="s">
        <v>56</v>
      </c>
      <c r="C44" s="8">
        <v>1481.58</v>
      </c>
      <c r="D44" s="33">
        <v>0</v>
      </c>
      <c r="E44" s="33">
        <v>0</v>
      </c>
      <c r="F44" s="33">
        <v>0</v>
      </c>
      <c r="G44" s="33">
        <v>0</v>
      </c>
      <c r="H44" s="8">
        <f t="shared" si="20"/>
        <v>0</v>
      </c>
      <c r="I44" s="8">
        <f t="shared" si="21"/>
        <v>0</v>
      </c>
      <c r="J44" s="8">
        <f t="shared" si="23"/>
        <v>0</v>
      </c>
      <c r="K44" s="8">
        <f t="shared" ref="K44" si="35">C44-J44</f>
        <v>1481.58</v>
      </c>
      <c r="L44" s="8">
        <f t="shared" si="22"/>
        <v>1481.58</v>
      </c>
      <c r="M44" s="68"/>
    </row>
    <row r="45" spans="1:13" s="54" customFormat="1" ht="11.45" customHeight="1" x14ac:dyDescent="0.2">
      <c r="A45" s="18" t="s">
        <v>6</v>
      </c>
      <c r="B45" s="61" t="s">
        <v>5</v>
      </c>
      <c r="C45" s="8">
        <v>4270.8500000000004</v>
      </c>
      <c r="D45" s="33">
        <v>0</v>
      </c>
      <c r="E45" s="33">
        <v>0</v>
      </c>
      <c r="F45" s="33">
        <v>282.5</v>
      </c>
      <c r="G45" s="33">
        <v>21.18</v>
      </c>
      <c r="H45" s="8">
        <f t="shared" si="20"/>
        <v>282.5</v>
      </c>
      <c r="I45" s="8">
        <f t="shared" si="21"/>
        <v>21.18</v>
      </c>
      <c r="J45" s="8">
        <f t="shared" si="23"/>
        <v>303.68</v>
      </c>
      <c r="K45" s="8">
        <f>C45-J45</f>
        <v>3967.1700000000005</v>
      </c>
      <c r="L45" s="8">
        <f t="shared" si="22"/>
        <v>-3646.5214285714064</v>
      </c>
      <c r="M45" s="88"/>
    </row>
    <row r="46" spans="1:13" s="54" customFormat="1" ht="11.45" hidden="1" customHeight="1" x14ac:dyDescent="0.25">
      <c r="A46" s="18" t="s">
        <v>8</v>
      </c>
      <c r="B46" s="61" t="s">
        <v>7</v>
      </c>
      <c r="C46" s="8">
        <v>0</v>
      </c>
      <c r="D46" s="33">
        <v>0</v>
      </c>
      <c r="E46" s="33">
        <v>0</v>
      </c>
      <c r="F46" s="33">
        <v>0</v>
      </c>
      <c r="G46" s="33">
        <v>0</v>
      </c>
      <c r="H46" s="8">
        <f t="shared" si="20"/>
        <v>0</v>
      </c>
      <c r="I46" s="8">
        <f t="shared" si="21"/>
        <v>0</v>
      </c>
      <c r="J46" s="8">
        <f t="shared" si="23"/>
        <v>0</v>
      </c>
      <c r="K46" s="8">
        <f t="shared" si="24"/>
        <v>0</v>
      </c>
      <c r="L46" s="8">
        <f t="shared" si="22"/>
        <v>0</v>
      </c>
      <c r="M46" s="68"/>
    </row>
    <row r="47" spans="1:13" s="54" customFormat="1" ht="11.45" hidden="1" customHeight="1" x14ac:dyDescent="0.25">
      <c r="A47" s="18" t="s">
        <v>50</v>
      </c>
      <c r="B47" s="61" t="s">
        <v>53</v>
      </c>
      <c r="C47" s="8">
        <v>202.01</v>
      </c>
      <c r="D47" s="33">
        <v>0</v>
      </c>
      <c r="E47" s="33">
        <v>0</v>
      </c>
      <c r="F47" s="33">
        <v>0</v>
      </c>
      <c r="G47" s="33">
        <v>0</v>
      </c>
      <c r="H47" s="8">
        <f t="shared" si="20"/>
        <v>0</v>
      </c>
      <c r="I47" s="8">
        <f t="shared" si="21"/>
        <v>0</v>
      </c>
      <c r="J47" s="8">
        <f t="shared" si="23"/>
        <v>0</v>
      </c>
      <c r="K47" s="8">
        <f t="shared" si="24"/>
        <v>202.01</v>
      </c>
      <c r="L47" s="8">
        <f t="shared" si="22"/>
        <v>202.01</v>
      </c>
      <c r="M47" s="68"/>
    </row>
    <row r="48" spans="1:13" s="54" customFormat="1" ht="11.45" hidden="1" customHeight="1" x14ac:dyDescent="0.25">
      <c r="A48" s="18" t="s">
        <v>51</v>
      </c>
      <c r="B48" s="61" t="s">
        <v>52</v>
      </c>
      <c r="C48" s="8"/>
      <c r="D48" s="33"/>
      <c r="E48" s="33"/>
      <c r="F48" s="33"/>
      <c r="G48" s="33"/>
      <c r="H48" s="8">
        <f t="shared" si="20"/>
        <v>0</v>
      </c>
      <c r="I48" s="8">
        <f t="shared" si="21"/>
        <v>0</v>
      </c>
      <c r="J48" s="8">
        <f t="shared" si="23"/>
        <v>0</v>
      </c>
      <c r="K48" s="8">
        <f t="shared" si="24"/>
        <v>0</v>
      </c>
      <c r="L48" s="8">
        <f t="shared" si="22"/>
        <v>0</v>
      </c>
      <c r="M48" s="68"/>
    </row>
    <row r="49" spans="1:13" s="63" customFormat="1" ht="11.25" hidden="1" customHeight="1" x14ac:dyDescent="0.25">
      <c r="A49" s="18" t="s">
        <v>45</v>
      </c>
      <c r="B49" s="61" t="s">
        <v>46</v>
      </c>
      <c r="C49" s="62">
        <v>3655.06</v>
      </c>
      <c r="D49" s="33">
        <v>0</v>
      </c>
      <c r="E49" s="33">
        <v>0</v>
      </c>
      <c r="F49" s="33">
        <v>0</v>
      </c>
      <c r="G49" s="33">
        <v>0</v>
      </c>
      <c r="H49" s="8">
        <f t="shared" si="20"/>
        <v>0</v>
      </c>
      <c r="I49" s="8">
        <f t="shared" si="21"/>
        <v>0</v>
      </c>
      <c r="J49" s="8">
        <f t="shared" si="23"/>
        <v>0</v>
      </c>
      <c r="K49" s="8">
        <f>C49-J49</f>
        <v>3655.06</v>
      </c>
      <c r="L49" s="8">
        <f t="shared" si="22"/>
        <v>3655.06</v>
      </c>
      <c r="M49" s="67"/>
    </row>
    <row r="50" spans="1:13" s="63" customFormat="1" ht="11.25" hidden="1" customHeight="1" x14ac:dyDescent="0.25">
      <c r="A50" s="18" t="s">
        <v>61</v>
      </c>
      <c r="B50" s="61" t="s">
        <v>60</v>
      </c>
      <c r="C50" s="62">
        <v>0</v>
      </c>
      <c r="D50" s="33">
        <v>0</v>
      </c>
      <c r="E50" s="33">
        <v>0</v>
      </c>
      <c r="F50" s="33">
        <v>0</v>
      </c>
      <c r="G50" s="33">
        <v>0</v>
      </c>
      <c r="H50" s="8">
        <f t="shared" si="20"/>
        <v>0</v>
      </c>
      <c r="I50" s="8">
        <f t="shared" si="21"/>
        <v>0</v>
      </c>
      <c r="J50" s="8">
        <f t="shared" si="23"/>
        <v>0</v>
      </c>
      <c r="K50" s="8">
        <f>C50-J50</f>
        <v>0</v>
      </c>
      <c r="L50" s="8">
        <f t="shared" si="22"/>
        <v>0</v>
      </c>
      <c r="M50" s="68"/>
    </row>
    <row r="51" spans="1:13" s="63" customFormat="1" ht="11.25" hidden="1" customHeight="1" x14ac:dyDescent="0.25">
      <c r="A51" s="18" t="s">
        <v>67</v>
      </c>
      <c r="B51" s="61" t="s">
        <v>66</v>
      </c>
      <c r="C51" s="62">
        <v>3313.36</v>
      </c>
      <c r="D51" s="62">
        <v>0</v>
      </c>
      <c r="E51" s="62">
        <v>0</v>
      </c>
      <c r="F51" s="62">
        <v>0</v>
      </c>
      <c r="G51" s="62">
        <v>0</v>
      </c>
      <c r="H51" s="8">
        <f t="shared" si="20"/>
        <v>0</v>
      </c>
      <c r="I51" s="8">
        <f t="shared" si="21"/>
        <v>0</v>
      </c>
      <c r="J51" s="8">
        <f t="shared" si="23"/>
        <v>0</v>
      </c>
      <c r="K51" s="8">
        <f>C51-J51</f>
        <v>3313.36</v>
      </c>
      <c r="L51" s="8">
        <f t="shared" si="22"/>
        <v>3313.36</v>
      </c>
      <c r="M51" s="87"/>
    </row>
    <row r="52" spans="1:13" s="63" customFormat="1" ht="11.25" customHeight="1" x14ac:dyDescent="0.25">
      <c r="A52" s="18" t="s">
        <v>68</v>
      </c>
      <c r="B52" s="61" t="s">
        <v>69</v>
      </c>
      <c r="C52" s="62">
        <v>4193.1400000000003</v>
      </c>
      <c r="D52" s="62">
        <v>2.4</v>
      </c>
      <c r="E52" s="62">
        <v>0.02</v>
      </c>
      <c r="F52" s="62">
        <v>0</v>
      </c>
      <c r="G52" s="62">
        <v>0</v>
      </c>
      <c r="H52" s="8">
        <f t="shared" si="20"/>
        <v>2.4</v>
      </c>
      <c r="I52" s="8">
        <f t="shared" si="21"/>
        <v>0.02</v>
      </c>
      <c r="J52" s="8">
        <f t="shared" si="23"/>
        <v>2.42</v>
      </c>
      <c r="K52" s="8">
        <f>C52-J52</f>
        <v>4190.72</v>
      </c>
      <c r="L52" s="8">
        <f t="shared" si="22"/>
        <v>4130.0471428571436</v>
      </c>
      <c r="M52" s="68"/>
    </row>
    <row r="53" spans="1:13" s="63" customFormat="1" ht="11.25" customHeight="1" x14ac:dyDescent="0.2">
      <c r="A53" s="18" t="s">
        <v>73</v>
      </c>
      <c r="B53" s="61" t="s">
        <v>72</v>
      </c>
      <c r="C53" s="62">
        <v>4193.1400000000003</v>
      </c>
      <c r="D53" s="62">
        <v>234</v>
      </c>
      <c r="E53" s="62">
        <v>2.8</v>
      </c>
      <c r="F53" s="62">
        <v>210</v>
      </c>
      <c r="G53" s="62">
        <v>15.75</v>
      </c>
      <c r="H53" s="8">
        <f t="shared" si="20"/>
        <v>444</v>
      </c>
      <c r="I53" s="8">
        <f t="shared" si="21"/>
        <v>18.55</v>
      </c>
      <c r="J53" s="8">
        <f t="shared" ref="J53" si="36">H53+I53</f>
        <v>462.55</v>
      </c>
      <c r="K53" s="8">
        <f>C53-J53</f>
        <v>3730.59</v>
      </c>
      <c r="L53" s="8">
        <f t="shared" si="22"/>
        <v>-7866.1992857142513</v>
      </c>
      <c r="M53" s="88"/>
    </row>
    <row r="54" spans="1:13" ht="21.6" customHeight="1" x14ac:dyDescent="0.25">
      <c r="A54" s="119" t="s">
        <v>88</v>
      </c>
      <c r="B54" s="120"/>
      <c r="C54" s="7">
        <f>SUM(C34:C49)</f>
        <v>23176.6</v>
      </c>
      <c r="D54" s="7"/>
      <c r="E54" s="7"/>
      <c r="F54" s="7"/>
      <c r="G54" s="7"/>
      <c r="H54" s="7">
        <f>SUM(H34:H50)</f>
        <v>948.89</v>
      </c>
      <c r="I54" s="7">
        <f>SUM(I34:I50)</f>
        <v>35.63252</v>
      </c>
      <c r="J54" s="7">
        <f>SUM(J34:J50)</f>
        <v>984.52251999999999</v>
      </c>
      <c r="K54" s="7">
        <f>SUM(K34:K50)</f>
        <v>22192.07748</v>
      </c>
      <c r="L54" s="7">
        <f>SUM(L34:L50)</f>
        <v>-2491.308557142785</v>
      </c>
      <c r="M54" s="78"/>
    </row>
    <row r="55" spans="1:13" ht="10.9" customHeight="1" x14ac:dyDescent="0.25">
      <c r="A55" s="13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78"/>
    </row>
    <row r="56" spans="1:13" ht="10.9" customHeight="1" x14ac:dyDescent="0.25">
      <c r="A56" s="13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3" s="53" customFormat="1" ht="10.9" customHeight="1" x14ac:dyDescent="0.25">
      <c r="A57" s="17" t="s">
        <v>4</v>
      </c>
      <c r="B57" s="21" t="s">
        <v>3</v>
      </c>
      <c r="C57" s="8">
        <v>62583</v>
      </c>
      <c r="D57" s="9">
        <v>415.81</v>
      </c>
      <c r="E57" s="9">
        <v>4.9800000000000004</v>
      </c>
      <c r="F57" s="9">
        <v>213.75</v>
      </c>
      <c r="G57" s="9">
        <v>16.03</v>
      </c>
      <c r="H57" s="8">
        <f t="shared" ref="H57:H58" si="37">D57+F57</f>
        <v>629.55999999999995</v>
      </c>
      <c r="I57" s="8">
        <f t="shared" ref="I57:I58" si="38">E57+G57</f>
        <v>21.01</v>
      </c>
      <c r="J57" s="8">
        <f t="shared" ref="J57:J58" si="39">H57+I57</f>
        <v>650.56999999999994</v>
      </c>
      <c r="K57" s="8">
        <f>C57-J57</f>
        <v>61932.43</v>
      </c>
      <c r="L57" s="8">
        <f t="shared" ref="L57:L58" si="40">C57-((J57/1)*26.0714285714285)</f>
        <v>45621.710714285764</v>
      </c>
      <c r="M57" s="67"/>
    </row>
    <row r="58" spans="1:13" s="53" customFormat="1" ht="10.9" hidden="1" customHeight="1" x14ac:dyDescent="0.25">
      <c r="A58" s="17" t="s">
        <v>64</v>
      </c>
      <c r="B58" s="21" t="s">
        <v>63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 t="shared" si="37"/>
        <v>0</v>
      </c>
      <c r="I58" s="8">
        <f t="shared" si="38"/>
        <v>0</v>
      </c>
      <c r="J58" s="8">
        <f t="shared" si="39"/>
        <v>0</v>
      </c>
      <c r="K58" s="8">
        <f>C58-J58</f>
        <v>0</v>
      </c>
      <c r="L58" s="8">
        <f t="shared" si="40"/>
        <v>0</v>
      </c>
      <c r="M58" s="67"/>
    </row>
    <row r="59" spans="1:13" ht="21.6" customHeight="1" x14ac:dyDescent="0.25">
      <c r="A59" s="16" t="s">
        <v>2</v>
      </c>
      <c r="B59" s="15"/>
      <c r="C59" s="14">
        <f>C57+C58</f>
        <v>62583</v>
      </c>
      <c r="D59" s="14">
        <f t="shared" ref="D59:L59" si="41">D57+D58</f>
        <v>415.81</v>
      </c>
      <c r="E59" s="14">
        <f t="shared" si="41"/>
        <v>4.9800000000000004</v>
      </c>
      <c r="F59" s="14">
        <f t="shared" si="41"/>
        <v>213.75</v>
      </c>
      <c r="G59" s="14">
        <f t="shared" si="41"/>
        <v>16.03</v>
      </c>
      <c r="H59" s="14">
        <f t="shared" si="41"/>
        <v>629.55999999999995</v>
      </c>
      <c r="I59" s="14">
        <f t="shared" si="41"/>
        <v>21.01</v>
      </c>
      <c r="J59" s="14">
        <f t="shared" si="41"/>
        <v>650.56999999999994</v>
      </c>
      <c r="K59" s="14">
        <f t="shared" si="41"/>
        <v>61932.43</v>
      </c>
      <c r="L59" s="14">
        <f t="shared" si="41"/>
        <v>45621.710714285764</v>
      </c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1</v>
      </c>
      <c r="B62" s="21">
        <v>55180000</v>
      </c>
      <c r="C62" s="8">
        <v>37736</v>
      </c>
      <c r="D62" s="9">
        <v>0</v>
      </c>
      <c r="E62" s="9">
        <v>0</v>
      </c>
      <c r="F62" s="9">
        <v>263.16000000000003</v>
      </c>
      <c r="G62" s="9">
        <v>19.73</v>
      </c>
      <c r="H62" s="8">
        <f t="shared" ref="H62:I62" si="42">D62+F62</f>
        <v>263.16000000000003</v>
      </c>
      <c r="I62" s="8">
        <f t="shared" si="42"/>
        <v>19.73</v>
      </c>
      <c r="J62" s="8">
        <f t="shared" ref="J62" si="43">H62+I62</f>
        <v>282.89000000000004</v>
      </c>
      <c r="K62" s="8">
        <f>C62-J62</f>
        <v>37453.11</v>
      </c>
      <c r="L62" s="8">
        <f>C62-((J62/1)*26.0714285714285)</f>
        <v>30360.653571428593</v>
      </c>
      <c r="M62" s="67"/>
    </row>
    <row r="63" spans="1:13" s="3" customFormat="1" ht="21.6" customHeight="1" x14ac:dyDescent="0.25">
      <c r="A63" s="119" t="s">
        <v>0</v>
      </c>
      <c r="B63" s="120"/>
      <c r="C63" s="7">
        <f t="shared" ref="C63:L63" si="44">SUM(C62)</f>
        <v>37736</v>
      </c>
      <c r="D63" s="7">
        <f t="shared" si="44"/>
        <v>0</v>
      </c>
      <c r="E63" s="7">
        <f t="shared" si="44"/>
        <v>0</v>
      </c>
      <c r="F63" s="7">
        <f t="shared" si="44"/>
        <v>263.16000000000003</v>
      </c>
      <c r="G63" s="7">
        <f t="shared" si="44"/>
        <v>19.73</v>
      </c>
      <c r="H63" s="7">
        <f t="shared" si="44"/>
        <v>263.16000000000003</v>
      </c>
      <c r="I63" s="7">
        <f t="shared" si="44"/>
        <v>19.73</v>
      </c>
      <c r="J63" s="7">
        <f t="shared" si="44"/>
        <v>282.89000000000004</v>
      </c>
      <c r="K63" s="7">
        <f t="shared" si="44"/>
        <v>37453.11</v>
      </c>
      <c r="L63" s="7">
        <f t="shared" si="44"/>
        <v>30360.653571428593</v>
      </c>
      <c r="M63" s="73"/>
    </row>
    <row r="64" spans="1:13" s="3" customFormat="1" ht="11.25" customHeight="1" x14ac:dyDescent="0.25">
      <c r="A64" s="6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73"/>
    </row>
    <row r="65" spans="1:19" s="2" customFormat="1" ht="10.5" customHeight="1" x14ac:dyDescent="0.25">
      <c r="A65" s="122" t="s">
        <v>83</v>
      </c>
      <c r="B65" s="122"/>
      <c r="C65" s="122"/>
      <c r="D65" s="122"/>
      <c r="E65" s="122"/>
      <c r="F65" s="122"/>
      <c r="G65" s="89">
        <v>5955</v>
      </c>
      <c r="M65" s="121"/>
      <c r="N65" s="121"/>
      <c r="O65" s="121"/>
      <c r="P65" s="121"/>
      <c r="Q65" s="121"/>
      <c r="R65" s="121"/>
      <c r="S65" s="89"/>
    </row>
    <row r="66" spans="1:19" s="2" customFormat="1" ht="10.5" customHeight="1" x14ac:dyDescent="0.25">
      <c r="A66" s="122" t="s">
        <v>90</v>
      </c>
      <c r="B66" s="122"/>
      <c r="C66" s="122"/>
      <c r="D66" s="122"/>
      <c r="E66" s="122"/>
      <c r="F66" s="122"/>
      <c r="G66" s="89">
        <v>1332</v>
      </c>
      <c r="M66" s="121"/>
      <c r="N66" s="121"/>
      <c r="O66" s="121"/>
      <c r="P66" s="121"/>
      <c r="Q66" s="121"/>
      <c r="R66" s="121"/>
      <c r="S66" s="89"/>
    </row>
    <row r="67" spans="1:19" s="2" customFormat="1" ht="10.5" customHeight="1" x14ac:dyDescent="0.25">
      <c r="A67" s="122" t="s">
        <v>86</v>
      </c>
      <c r="B67" s="122"/>
      <c r="C67" s="122"/>
      <c r="D67" s="122"/>
      <c r="E67" s="122"/>
      <c r="F67" s="122"/>
      <c r="G67" s="89">
        <v>6941</v>
      </c>
      <c r="M67" s="121"/>
      <c r="N67" s="121"/>
      <c r="O67" s="121"/>
      <c r="P67" s="121"/>
      <c r="Q67" s="121"/>
      <c r="R67" s="121"/>
      <c r="S67" s="89"/>
    </row>
    <row r="68" spans="1:19" s="2" customFormat="1" ht="10.5" customHeight="1" x14ac:dyDescent="0.25">
      <c r="A68" s="122" t="s">
        <v>85</v>
      </c>
      <c r="B68" s="122"/>
      <c r="C68" s="122"/>
      <c r="D68" s="122"/>
      <c r="E68" s="122"/>
      <c r="F68" s="122"/>
      <c r="G68" s="89">
        <v>10800</v>
      </c>
      <c r="M68" s="121"/>
      <c r="N68" s="121"/>
      <c r="O68" s="121"/>
      <c r="P68" s="121"/>
      <c r="Q68" s="121"/>
      <c r="R68" s="121"/>
      <c r="S68" s="89"/>
    </row>
    <row r="69" spans="1:19" s="2" customFormat="1" ht="10.5" customHeight="1" x14ac:dyDescent="0.25">
      <c r="A69" s="122" t="s">
        <v>84</v>
      </c>
      <c r="B69" s="122"/>
      <c r="C69" s="122"/>
      <c r="D69" s="122"/>
      <c r="E69" s="122"/>
      <c r="F69" s="122"/>
      <c r="G69" s="89">
        <v>2880</v>
      </c>
      <c r="M69" s="121"/>
      <c r="N69" s="121"/>
      <c r="O69" s="121"/>
      <c r="P69" s="121"/>
      <c r="Q69" s="121"/>
      <c r="R69" s="121"/>
      <c r="S69" s="89"/>
    </row>
    <row r="70" spans="1:19" s="2" customFormat="1" ht="10.5" customHeight="1" x14ac:dyDescent="0.25">
      <c r="A70" s="122" t="s">
        <v>87</v>
      </c>
      <c r="B70" s="122"/>
      <c r="C70" s="122"/>
      <c r="D70" s="122"/>
      <c r="E70" s="122"/>
      <c r="F70" s="122"/>
      <c r="G70" s="89">
        <v>6450</v>
      </c>
      <c r="M70" s="121"/>
      <c r="N70" s="121"/>
      <c r="O70" s="121"/>
      <c r="P70" s="121"/>
      <c r="Q70" s="121"/>
      <c r="R70" s="121"/>
      <c r="S70" s="89"/>
    </row>
  </sheetData>
  <mergeCells count="18">
    <mergeCell ref="M67:R67"/>
    <mergeCell ref="M69:R69"/>
    <mergeCell ref="M70:R70"/>
    <mergeCell ref="A65:F65"/>
    <mergeCell ref="A63:B63"/>
    <mergeCell ref="A66:F66"/>
    <mergeCell ref="A68:F68"/>
    <mergeCell ref="A67:F67"/>
    <mergeCell ref="A69:F69"/>
    <mergeCell ref="A70:F70"/>
    <mergeCell ref="M66:R66"/>
    <mergeCell ref="M65:R65"/>
    <mergeCell ref="M68:R68"/>
    <mergeCell ref="A17:B17"/>
    <mergeCell ref="A23:B23"/>
    <mergeCell ref="A28:B28"/>
    <mergeCell ref="A31:B31"/>
    <mergeCell ref="A54:B54"/>
  </mergeCells>
  <pageMargins left="0.25" right="0" top="0.4" bottom="0" header="0.3" footer="0"/>
  <pageSetup scale="98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D271-70AB-48A9-BA4C-36214845B092}">
  <sheetPr>
    <pageSetUpPr fitToPage="1"/>
  </sheetPr>
  <dimension ref="A1:S84"/>
  <sheetViews>
    <sheetView zoomScale="145" zoomScaleNormal="145" workbookViewId="0">
      <pane ySplit="2" topLeftCell="A3" activePane="bottomLeft" state="frozen"/>
      <selection pane="bottomLeft" activeCell="K3" sqref="K3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121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360</v>
      </c>
      <c r="E3" s="32">
        <v>4.3099999999999996</v>
      </c>
      <c r="F3" s="32">
        <v>0</v>
      </c>
      <c r="G3" s="32">
        <v>0</v>
      </c>
      <c r="H3" s="8">
        <f>D3+F3+'10-28-21'!H3</f>
        <v>1005</v>
      </c>
      <c r="I3" s="8">
        <f>E3+G3+'10-28-21'!I3</f>
        <v>12.05</v>
      </c>
      <c r="J3" s="8">
        <f>H3+I3</f>
        <v>1017.05</v>
      </c>
      <c r="K3" s="85">
        <f>C3-J3</f>
        <v>-17.049999999999955</v>
      </c>
      <c r="L3" s="8">
        <f>C3-((J3/10)*26.0714285714285)</f>
        <v>-1651.5946428571356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406.25</v>
      </c>
      <c r="E4" s="33">
        <v>4.8600000000000003</v>
      </c>
      <c r="F4" s="33">
        <v>1568.76</v>
      </c>
      <c r="G4" s="33">
        <v>117.63</v>
      </c>
      <c r="H4" s="8">
        <f>D4+F4+'10-28-21'!H4</f>
        <v>18851.999999999996</v>
      </c>
      <c r="I4" s="8">
        <f>E4+G4+'10-28-21'!I4</f>
        <v>1353.35</v>
      </c>
      <c r="J4" s="8">
        <f t="shared" ref="J4:J17" si="0">H4+I4</f>
        <v>20205.349999999995</v>
      </c>
      <c r="K4" s="8">
        <f t="shared" ref="K4:K17" si="1">C4-J4</f>
        <v>45794.650000000009</v>
      </c>
      <c r="L4" s="8">
        <f t="shared" ref="L4:L17" si="2">C4-((J4/10)*26.0714285714285)</f>
        <v>13321.766071428734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D5+F5+'10-28-21'!H5</f>
        <v>0</v>
      </c>
      <c r="I5" s="8">
        <f>E5+G5+'10-28-21'!I5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202.5</v>
      </c>
      <c r="E6" s="8">
        <v>2.42</v>
      </c>
      <c r="F6" s="8">
        <v>0</v>
      </c>
      <c r="G6" s="8">
        <v>0</v>
      </c>
      <c r="H6" s="8">
        <f>D6+F6+'10-28-21'!H6</f>
        <v>2310</v>
      </c>
      <c r="I6" s="8">
        <f>E6+G6+'10-28-21'!I6</f>
        <v>27.700000000000003</v>
      </c>
      <c r="J6" s="8">
        <f t="shared" si="0"/>
        <v>2337.6999999999998</v>
      </c>
      <c r="K6" s="8">
        <f t="shared" si="1"/>
        <v>4112.3</v>
      </c>
      <c r="L6" s="8">
        <f t="shared" si="2"/>
        <v>355.28214285716058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592.89</v>
      </c>
      <c r="E7" s="41">
        <v>7.1</v>
      </c>
      <c r="F7" s="41">
        <v>0</v>
      </c>
      <c r="G7" s="41">
        <v>0</v>
      </c>
      <c r="H7" s="8">
        <f>D7+F7+'10-28-21'!H7</f>
        <v>7776.01</v>
      </c>
      <c r="I7" s="8">
        <f>E7+G7+'10-28-21'!I7</f>
        <v>93.219999999999942</v>
      </c>
      <c r="J7" s="8">
        <f t="shared" si="0"/>
        <v>7869.2300000000005</v>
      </c>
      <c r="K7" s="8">
        <f t="shared" si="1"/>
        <v>16779.77</v>
      </c>
      <c r="L7" s="8">
        <f t="shared" si="2"/>
        <v>4132.7932142857717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465.35</v>
      </c>
      <c r="E8" s="9">
        <v>5.57</v>
      </c>
      <c r="F8" s="9">
        <v>0</v>
      </c>
      <c r="G8" s="9">
        <v>0</v>
      </c>
      <c r="H8" s="8">
        <f>D8+F8+'10-28-21'!H8</f>
        <v>5488.97</v>
      </c>
      <c r="I8" s="8">
        <f>E8+G8+'10-28-21'!I8</f>
        <v>65.75</v>
      </c>
      <c r="J8" s="8">
        <f t="shared" si="0"/>
        <v>5554.72</v>
      </c>
      <c r="K8" s="8">
        <f t="shared" si="1"/>
        <v>12419.279999999999</v>
      </c>
      <c r="L8" s="8">
        <f t="shared" si="2"/>
        <v>3492.0514285714689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684.28</v>
      </c>
      <c r="E9" s="9">
        <v>8.1999999999999993</v>
      </c>
      <c r="F9" s="9">
        <v>0</v>
      </c>
      <c r="G9" s="9">
        <v>0</v>
      </c>
      <c r="H9" s="8">
        <f>D9+F9+'10-28-21'!H9</f>
        <v>6512.19</v>
      </c>
      <c r="I9" s="8">
        <f>E9+G9+'10-28-21'!I9</f>
        <v>149.48999999999998</v>
      </c>
      <c r="J9" s="8">
        <f t="shared" si="0"/>
        <v>6661.6799999999994</v>
      </c>
      <c r="K9" s="8">
        <f t="shared" si="1"/>
        <v>11312.32</v>
      </c>
      <c r="L9" s="8">
        <f t="shared" si="2"/>
        <v>606.04857142862238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153.41</v>
      </c>
      <c r="E10" s="32">
        <v>1.83</v>
      </c>
      <c r="F10" s="32">
        <v>0</v>
      </c>
      <c r="G10" s="32">
        <v>0</v>
      </c>
      <c r="H10" s="8">
        <f>D10+F10+'10-28-21'!H10</f>
        <v>597.77</v>
      </c>
      <c r="I10" s="8">
        <f>E10+G10+'10-28-21'!I10</f>
        <v>7.1499999999999995</v>
      </c>
      <c r="J10" s="8">
        <f t="shared" si="0"/>
        <v>604.91999999999996</v>
      </c>
      <c r="K10" s="8">
        <f t="shared" si="1"/>
        <v>1504.08</v>
      </c>
      <c r="L10" s="8">
        <f t="shared" si="2"/>
        <v>531.88714285714741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653.03</v>
      </c>
      <c r="E11" s="9">
        <v>7.83</v>
      </c>
      <c r="F11" s="9">
        <v>0</v>
      </c>
      <c r="G11" s="9">
        <v>0</v>
      </c>
      <c r="H11" s="8">
        <f>D11+F11+'10-28-21'!H11</f>
        <v>6959.69</v>
      </c>
      <c r="I11" s="8">
        <f>E11+G11+'10-28-21'!I11</f>
        <v>176.32</v>
      </c>
      <c r="J11" s="8">
        <f t="shared" si="0"/>
        <v>7136.0099999999993</v>
      </c>
      <c r="K11" s="8">
        <f t="shared" si="1"/>
        <v>17193.990000000002</v>
      </c>
      <c r="L11" s="8">
        <f t="shared" si="2"/>
        <v>5725.4025000000547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1034.24</v>
      </c>
      <c r="E12" s="8">
        <v>12.4</v>
      </c>
      <c r="F12" s="8">
        <v>0</v>
      </c>
      <c r="G12" s="8">
        <v>0</v>
      </c>
      <c r="H12" s="8">
        <f>D12+F12+'10-28-21'!H12</f>
        <v>10902.109999999999</v>
      </c>
      <c r="I12" s="8">
        <f>E12+G12+'10-28-21'!I12</f>
        <v>208.70000000000002</v>
      </c>
      <c r="J12" s="8">
        <f t="shared" si="0"/>
        <v>11110.81</v>
      </c>
      <c r="K12" s="8">
        <f t="shared" si="1"/>
        <v>22617.620000000003</v>
      </c>
      <c r="L12" s="8">
        <f t="shared" si="2"/>
        <v>4760.9610714286537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2273.31</v>
      </c>
      <c r="E13" s="8">
        <v>27.27</v>
      </c>
      <c r="F13" s="8">
        <v>0</v>
      </c>
      <c r="G13" s="8">
        <v>0</v>
      </c>
      <c r="H13" s="8">
        <f>D13+F13+'10-28-21'!H13</f>
        <v>16424.099999999999</v>
      </c>
      <c r="I13" s="8">
        <f>E13+G13+'10-28-21'!I13</f>
        <v>199.26999999999998</v>
      </c>
      <c r="J13" s="8">
        <f t="shared" si="0"/>
        <v>16623.37</v>
      </c>
      <c r="K13" s="8">
        <f t="shared" si="1"/>
        <v>26117.63</v>
      </c>
      <c r="L13" s="8">
        <f t="shared" si="2"/>
        <v>-598.5003571427369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744.55</v>
      </c>
      <c r="E14" s="9">
        <v>8.93</v>
      </c>
      <c r="F14" s="9">
        <v>0</v>
      </c>
      <c r="G14" s="9">
        <v>0</v>
      </c>
      <c r="H14" s="8">
        <f>D14+F14+'10-28-21'!H14</f>
        <v>5257.67</v>
      </c>
      <c r="I14" s="8">
        <f>E14+G14+'10-28-21'!I14</f>
        <v>63.02</v>
      </c>
      <c r="J14" s="8">
        <f t="shared" si="0"/>
        <v>5320.6900000000005</v>
      </c>
      <c r="K14" s="8">
        <f t="shared" si="1"/>
        <v>18852.309999999998</v>
      </c>
      <c r="L14" s="8">
        <f t="shared" si="2"/>
        <v>10301.201071428608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900</v>
      </c>
      <c r="G15" s="33">
        <v>67.5</v>
      </c>
      <c r="H15" s="8">
        <f>D15+F15+'10-28-21'!H15</f>
        <v>900</v>
      </c>
      <c r="I15" s="8">
        <f>E15+G15+'10-28-21'!I15</f>
        <v>67.5</v>
      </c>
      <c r="J15" s="8">
        <f>H15+I15</f>
        <v>967.5</v>
      </c>
      <c r="K15" s="8">
        <f>C15-J15</f>
        <v>14587.5</v>
      </c>
      <c r="L15" s="8">
        <f t="shared" si="2"/>
        <v>13032.589285714294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155.19999999999999</v>
      </c>
      <c r="E16" s="9">
        <v>1.85</v>
      </c>
      <c r="F16" s="9">
        <v>0</v>
      </c>
      <c r="G16" s="9">
        <v>0</v>
      </c>
      <c r="H16" s="8">
        <f>D16+F16+'10-28-21'!H16</f>
        <v>1084.8800000000001</v>
      </c>
      <c r="I16" s="8">
        <f>E16+G16+'10-28-21'!I16</f>
        <v>21.94</v>
      </c>
      <c r="J16" s="8">
        <f t="shared" si="0"/>
        <v>1106.8200000000002</v>
      </c>
      <c r="K16" s="8">
        <f t="shared" si="1"/>
        <v>4893.18</v>
      </c>
      <c r="L16" s="8">
        <f t="shared" si="2"/>
        <v>3114.3621428571505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5.75</v>
      </c>
      <c r="F17" s="9">
        <v>0</v>
      </c>
      <c r="G17" s="9">
        <v>0</v>
      </c>
      <c r="H17" s="8">
        <f>D17+F17+'10-28-21'!H17</f>
        <v>4872</v>
      </c>
      <c r="I17" s="8">
        <f>E17+G17+'10-28-21'!I17</f>
        <v>58.44</v>
      </c>
      <c r="J17" s="8">
        <f t="shared" si="0"/>
        <v>4930.4399999999996</v>
      </c>
      <c r="K17" s="8">
        <f t="shared" si="1"/>
        <v>5869.56</v>
      </c>
      <c r="L17" s="8">
        <f t="shared" si="2"/>
        <v>-2054.361428571392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8205.0099999999984</v>
      </c>
      <c r="E18" s="7">
        <f t="shared" si="4"/>
        <v>98.32</v>
      </c>
      <c r="F18" s="7">
        <f t="shared" si="4"/>
        <v>2468.7600000000002</v>
      </c>
      <c r="G18" s="7">
        <f t="shared" si="4"/>
        <v>185.13</v>
      </c>
      <c r="H18" s="7">
        <f t="shared" si="4"/>
        <v>88942.39</v>
      </c>
      <c r="I18" s="7">
        <f t="shared" si="4"/>
        <v>2503.9</v>
      </c>
      <c r="J18" s="35">
        <f t="shared" si="4"/>
        <v>91446.290000000008</v>
      </c>
      <c r="K18" s="35">
        <f t="shared" si="4"/>
        <v>204954.14</v>
      </c>
      <c r="L18" s="7">
        <f t="shared" si="4"/>
        <v>57986.888214286395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179.86</v>
      </c>
      <c r="E22" s="32">
        <v>2.15</v>
      </c>
      <c r="F22" s="32">
        <v>0</v>
      </c>
      <c r="G22" s="32">
        <v>0</v>
      </c>
      <c r="H22" s="8">
        <f>D22+F22+'10-28-21'!H22</f>
        <v>550.16</v>
      </c>
      <c r="I22" s="8">
        <f>E22+G22+'10-28-21'!I22</f>
        <v>6.58</v>
      </c>
      <c r="J22" s="8">
        <f t="shared" si="6"/>
        <v>556.74</v>
      </c>
      <c r="K22" s="8">
        <f t="shared" ref="K22:K23" si="8">C22-J22</f>
        <v>13396.26</v>
      </c>
      <c r="L22" s="8">
        <f t="shared" ref="L22:L23" si="9">C22-((J22/10)*26.0714285714285)</f>
        <v>12501.49928571429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377.5</v>
      </c>
      <c r="E23" s="32">
        <v>4.5199999999999996</v>
      </c>
      <c r="F23" s="32">
        <v>0</v>
      </c>
      <c r="G23" s="32">
        <v>0</v>
      </c>
      <c r="H23" s="8">
        <f>D23+F23+'10-28-21'!H23</f>
        <v>1090</v>
      </c>
      <c r="I23" s="8">
        <f>E23+G23+'10-28-21'!I23</f>
        <v>13.07</v>
      </c>
      <c r="J23" s="8">
        <f t="shared" si="6"/>
        <v>1103.07</v>
      </c>
      <c r="K23" s="8">
        <f t="shared" si="8"/>
        <v>922.93000000000006</v>
      </c>
      <c r="L23" s="8">
        <f t="shared" si="9"/>
        <v>-849.86107142856326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557.36</v>
      </c>
      <c r="E24" s="7">
        <f t="shared" si="10"/>
        <v>6.67</v>
      </c>
      <c r="F24" s="7">
        <f t="shared" si="10"/>
        <v>0</v>
      </c>
      <c r="G24" s="7">
        <f t="shared" si="10"/>
        <v>0</v>
      </c>
      <c r="H24" s="8">
        <f>D24+F24+'07-22-21'!H23</f>
        <v>557.36</v>
      </c>
      <c r="I24" s="8">
        <f>E24+G24+'07-22-21'!I23</f>
        <v>6.67</v>
      </c>
      <c r="J24" s="35">
        <f t="shared" si="10"/>
        <v>1659.81</v>
      </c>
      <c r="K24" s="7">
        <f t="shared" si="10"/>
        <v>14319.19</v>
      </c>
      <c r="L24" s="7">
        <f t="shared" si="10"/>
        <v>11651.638214285726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975</v>
      </c>
      <c r="E27" s="9">
        <v>11.69</v>
      </c>
      <c r="F27" s="9">
        <v>442.5</v>
      </c>
      <c r="G27" s="9">
        <v>33.18</v>
      </c>
      <c r="H27" s="8">
        <f>D27+F27+'10-28-21'!H27</f>
        <v>9924.75</v>
      </c>
      <c r="I27" s="8">
        <f>E27+G27+'10-28-21'!I27</f>
        <v>374.79</v>
      </c>
      <c r="J27" s="8">
        <f t="shared" ref="J27:J28" si="11">H27+I27</f>
        <v>10299.540000000001</v>
      </c>
      <c r="K27" s="8">
        <f>C27-J27</f>
        <v>14700.46</v>
      </c>
      <c r="L27" s="8">
        <f>C27-((J27/10)*26.0714285714285)</f>
        <v>-1852.3721428570716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975</v>
      </c>
      <c r="E29" s="31">
        <f t="shared" si="14"/>
        <v>11.69</v>
      </c>
      <c r="F29" s="31">
        <f t="shared" si="14"/>
        <v>442.5</v>
      </c>
      <c r="G29" s="31">
        <f t="shared" si="14"/>
        <v>33.18</v>
      </c>
      <c r="H29" s="31">
        <f t="shared" si="14"/>
        <v>9924.75</v>
      </c>
      <c r="I29" s="31">
        <f t="shared" si="14"/>
        <v>374.79</v>
      </c>
      <c r="J29" s="31">
        <f t="shared" si="14"/>
        <v>10299.540000000001</v>
      </c>
      <c r="K29" s="31">
        <f t="shared" si="14"/>
        <v>14700.46</v>
      </c>
      <c r="L29" s="31">
        <f t="shared" si="14"/>
        <v>-1852.3721428570716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9737.369999999999</v>
      </c>
      <c r="E32" s="24">
        <f t="shared" si="15"/>
        <v>116.67999999999999</v>
      </c>
      <c r="F32" s="24">
        <f t="shared" si="15"/>
        <v>2911.26</v>
      </c>
      <c r="G32" s="24">
        <f t="shared" si="15"/>
        <v>218.31</v>
      </c>
      <c r="H32" s="24">
        <f t="shared" si="15"/>
        <v>99424.5</v>
      </c>
      <c r="I32" s="24">
        <f t="shared" si="15"/>
        <v>2885.36</v>
      </c>
      <c r="J32" s="24">
        <f t="shared" si="15"/>
        <v>103405.64000000001</v>
      </c>
      <c r="K32" s="24">
        <f t="shared" si="15"/>
        <v>233973.79</v>
      </c>
      <c r="L32" s="24">
        <f t="shared" si="15"/>
        <v>67786.154285715049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D35+F35+'10-28-21'!H35</f>
        <v>800.94</v>
      </c>
      <c r="I35" s="8">
        <f>E35+G35+'10-28-21'!I35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8" si="16">C35-((J35/10)*26.0714285714285)</f>
        <v>943.32418571429162</v>
      </c>
      <c r="M35" s="76"/>
    </row>
    <row r="36" spans="1:13" s="59" customFormat="1" ht="11.25" customHeight="1" x14ac:dyDescent="0.25">
      <c r="A36" s="20" t="s">
        <v>117</v>
      </c>
      <c r="B36" s="105" t="s">
        <v>12</v>
      </c>
      <c r="C36" s="110">
        <v>900</v>
      </c>
      <c r="D36" s="8">
        <v>0</v>
      </c>
      <c r="E36" s="8">
        <v>0</v>
      </c>
      <c r="F36" s="8">
        <v>204</v>
      </c>
      <c r="G36" s="8">
        <v>15.3</v>
      </c>
      <c r="H36" s="8">
        <f>D36+F36+'10-28-21'!H36</f>
        <v>534</v>
      </c>
      <c r="I36" s="8">
        <f>E36+G36+'10-28-21'!I36</f>
        <v>40.049999999999997</v>
      </c>
      <c r="J36" s="8">
        <f t="shared" ref="J36:J58" si="17">H36+I36</f>
        <v>574.04999999999995</v>
      </c>
      <c r="K36" s="8">
        <f t="shared" ref="K36:K58" si="18">C36-J36</f>
        <v>325.95000000000005</v>
      </c>
      <c r="L36" s="8">
        <f t="shared" si="16"/>
        <v>-596.63035714285274</v>
      </c>
      <c r="M36" s="70"/>
    </row>
    <row r="37" spans="1:13" s="59" customFormat="1" ht="11.25" customHeight="1" x14ac:dyDescent="0.25">
      <c r="A37" s="20" t="s">
        <v>114</v>
      </c>
      <c r="B37" s="105" t="s">
        <v>12</v>
      </c>
      <c r="C37" s="110">
        <v>12000</v>
      </c>
      <c r="D37" s="8">
        <v>220</v>
      </c>
      <c r="E37" s="8">
        <v>2.63</v>
      </c>
      <c r="F37" s="8">
        <v>0</v>
      </c>
      <c r="G37" s="8">
        <v>0</v>
      </c>
      <c r="H37" s="8">
        <f>D37+F37+'10-28-21'!H37</f>
        <v>2017</v>
      </c>
      <c r="I37" s="8">
        <f>E37+G37+'10-28-21'!I37</f>
        <v>24.18</v>
      </c>
      <c r="J37" s="8">
        <f t="shared" si="17"/>
        <v>2041.18</v>
      </c>
      <c r="K37" s="8">
        <f t="shared" si="18"/>
        <v>9958.82</v>
      </c>
      <c r="L37" s="8">
        <f t="shared" si="16"/>
        <v>6678.3521428571576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D38+F38+'10-28-21'!H38</f>
        <v>0</v>
      </c>
      <c r="I38" s="8">
        <f>E38+G38+'10-28-21'!I38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D39+F39+'10-28-21'!H39</f>
        <v>36.659999999999997</v>
      </c>
      <c r="I39" s="8">
        <f>E39+G39+'10-28-21'!I39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-96.722376171428309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D40+F40+'10-28-21'!H40</f>
        <v>0</v>
      </c>
      <c r="I40" s="8">
        <f>E40+G40+'10-28-21'!I40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D41+F41+'10-28-21'!H41</f>
        <v>0</v>
      </c>
      <c r="I41" s="8">
        <f>E41+G41+'10-28-21'!I41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D42+F42+'10-28-21'!H42</f>
        <v>582.25</v>
      </c>
      <c r="I42" s="8">
        <f>E42+G42+'10-28-21'!I42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5173.8192857142894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D43+F43+'10-28-21'!H43</f>
        <v>3121.7</v>
      </c>
      <c r="I43" s="8">
        <f>E43+G43+'10-28-21'!I43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-5065.0232142856912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D44+F44+'10-28-21'!H44</f>
        <v>0</v>
      </c>
      <c r="I44" s="8">
        <f>E44+G44+'10-28-21'!I44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106.02</v>
      </c>
      <c r="E45" s="33">
        <v>1.26</v>
      </c>
      <c r="F45" s="33">
        <v>0</v>
      </c>
      <c r="G45" s="33">
        <v>0</v>
      </c>
      <c r="H45" s="8">
        <f>D45+F45+'10-28-21'!H45</f>
        <v>664.02</v>
      </c>
      <c r="I45" s="8">
        <f>E45+G45+'10-28-21'!I45</f>
        <v>7.93</v>
      </c>
      <c r="J45" s="8">
        <f t="shared" si="17"/>
        <v>671.94999999999993</v>
      </c>
      <c r="K45" s="92">
        <f t="shared" si="19"/>
        <v>4328.05</v>
      </c>
      <c r="L45" s="8">
        <f t="shared" si="16"/>
        <v>3248.1303571428625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192</v>
      </c>
      <c r="E46" s="32">
        <v>2.2999999999999998</v>
      </c>
      <c r="F46" s="32">
        <v>513</v>
      </c>
      <c r="G46" s="32">
        <v>38.47</v>
      </c>
      <c r="H46" s="8">
        <f>D46+F46+'10-28-21'!H46</f>
        <v>2529</v>
      </c>
      <c r="I46" s="8">
        <f>E46+G46+'10-28-21'!I46</f>
        <v>132.95999999999998</v>
      </c>
      <c r="J46" s="8">
        <f t="shared" si="17"/>
        <v>2661.96</v>
      </c>
      <c r="K46" s="85">
        <f>C46-J46</f>
        <v>-927.60999999999967</v>
      </c>
      <c r="L46" s="8">
        <f t="shared" si="16"/>
        <v>-5205.7599999999811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D47+F47+'10-28-21'!H47</f>
        <v>0</v>
      </c>
      <c r="I47" s="8">
        <f>E47+G47+'10-28-21'!I47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v>7700</v>
      </c>
      <c r="D48" s="33">
        <v>871.72</v>
      </c>
      <c r="E48" s="33">
        <v>10.46</v>
      </c>
      <c r="F48" s="33">
        <v>0</v>
      </c>
      <c r="G48" s="33">
        <v>0</v>
      </c>
      <c r="H48" s="8">
        <f>D48+F48+'10-28-21'!H48</f>
        <v>4405.72</v>
      </c>
      <c r="I48" s="8">
        <f>E48+G48+'10-28-21'!I48</f>
        <v>52.85</v>
      </c>
      <c r="J48" s="8">
        <f t="shared" si="17"/>
        <v>4458.5700000000006</v>
      </c>
      <c r="K48" s="8">
        <f>C48-J48</f>
        <v>3241.4299999999994</v>
      </c>
      <c r="L48" s="8">
        <f t="shared" si="16"/>
        <v>-3924.1289285713974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D49+F49+'10-28-21'!H49</f>
        <v>1754.38</v>
      </c>
      <c r="I49" s="8">
        <f>E49+G49+'10-28-21'!I49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-646.09107142855737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D50+F50+'10-28-21'!H50</f>
        <v>0</v>
      </c>
      <c r="I50" s="8">
        <f>E50+G50+'10-28-21'!I50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D51+F51+'10-28-21'!H51</f>
        <v>0</v>
      </c>
      <c r="I51" s="8">
        <f>E51+G51+'10-28-21'!I51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D52+F52+'10-28-21'!H52</f>
        <v>0</v>
      </c>
      <c r="I52" s="8">
        <f>E52+G52+'10-28-21'!I52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D53+F53+'10-28-21'!H53</f>
        <v>0</v>
      </c>
      <c r="I53" s="8">
        <f>E53+G53+'10-28-21'!I53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D54+F54+'10-28-21'!H54</f>
        <v>0</v>
      </c>
      <c r="I54" s="8">
        <f>E54+G54+'10-28-21'!I54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D55+F55+'10-28-21'!H55</f>
        <v>0</v>
      </c>
      <c r="I55" s="8">
        <f>E55+G55+'10-28-21'!I55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D56+F56+'10-28-21'!H56</f>
        <v>2.4</v>
      </c>
      <c r="I56" s="8">
        <f>E56+G56+'10-28-21'!I56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4186.8307142857147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D57+F57+'10-28-21'!H57</f>
        <v>2754</v>
      </c>
      <c r="I57" s="8">
        <f>E57+G57+'10-28-21'!I57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-3284.9017857142644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v>2600</v>
      </c>
      <c r="D58" s="62">
        <v>254.56</v>
      </c>
      <c r="E58" s="62">
        <v>3.04</v>
      </c>
      <c r="F58" s="62">
        <v>0</v>
      </c>
      <c r="G58" s="62">
        <v>0</v>
      </c>
      <c r="H58" s="8">
        <f>D58+F58+'10-28-21'!H58</f>
        <v>1573.5399999999997</v>
      </c>
      <c r="I58" s="8">
        <f>E58+G58+'10-28-21'!I58</f>
        <v>18.84</v>
      </c>
      <c r="J58" s="8">
        <f t="shared" si="17"/>
        <v>1592.3799999999997</v>
      </c>
      <c r="K58" s="8">
        <f t="shared" si="18"/>
        <v>1007.6200000000003</v>
      </c>
      <c r="L58" s="8">
        <f t="shared" si="16"/>
        <v>-1551.5621428571303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52242.25</v>
      </c>
      <c r="D59" s="7"/>
      <c r="E59" s="7"/>
      <c r="F59" s="7"/>
      <c r="G59" s="7"/>
      <c r="H59" s="7">
        <f>SUM(H35:H54)</f>
        <v>16445.670000000002</v>
      </c>
      <c r="I59" s="7">
        <f>SUM(I35:I54)</f>
        <v>489.18259359999996</v>
      </c>
      <c r="J59" s="7">
        <f>SUM(J35:J54)</f>
        <v>16934.852593600001</v>
      </c>
      <c r="K59" s="7">
        <f>SUM(K35:K54)</f>
        <v>35307.397406399999</v>
      </c>
      <c r="L59" s="7">
        <f>SUM(L35:L54)</f>
        <v>8090.6700238286903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1416.37</v>
      </c>
      <c r="E62" s="9">
        <v>16.98</v>
      </c>
      <c r="F62" s="9">
        <v>0</v>
      </c>
      <c r="G62" s="9">
        <v>0</v>
      </c>
      <c r="H62" s="8">
        <f>D62+F62+'10-28-21'!H62</f>
        <v>11074.27</v>
      </c>
      <c r="I62" s="8">
        <f>E62+G62+'10-28-21'!I62</f>
        <v>201.96</v>
      </c>
      <c r="J62" s="8">
        <f t="shared" ref="J62:J63" si="21">H62+I62</f>
        <v>11276.23</v>
      </c>
      <c r="K62" s="8">
        <f>C62-J62</f>
        <v>51306.770000000004</v>
      </c>
      <c r="L62" s="8">
        <f t="shared" ref="L62:L63" si="22">C62-((J62/10)*26.0714285714285)</f>
        <v>33184.25750000008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32">
        <v>0</v>
      </c>
      <c r="E63" s="32">
        <v>0</v>
      </c>
      <c r="F63" s="32">
        <v>0</v>
      </c>
      <c r="G63" s="32">
        <v>0</v>
      </c>
      <c r="H63" s="8">
        <f>D63+F63+'10-28-21'!H63</f>
        <v>0</v>
      </c>
      <c r="I63" s="8">
        <f>E63+G63+'10-28-21'!I63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1416.37</v>
      </c>
      <c r="E64" s="14">
        <f t="shared" si="23"/>
        <v>16.98</v>
      </c>
      <c r="F64" s="14">
        <f t="shared" si="23"/>
        <v>0</v>
      </c>
      <c r="G64" s="14">
        <f t="shared" si="23"/>
        <v>0</v>
      </c>
      <c r="H64" s="14">
        <f t="shared" si="23"/>
        <v>11074.27</v>
      </c>
      <c r="I64" s="14">
        <f t="shared" si="23"/>
        <v>201.96</v>
      </c>
      <c r="J64" s="14">
        <f t="shared" si="23"/>
        <v>11276.23</v>
      </c>
      <c r="K64" s="14">
        <f t="shared" si="23"/>
        <v>51306.770000000004</v>
      </c>
      <c r="L64" s="14">
        <f t="shared" si="23"/>
        <v>33184.25750000008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32">
        <v>0</v>
      </c>
      <c r="E67" s="32">
        <v>0</v>
      </c>
      <c r="F67" s="32">
        <v>0</v>
      </c>
      <c r="G67" s="32">
        <v>0</v>
      </c>
      <c r="H67" s="8">
        <f>D67+F67+'10-28-21'!H67</f>
        <v>336.26</v>
      </c>
      <c r="I67" s="8">
        <f>E67+G67+'10-28-21'!I67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C67-((J67/10)*26.0714285714285)</f>
        <v>36793.596071428576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36793.596071428576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115</v>
      </c>
      <c r="B83" s="122"/>
      <c r="C83" s="122"/>
      <c r="D83" s="122"/>
      <c r="E83" s="122"/>
      <c r="F83" s="122"/>
      <c r="G83" s="89">
        <v>900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</sheetData>
  <mergeCells count="36">
    <mergeCell ref="A82:F82"/>
    <mergeCell ref="M82:R82"/>
    <mergeCell ref="A83:F83"/>
    <mergeCell ref="M83:R83"/>
    <mergeCell ref="A84:F84"/>
    <mergeCell ref="M84:R84"/>
    <mergeCell ref="A79:F79"/>
    <mergeCell ref="M79:R79"/>
    <mergeCell ref="A80:F80"/>
    <mergeCell ref="M80:R80"/>
    <mergeCell ref="A81:F81"/>
    <mergeCell ref="M81:R81"/>
    <mergeCell ref="A76:F76"/>
    <mergeCell ref="M76:R76"/>
    <mergeCell ref="A77:F77"/>
    <mergeCell ref="M77:R77"/>
    <mergeCell ref="A78:F78"/>
    <mergeCell ref="M78:R78"/>
    <mergeCell ref="A73:F73"/>
    <mergeCell ref="M73:R73"/>
    <mergeCell ref="A74:F74"/>
    <mergeCell ref="M74:R74"/>
    <mergeCell ref="A75:F75"/>
    <mergeCell ref="M75:R75"/>
    <mergeCell ref="A70:F70"/>
    <mergeCell ref="M70:R70"/>
    <mergeCell ref="A71:F71"/>
    <mergeCell ref="M71:R71"/>
    <mergeCell ref="A72:F72"/>
    <mergeCell ref="M72:R72"/>
    <mergeCell ref="A68:B68"/>
    <mergeCell ref="A18:B18"/>
    <mergeCell ref="A24:B24"/>
    <mergeCell ref="A29:B29"/>
    <mergeCell ref="A32:B32"/>
    <mergeCell ref="A59:B59"/>
  </mergeCells>
  <pageMargins left="0.25" right="0" top="0.4" bottom="0" header="0.3" footer="0"/>
  <pageSetup scale="68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76B6-B821-42B2-98AE-5516515DD35D}">
  <sheetPr>
    <pageSetUpPr fitToPage="1"/>
  </sheetPr>
  <dimension ref="A1:S84"/>
  <sheetViews>
    <sheetView zoomScale="145" zoomScaleNormal="145" workbookViewId="0">
      <pane ySplit="2" topLeftCell="A25" activePane="bottomLeft" state="frozen"/>
      <selection pane="bottomLeft" activeCell="K36" sqref="K36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122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600</v>
      </c>
      <c r="E3" s="32">
        <v>7.2</v>
      </c>
      <c r="F3" s="32">
        <v>0</v>
      </c>
      <c r="G3" s="32">
        <v>0</v>
      </c>
      <c r="H3" s="8">
        <f>D3+F3+'11-11-21'!H3</f>
        <v>1605</v>
      </c>
      <c r="I3" s="8">
        <f>E3+G3+'11-11-21'!I3</f>
        <v>19.25</v>
      </c>
      <c r="J3" s="8">
        <f>H3+I3</f>
        <v>1624.25</v>
      </c>
      <c r="K3" s="85">
        <f>C3-J3</f>
        <v>-624.25</v>
      </c>
      <c r="L3" s="8">
        <f>C3-((J3/11)*26.0714285714285)</f>
        <v>-2849.6834415584308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343.75</v>
      </c>
      <c r="E4" s="33">
        <v>4.12</v>
      </c>
      <c r="F4" s="33">
        <v>1528.13</v>
      </c>
      <c r="G4" s="33">
        <v>114.6</v>
      </c>
      <c r="H4" s="8">
        <f>D4+F4+'11-11-21'!H4</f>
        <v>20723.879999999997</v>
      </c>
      <c r="I4" s="8">
        <f>E4+G4+'11-11-21'!I4</f>
        <v>1472.07</v>
      </c>
      <c r="J4" s="8">
        <f t="shared" ref="J4:J17" si="0">H4+I4</f>
        <v>22195.949999999997</v>
      </c>
      <c r="K4" s="8">
        <f t="shared" ref="K4:K17" si="1">C4-J4</f>
        <v>43804.05</v>
      </c>
      <c r="L4" s="8">
        <f t="shared" ref="L4:L17" si="2">C4-((J4/11)*26.0714285714285)</f>
        <v>13392.715909091065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D5+F5+'11-11-21'!H5</f>
        <v>0</v>
      </c>
      <c r="I5" s="8">
        <f>E5+G5+'11-11-21'!I5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292.5</v>
      </c>
      <c r="E6" s="8">
        <v>3.51</v>
      </c>
      <c r="F6" s="8">
        <v>0</v>
      </c>
      <c r="G6" s="8">
        <v>0</v>
      </c>
      <c r="H6" s="8">
        <f>D6+F6+'11-11-21'!H6</f>
        <v>2602.5</v>
      </c>
      <c r="I6" s="8">
        <f>E6+G6+'11-11-21'!I6</f>
        <v>31.21</v>
      </c>
      <c r="J6" s="8">
        <f t="shared" si="0"/>
        <v>2633.71</v>
      </c>
      <c r="K6" s="8">
        <f t="shared" si="1"/>
        <v>3816.29</v>
      </c>
      <c r="L6" s="8">
        <f t="shared" si="2"/>
        <v>207.76525974027663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670.76</v>
      </c>
      <c r="E7" s="41">
        <v>8.0399999999999991</v>
      </c>
      <c r="F7" s="41">
        <v>0</v>
      </c>
      <c r="G7" s="41">
        <v>0</v>
      </c>
      <c r="H7" s="8">
        <f>D7+F7+'11-11-21'!H7</f>
        <v>8446.77</v>
      </c>
      <c r="I7" s="8">
        <f>E7+G7+'11-11-21'!I7</f>
        <v>101.25999999999993</v>
      </c>
      <c r="J7" s="8">
        <f t="shared" si="0"/>
        <v>8548.0300000000007</v>
      </c>
      <c r="K7" s="8">
        <f t="shared" si="1"/>
        <v>16100.97</v>
      </c>
      <c r="L7" s="8">
        <f t="shared" si="2"/>
        <v>4389.0587662338221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453.5</v>
      </c>
      <c r="E8" s="9">
        <v>5.44</v>
      </c>
      <c r="F8" s="9">
        <v>0</v>
      </c>
      <c r="G8" s="9">
        <v>0</v>
      </c>
      <c r="H8" s="8">
        <f>D8+F8+'11-11-21'!H8</f>
        <v>5942.47</v>
      </c>
      <c r="I8" s="8">
        <f>E8+G8+'11-11-21'!I8</f>
        <v>71.19</v>
      </c>
      <c r="J8" s="8">
        <f t="shared" si="0"/>
        <v>6013.66</v>
      </c>
      <c r="K8" s="8">
        <f t="shared" si="1"/>
        <v>11960.34</v>
      </c>
      <c r="L8" s="8">
        <f t="shared" si="2"/>
        <v>3720.8448051948471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519.42999999999995</v>
      </c>
      <c r="E9" s="9">
        <v>6.23</v>
      </c>
      <c r="F9" s="9">
        <v>0</v>
      </c>
      <c r="G9" s="9">
        <v>0</v>
      </c>
      <c r="H9" s="8">
        <f>D9+F9+'11-11-21'!H9</f>
        <v>7031.62</v>
      </c>
      <c r="I9" s="8">
        <f>E9+G9+'11-11-21'!I9</f>
        <v>155.71999999999997</v>
      </c>
      <c r="J9" s="8">
        <f t="shared" si="0"/>
        <v>7187.34</v>
      </c>
      <c r="K9" s="8">
        <f t="shared" si="1"/>
        <v>10786.66</v>
      </c>
      <c r="L9" s="8">
        <f t="shared" si="2"/>
        <v>939.07077922082681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163.99</v>
      </c>
      <c r="E10" s="32">
        <v>1.96</v>
      </c>
      <c r="F10" s="32">
        <v>0</v>
      </c>
      <c r="G10" s="32">
        <v>0</v>
      </c>
      <c r="H10" s="8">
        <f>D10+F10+'11-11-21'!H10</f>
        <v>761.76</v>
      </c>
      <c r="I10" s="8">
        <f>E10+G10+'11-11-21'!I10</f>
        <v>9.11</v>
      </c>
      <c r="J10" s="8">
        <f t="shared" si="0"/>
        <v>770.87</v>
      </c>
      <c r="K10" s="8">
        <f t="shared" si="1"/>
        <v>1338.13</v>
      </c>
      <c r="L10" s="8">
        <f t="shared" si="2"/>
        <v>281.93798701299215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569.23</v>
      </c>
      <c r="E11" s="9">
        <v>6.83</v>
      </c>
      <c r="F11" s="9">
        <v>0</v>
      </c>
      <c r="G11" s="9">
        <v>0</v>
      </c>
      <c r="H11" s="8">
        <f>D11+F11+'11-11-21'!H11</f>
        <v>7528.92</v>
      </c>
      <c r="I11" s="8">
        <f>E11+G11+'11-11-21'!I11</f>
        <v>183.15</v>
      </c>
      <c r="J11" s="8">
        <f t="shared" si="0"/>
        <v>7712.07</v>
      </c>
      <c r="K11" s="8">
        <f t="shared" si="1"/>
        <v>16617.93</v>
      </c>
      <c r="L11" s="8">
        <f t="shared" si="2"/>
        <v>6051.3925324675838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1021.33</v>
      </c>
      <c r="E12" s="8">
        <v>12.25</v>
      </c>
      <c r="F12" s="8">
        <v>0</v>
      </c>
      <c r="G12" s="8">
        <v>0</v>
      </c>
      <c r="H12" s="8">
        <f>D12+F12+'11-11-21'!H12</f>
        <v>11923.439999999999</v>
      </c>
      <c r="I12" s="8">
        <f>E12+G12+'11-11-21'!I12</f>
        <v>220.95000000000002</v>
      </c>
      <c r="J12" s="8">
        <f t="shared" si="0"/>
        <v>12144.39</v>
      </c>
      <c r="K12" s="8">
        <f t="shared" si="1"/>
        <v>21584.04</v>
      </c>
      <c r="L12" s="8">
        <f t="shared" si="2"/>
        <v>4944.6485064935878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1176.99</v>
      </c>
      <c r="E13" s="8">
        <v>14.12</v>
      </c>
      <c r="F13" s="8">
        <v>0</v>
      </c>
      <c r="G13" s="8">
        <v>0</v>
      </c>
      <c r="H13" s="8">
        <f>D13+F13+'11-11-21'!H13</f>
        <v>17601.09</v>
      </c>
      <c r="I13" s="8">
        <f>E13+G13+'11-11-21'!I13</f>
        <v>213.39</v>
      </c>
      <c r="J13" s="8">
        <f t="shared" si="0"/>
        <v>17814.48</v>
      </c>
      <c r="K13" s="8">
        <f t="shared" si="1"/>
        <v>24926.52</v>
      </c>
      <c r="L13" s="8">
        <f t="shared" si="2"/>
        <v>518.36883116894751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618.54999999999995</v>
      </c>
      <c r="E14" s="9">
        <v>7.42</v>
      </c>
      <c r="F14" s="9">
        <v>0</v>
      </c>
      <c r="G14" s="9">
        <v>0</v>
      </c>
      <c r="H14" s="8">
        <f>D14+F14+'11-11-21'!H14</f>
        <v>5876.22</v>
      </c>
      <c r="I14" s="8">
        <f>E14+G14+'11-11-21'!I14</f>
        <v>70.44</v>
      </c>
      <c r="J14" s="8">
        <f t="shared" si="0"/>
        <v>5946.66</v>
      </c>
      <c r="K14" s="8">
        <f t="shared" si="1"/>
        <v>18226.34</v>
      </c>
      <c r="L14" s="8">
        <f t="shared" si="2"/>
        <v>10078.643506493545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502.5</v>
      </c>
      <c r="G15" s="33">
        <v>37.68</v>
      </c>
      <c r="H15" s="8">
        <f>D15+F15+'11-11-21'!H15</f>
        <v>1402.5</v>
      </c>
      <c r="I15" s="8">
        <f>E15+G15+'11-11-21'!I15</f>
        <v>105.18</v>
      </c>
      <c r="J15" s="8">
        <f>H15+I15</f>
        <v>1507.68</v>
      </c>
      <c r="K15" s="8">
        <f>C15-J15</f>
        <v>14047.32</v>
      </c>
      <c r="L15" s="8">
        <f t="shared" si="2"/>
        <v>11981.602597402607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136.07</v>
      </c>
      <c r="E16" s="9">
        <v>1.63</v>
      </c>
      <c r="F16" s="9">
        <v>0</v>
      </c>
      <c r="G16" s="9">
        <v>0</v>
      </c>
      <c r="H16" s="8">
        <f>D16+F16+'11-11-21'!H16</f>
        <v>1220.95</v>
      </c>
      <c r="I16" s="8">
        <f>E16+G16+'11-11-21'!I16</f>
        <v>23.57</v>
      </c>
      <c r="J16" s="8">
        <f t="shared" si="0"/>
        <v>1244.52</v>
      </c>
      <c r="K16" s="8">
        <f t="shared" si="1"/>
        <v>4755.4799999999996</v>
      </c>
      <c r="L16" s="8">
        <f t="shared" si="2"/>
        <v>3050.3259740259823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5.76</v>
      </c>
      <c r="F17" s="9">
        <v>0</v>
      </c>
      <c r="G17" s="9">
        <v>0</v>
      </c>
      <c r="H17" s="8">
        <f>D17+F17+'11-11-21'!H17</f>
        <v>5352</v>
      </c>
      <c r="I17" s="8">
        <f>E17+G17+'11-11-21'!I17</f>
        <v>64.2</v>
      </c>
      <c r="J17" s="8">
        <f t="shared" si="0"/>
        <v>5416.2</v>
      </c>
      <c r="K17" s="8">
        <f t="shared" si="1"/>
        <v>5383.8</v>
      </c>
      <c r="L17" s="8">
        <f t="shared" si="2"/>
        <v>-2037.0974025973665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7046.1</v>
      </c>
      <c r="E18" s="7">
        <f t="shared" si="4"/>
        <v>84.51</v>
      </c>
      <c r="F18" s="7">
        <f t="shared" si="4"/>
        <v>2030.63</v>
      </c>
      <c r="G18" s="7">
        <f t="shared" si="4"/>
        <v>152.28</v>
      </c>
      <c r="H18" s="7">
        <f t="shared" si="4"/>
        <v>98019.12</v>
      </c>
      <c r="I18" s="7">
        <f t="shared" si="4"/>
        <v>2740.6899999999996</v>
      </c>
      <c r="J18" s="35">
        <f t="shared" si="4"/>
        <v>100759.80999999998</v>
      </c>
      <c r="K18" s="35">
        <f t="shared" si="4"/>
        <v>195640.62</v>
      </c>
      <c r="L18" s="7">
        <f t="shared" si="4"/>
        <v>57586.594610390282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 t="s">
        <v>77</v>
      </c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21.16</v>
      </c>
      <c r="E22" s="32">
        <v>0.25</v>
      </c>
      <c r="F22" s="32">
        <v>0</v>
      </c>
      <c r="G22" s="32">
        <v>0</v>
      </c>
      <c r="H22" s="8">
        <f>D22+F22+'11-11-21'!H22</f>
        <v>571.31999999999994</v>
      </c>
      <c r="I22" s="8">
        <f>E22+G22+'11-11-21'!I22</f>
        <v>6.83</v>
      </c>
      <c r="J22" s="8">
        <f t="shared" si="6"/>
        <v>578.15</v>
      </c>
      <c r="K22" s="8">
        <f t="shared" ref="K22:K23" si="8">C22-J22</f>
        <v>13374.85</v>
      </c>
      <c r="L22" s="8">
        <f t="shared" ref="L22:L23" si="9">C22-((J22/11)*26.0714285714285)</f>
        <v>12582.709415584419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220</v>
      </c>
      <c r="E23" s="32">
        <v>2.64</v>
      </c>
      <c r="F23" s="32">
        <v>0</v>
      </c>
      <c r="G23" s="32">
        <v>0</v>
      </c>
      <c r="H23" s="8">
        <f>D23+F23+'11-11-21'!H23</f>
        <v>1310</v>
      </c>
      <c r="I23" s="8">
        <f>E23+G23+'11-11-21'!I23</f>
        <v>15.71</v>
      </c>
      <c r="J23" s="8">
        <f t="shared" si="6"/>
        <v>1325.71</v>
      </c>
      <c r="K23" s="8">
        <f t="shared" si="8"/>
        <v>700.29</v>
      </c>
      <c r="L23" s="8">
        <f t="shared" si="9"/>
        <v>-1116.1048701298614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241.16</v>
      </c>
      <c r="E24" s="7">
        <f t="shared" si="10"/>
        <v>2.89</v>
      </c>
      <c r="F24" s="7">
        <f t="shared" si="10"/>
        <v>0</v>
      </c>
      <c r="G24" s="7">
        <f t="shared" si="10"/>
        <v>0</v>
      </c>
      <c r="H24" s="8">
        <f>D24+F24+'07-22-21'!H23</f>
        <v>241.16</v>
      </c>
      <c r="I24" s="8">
        <f>E24+G24+'07-22-21'!I23</f>
        <v>2.89</v>
      </c>
      <c r="J24" s="35">
        <f t="shared" si="10"/>
        <v>1903.8600000000001</v>
      </c>
      <c r="K24" s="7">
        <f t="shared" si="10"/>
        <v>14075.14</v>
      </c>
      <c r="L24" s="7">
        <f t="shared" si="10"/>
        <v>11466.604545454557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510</v>
      </c>
      <c r="E27" s="9">
        <v>6.12</v>
      </c>
      <c r="F27" s="9">
        <v>382.5</v>
      </c>
      <c r="G27" s="9">
        <v>28.68</v>
      </c>
      <c r="H27" s="8">
        <f>D27+F27+'11-11-21'!H27</f>
        <v>10817.25</v>
      </c>
      <c r="I27" s="8">
        <f>E27+G27+'11-11-21'!I27</f>
        <v>409.59000000000003</v>
      </c>
      <c r="J27" s="8">
        <f t="shared" ref="J27:J28" si="11">H27+I27</f>
        <v>11226.84</v>
      </c>
      <c r="K27" s="8">
        <f>C27-J27</f>
        <v>13773.16</v>
      </c>
      <c r="L27" s="8">
        <f>C27-((J27/11)*26.0714285714285)</f>
        <v>-1609.0688311687554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510</v>
      </c>
      <c r="E29" s="31">
        <f t="shared" si="14"/>
        <v>6.12</v>
      </c>
      <c r="F29" s="31">
        <f t="shared" si="14"/>
        <v>382.5</v>
      </c>
      <c r="G29" s="31">
        <f t="shared" si="14"/>
        <v>28.68</v>
      </c>
      <c r="H29" s="31">
        <f t="shared" si="14"/>
        <v>10817.25</v>
      </c>
      <c r="I29" s="31">
        <f t="shared" si="14"/>
        <v>409.59000000000003</v>
      </c>
      <c r="J29" s="31">
        <f t="shared" si="14"/>
        <v>11226.84</v>
      </c>
      <c r="K29" s="31">
        <f t="shared" si="14"/>
        <v>13773.16</v>
      </c>
      <c r="L29" s="31">
        <f t="shared" si="14"/>
        <v>-1609.0688311687554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7797.26</v>
      </c>
      <c r="E32" s="24">
        <f t="shared" si="15"/>
        <v>93.52000000000001</v>
      </c>
      <c r="F32" s="24">
        <f t="shared" si="15"/>
        <v>2413.13</v>
      </c>
      <c r="G32" s="24">
        <f t="shared" si="15"/>
        <v>180.96</v>
      </c>
      <c r="H32" s="24">
        <f t="shared" si="15"/>
        <v>109077.53</v>
      </c>
      <c r="I32" s="24">
        <f t="shared" si="15"/>
        <v>3153.1699999999996</v>
      </c>
      <c r="J32" s="24">
        <f t="shared" si="15"/>
        <v>113890.50999999998</v>
      </c>
      <c r="K32" s="24">
        <f t="shared" si="15"/>
        <v>223488.92</v>
      </c>
      <c r="L32" s="24">
        <f t="shared" si="15"/>
        <v>67444.13032467608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D35+F35+'11-11-21'!H35</f>
        <v>800.94</v>
      </c>
      <c r="I35" s="8">
        <f>E35+G35+'11-11-21'!I35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8" si="16">C35-((J35/11)*26.0714285714285)</f>
        <v>1147.9383506493562</v>
      </c>
      <c r="M35" s="76"/>
    </row>
    <row r="36" spans="1:13" s="59" customFormat="1" ht="11.25" customHeight="1" x14ac:dyDescent="0.25">
      <c r="A36" s="20" t="s">
        <v>117</v>
      </c>
      <c r="B36" s="105" t="s">
        <v>12</v>
      </c>
      <c r="C36" s="110">
        <v>900</v>
      </c>
      <c r="D36" s="8">
        <v>0</v>
      </c>
      <c r="E36" s="8">
        <v>0</v>
      </c>
      <c r="F36" s="8">
        <v>204</v>
      </c>
      <c r="G36" s="8">
        <v>15.3</v>
      </c>
      <c r="H36" s="8">
        <f>D36+F36+'11-11-21'!H36</f>
        <v>738</v>
      </c>
      <c r="I36" s="8">
        <f>E36+G36+'11-11-21'!I36</f>
        <v>55.349999999999994</v>
      </c>
      <c r="J36" s="8">
        <f t="shared" ref="J36:J58" si="17">H36+I36</f>
        <v>793.35</v>
      </c>
      <c r="K36" s="8">
        <f t="shared" ref="K36:K58" si="18">C36-J36</f>
        <v>106.64999999999998</v>
      </c>
      <c r="L36" s="8">
        <f t="shared" si="16"/>
        <v>-980.34253246752723</v>
      </c>
      <c r="M36" s="70"/>
    </row>
    <row r="37" spans="1:13" s="59" customFormat="1" ht="11.25" customHeight="1" x14ac:dyDescent="0.25">
      <c r="A37" s="20" t="s">
        <v>114</v>
      </c>
      <c r="B37" s="105" t="s">
        <v>12</v>
      </c>
      <c r="C37" s="110">
        <v>12000</v>
      </c>
      <c r="D37" s="8">
        <v>220</v>
      </c>
      <c r="E37" s="8">
        <v>2.64</v>
      </c>
      <c r="F37" s="8">
        <v>0</v>
      </c>
      <c r="G37" s="8">
        <v>0</v>
      </c>
      <c r="H37" s="8">
        <f>D37+F37+'11-11-21'!H37</f>
        <v>2237</v>
      </c>
      <c r="I37" s="8">
        <f>E37+G37+'11-11-21'!I37</f>
        <v>26.82</v>
      </c>
      <c r="J37" s="8">
        <f t="shared" si="17"/>
        <v>2263.8200000000002</v>
      </c>
      <c r="K37" s="8">
        <f t="shared" si="18"/>
        <v>9736.18</v>
      </c>
      <c r="L37" s="8">
        <f t="shared" si="16"/>
        <v>6634.4525974026119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D38+F38+'11-11-21'!H38</f>
        <v>0</v>
      </c>
      <c r="I38" s="8">
        <f>E38+G38+'11-11-21'!I38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D39+F39+'11-11-21'!H39</f>
        <v>36.659999999999997</v>
      </c>
      <c r="I39" s="8">
        <f>E39+G39+'11-11-21'!I39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-87.929432883116647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D40+F40+'11-11-21'!H40</f>
        <v>0</v>
      </c>
      <c r="I40" s="8">
        <f>E40+G40+'11-11-21'!I40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D41+F41+'11-11-21'!H41</f>
        <v>0</v>
      </c>
      <c r="I41" s="8">
        <f>E41+G41+'11-11-21'!I41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D42+F42+'11-11-21'!H42</f>
        <v>582.25</v>
      </c>
      <c r="I42" s="8">
        <f>E42+G42+'11-11-21'!I42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5313.4720779220816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D43+F43+'11-11-21'!H43</f>
        <v>3121.7</v>
      </c>
      <c r="I43" s="8">
        <f>E43+G43+'11-11-21'!I43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-4318.0601948051735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D44+F44+'11-11-21'!H44</f>
        <v>0</v>
      </c>
      <c r="I44" s="8">
        <f>E44+G44+'11-11-21'!I44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89.28</v>
      </c>
      <c r="E45" s="33">
        <v>1.07</v>
      </c>
      <c r="F45" s="33">
        <v>0</v>
      </c>
      <c r="G45" s="33">
        <v>0</v>
      </c>
      <c r="H45" s="8">
        <f>D45+F45+'11-11-21'!H45</f>
        <v>753.3</v>
      </c>
      <c r="I45" s="8">
        <f>E45+G45+'11-11-21'!I45</f>
        <v>9</v>
      </c>
      <c r="J45" s="8">
        <f t="shared" si="17"/>
        <v>762.3</v>
      </c>
      <c r="K45" s="92">
        <f t="shared" si="19"/>
        <v>4237.7</v>
      </c>
      <c r="L45" s="8">
        <f t="shared" si="16"/>
        <v>3193.2500000000055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204</v>
      </c>
      <c r="E46" s="32">
        <v>2.44</v>
      </c>
      <c r="F46" s="32">
        <v>297</v>
      </c>
      <c r="G46" s="32">
        <v>22.27</v>
      </c>
      <c r="H46" s="8">
        <f>D46+F46+'11-11-21'!H46</f>
        <v>3030</v>
      </c>
      <c r="I46" s="8">
        <f>E46+G46+'11-11-21'!I46</f>
        <v>157.66999999999999</v>
      </c>
      <c r="J46" s="8">
        <f t="shared" si="17"/>
        <v>3187.67</v>
      </c>
      <c r="K46" s="85">
        <f>C46-J46</f>
        <v>-1453.3199999999997</v>
      </c>
      <c r="L46" s="8">
        <f t="shared" si="16"/>
        <v>-5820.8418831168619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D47+F47+'11-11-21'!H47</f>
        <v>0</v>
      </c>
      <c r="I47" s="8">
        <f>E47+G47+'11-11-21'!I47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v>7700</v>
      </c>
      <c r="D48" s="33">
        <v>948.29</v>
      </c>
      <c r="E48" s="33">
        <v>11.37</v>
      </c>
      <c r="F48" s="33">
        <v>0</v>
      </c>
      <c r="G48" s="33">
        <v>0</v>
      </c>
      <c r="H48" s="8">
        <f>D48+F48+'11-11-21'!H48</f>
        <v>5354.01</v>
      </c>
      <c r="I48" s="8">
        <f>E48+G48+'11-11-21'!I48</f>
        <v>64.22</v>
      </c>
      <c r="J48" s="8">
        <f t="shared" si="17"/>
        <v>5418.2300000000005</v>
      </c>
      <c r="K48" s="8">
        <f>C48-J48</f>
        <v>2281.7699999999995</v>
      </c>
      <c r="L48" s="8">
        <f t="shared" si="16"/>
        <v>-5141.9087662337315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D49+F49+'11-11-21'!H49</f>
        <v>1754.38</v>
      </c>
      <c r="I49" s="8">
        <f>E49+G49+'11-11-21'!I49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-199.09642857141625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D50+F50+'11-11-21'!H50</f>
        <v>0</v>
      </c>
      <c r="I50" s="8">
        <f>E50+G50+'11-11-21'!I50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D51+F51+'11-11-21'!H51</f>
        <v>0</v>
      </c>
      <c r="I51" s="8">
        <f>E51+G51+'11-11-21'!I51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D52+F52+'11-11-21'!H52</f>
        <v>0</v>
      </c>
      <c r="I52" s="8">
        <f>E52+G52+'11-11-21'!I52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D53+F53+'11-11-21'!H53</f>
        <v>0</v>
      </c>
      <c r="I53" s="8">
        <f>E53+G53+'11-11-21'!I53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D54+F54+'11-11-21'!H54</f>
        <v>0</v>
      </c>
      <c r="I54" s="8">
        <f>E54+G54+'11-11-21'!I54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D55+F55+'11-11-21'!H55</f>
        <v>0</v>
      </c>
      <c r="I55" s="8">
        <f>E55+G55+'11-11-21'!I55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D56+F56+'11-11-21'!H56</f>
        <v>2.4</v>
      </c>
      <c r="I56" s="8">
        <f>E56+G56+'11-11-21'!I56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4187.4042857142858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D57+F57+'11-11-21'!H57</f>
        <v>2754</v>
      </c>
      <c r="I57" s="8">
        <f>E57+G57+'11-11-21'!I57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-2605.0798051947859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v>2600</v>
      </c>
      <c r="D58" s="62">
        <v>260.48</v>
      </c>
      <c r="E58" s="62">
        <v>3.12</v>
      </c>
      <c r="F58" s="62">
        <v>0</v>
      </c>
      <c r="G58" s="62">
        <v>0</v>
      </c>
      <c r="H58" s="8">
        <f>D58+F58+'11-11-21'!H58</f>
        <v>1834.0199999999998</v>
      </c>
      <c r="I58" s="8">
        <f>E58+G58+'11-11-21'!I58</f>
        <v>21.96</v>
      </c>
      <c r="J58" s="8">
        <f t="shared" si="17"/>
        <v>1855.9799999999998</v>
      </c>
      <c r="K58" s="8">
        <f t="shared" si="18"/>
        <v>744.02000000000021</v>
      </c>
      <c r="L58" s="8">
        <f t="shared" si="16"/>
        <v>-1798.9136363636235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52242.25</v>
      </c>
      <c r="D59" s="7"/>
      <c r="E59" s="7"/>
      <c r="F59" s="7"/>
      <c r="G59" s="7"/>
      <c r="H59" s="7">
        <f>SUM(H35:H54)</f>
        <v>18408.240000000002</v>
      </c>
      <c r="I59" s="7">
        <f>SUM(I35:I54)</f>
        <v>544.27259359999994</v>
      </c>
      <c r="J59" s="7">
        <f>SUM(J35:J54)</f>
        <v>18952.5125936</v>
      </c>
      <c r="K59" s="7">
        <f>SUM(K35:K54)</f>
        <v>33289.737406399996</v>
      </c>
      <c r="L59" s="7">
        <f>SUM(L35:L54)</f>
        <v>7322.3337878962284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1161.53</v>
      </c>
      <c r="E62" s="9">
        <v>13.93</v>
      </c>
      <c r="F62" s="9">
        <v>0</v>
      </c>
      <c r="G62" s="9">
        <v>0</v>
      </c>
      <c r="H62" s="8">
        <f>D62+F62+'11-11-21'!H62</f>
        <v>12235.800000000001</v>
      </c>
      <c r="I62" s="8">
        <f>E62+G62+'11-11-21'!I62</f>
        <v>215.89000000000001</v>
      </c>
      <c r="J62" s="8">
        <f t="shared" ref="J62:J63" si="21">H62+I62</f>
        <v>12451.69</v>
      </c>
      <c r="K62" s="8">
        <f>C62-J62</f>
        <v>50131.31</v>
      </c>
      <c r="L62" s="8">
        <f t="shared" ref="L62:L63" si="22">C62-((J62/11)*26.0714285714285)</f>
        <v>33070.877597402679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32">
        <v>0</v>
      </c>
      <c r="E63" s="32">
        <v>0</v>
      </c>
      <c r="F63" s="32">
        <v>0</v>
      </c>
      <c r="G63" s="32">
        <v>0</v>
      </c>
      <c r="H63" s="8">
        <f>D63+F63+'11-11-21'!H63</f>
        <v>0</v>
      </c>
      <c r="I63" s="8">
        <f>E63+G63+'11-11-21'!I63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1161.53</v>
      </c>
      <c r="E64" s="14">
        <f t="shared" si="23"/>
        <v>13.93</v>
      </c>
      <c r="F64" s="14">
        <f t="shared" si="23"/>
        <v>0</v>
      </c>
      <c r="G64" s="14">
        <f t="shared" si="23"/>
        <v>0</v>
      </c>
      <c r="H64" s="14">
        <f t="shared" si="23"/>
        <v>12235.800000000001</v>
      </c>
      <c r="I64" s="14">
        <f t="shared" si="23"/>
        <v>215.89000000000001</v>
      </c>
      <c r="J64" s="14">
        <f t="shared" si="23"/>
        <v>12451.69</v>
      </c>
      <c r="K64" s="14">
        <f t="shared" si="23"/>
        <v>50131.31</v>
      </c>
      <c r="L64" s="14">
        <f t="shared" si="23"/>
        <v>33070.877597402679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32">
        <v>0</v>
      </c>
      <c r="E67" s="32">
        <v>0</v>
      </c>
      <c r="F67" s="32">
        <v>0</v>
      </c>
      <c r="G67" s="32">
        <v>0</v>
      </c>
      <c r="H67" s="8">
        <f>D67+F67+'11-11-21'!H67</f>
        <v>336.26</v>
      </c>
      <c r="I67" s="8">
        <f>E67+G67+'11-11-21'!I67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C67-((J67/11)*26.0714285714285)</f>
        <v>36879.269155844158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36879.269155844158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115</v>
      </c>
      <c r="B83" s="122"/>
      <c r="C83" s="122"/>
      <c r="D83" s="122"/>
      <c r="E83" s="122"/>
      <c r="F83" s="122"/>
      <c r="G83" s="89">
        <v>900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</sheetData>
  <mergeCells count="36">
    <mergeCell ref="A82:F82"/>
    <mergeCell ref="M82:R82"/>
    <mergeCell ref="A83:F83"/>
    <mergeCell ref="M83:R83"/>
    <mergeCell ref="A84:F84"/>
    <mergeCell ref="M84:R84"/>
    <mergeCell ref="A79:F79"/>
    <mergeCell ref="M79:R79"/>
    <mergeCell ref="A80:F80"/>
    <mergeCell ref="M80:R80"/>
    <mergeCell ref="A81:F81"/>
    <mergeCell ref="M81:R81"/>
    <mergeCell ref="A76:F76"/>
    <mergeCell ref="M76:R76"/>
    <mergeCell ref="A77:F77"/>
    <mergeCell ref="M77:R77"/>
    <mergeCell ref="A78:F78"/>
    <mergeCell ref="M78:R78"/>
    <mergeCell ref="A73:F73"/>
    <mergeCell ref="M73:R73"/>
    <mergeCell ref="A74:F74"/>
    <mergeCell ref="M74:R74"/>
    <mergeCell ref="A75:F75"/>
    <mergeCell ref="M75:R75"/>
    <mergeCell ref="A70:F70"/>
    <mergeCell ref="M70:R70"/>
    <mergeCell ref="A71:F71"/>
    <mergeCell ref="M71:R71"/>
    <mergeCell ref="A72:F72"/>
    <mergeCell ref="M72:R72"/>
    <mergeCell ref="A68:B68"/>
    <mergeCell ref="A18:B18"/>
    <mergeCell ref="A24:B24"/>
    <mergeCell ref="A29:B29"/>
    <mergeCell ref="A32:B32"/>
    <mergeCell ref="A59:B59"/>
  </mergeCells>
  <pageMargins left="0.25" right="0" top="0.4" bottom="0" header="0.3" footer="0"/>
  <pageSetup scale="68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11BB-2EB9-4DDF-AC19-9083B8970C49}">
  <sheetPr>
    <pageSetUpPr fitToPage="1"/>
  </sheetPr>
  <dimension ref="A1:S86"/>
  <sheetViews>
    <sheetView zoomScale="145" zoomScaleNormal="145" workbookViewId="0">
      <pane ySplit="2" topLeftCell="A26" activePane="bottomLeft" state="frozen"/>
      <selection pane="bottomLeft" activeCell="L42" sqref="L42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126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150</v>
      </c>
      <c r="E3" s="32">
        <v>1.8</v>
      </c>
      <c r="F3" s="32">
        <v>0</v>
      </c>
      <c r="G3" s="32">
        <v>0</v>
      </c>
      <c r="H3" s="8">
        <f>D3+F3+'11-25-21'!H3</f>
        <v>1755</v>
      </c>
      <c r="I3" s="8">
        <f>E3+G3+'11-25-21'!I3</f>
        <v>21.05</v>
      </c>
      <c r="J3" s="8">
        <f>H3+I3</f>
        <v>1776.05</v>
      </c>
      <c r="K3" s="85">
        <f>C3-J3</f>
        <v>-776.05</v>
      </c>
      <c r="L3" s="8">
        <f>C3-((J3/12)*26.0714285714285)</f>
        <v>-2858.6800595237987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218.75</v>
      </c>
      <c r="E4" s="33">
        <v>2.62</v>
      </c>
      <c r="F4" s="33">
        <v>1643.76</v>
      </c>
      <c r="G4" s="33">
        <v>123.26</v>
      </c>
      <c r="H4" s="8">
        <f>D4+F4+'11-25-21'!H4</f>
        <v>22586.389999999996</v>
      </c>
      <c r="I4" s="8">
        <f>E4+G4+'11-25-21'!I4</f>
        <v>1597.95</v>
      </c>
      <c r="J4" s="8">
        <f t="shared" ref="J4:J17" si="0">H4+I4</f>
        <v>24184.339999999997</v>
      </c>
      <c r="K4" s="8">
        <f t="shared" ref="K4:K17" si="1">C4-J4</f>
        <v>41815.660000000003</v>
      </c>
      <c r="L4" s="8">
        <f t="shared" ref="L4:L17" si="2">C4-((J4/12)*26.0714285714285)</f>
        <v>13456.642261904912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D5+F5+'11-25-21'!H5</f>
        <v>0</v>
      </c>
      <c r="I5" s="8">
        <f>E5+G5+'11-25-21'!I5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82.5</v>
      </c>
      <c r="E6" s="8">
        <v>0.99</v>
      </c>
      <c r="F6" s="8">
        <v>0</v>
      </c>
      <c r="G6" s="8">
        <v>0</v>
      </c>
      <c r="H6" s="8">
        <f>D6+F6+'11-25-21'!H6</f>
        <v>2685</v>
      </c>
      <c r="I6" s="8">
        <f>E6+G6+'11-25-21'!I6</f>
        <v>32.200000000000003</v>
      </c>
      <c r="J6" s="8">
        <f t="shared" si="0"/>
        <v>2717.2</v>
      </c>
      <c r="K6" s="8">
        <f t="shared" si="1"/>
        <v>3732.8</v>
      </c>
      <c r="L6" s="8">
        <f t="shared" si="2"/>
        <v>546.55952380954113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812.42</v>
      </c>
      <c r="E7" s="41">
        <v>9.74</v>
      </c>
      <c r="F7" s="41">
        <v>0</v>
      </c>
      <c r="G7" s="41">
        <v>0</v>
      </c>
      <c r="H7" s="8">
        <f>D7+F7+'11-25-21'!H7</f>
        <v>9259.19</v>
      </c>
      <c r="I7" s="8">
        <f>E7+G7+'11-25-21'!I7</f>
        <v>110.99999999999993</v>
      </c>
      <c r="J7" s="8">
        <f t="shared" si="0"/>
        <v>9370.19</v>
      </c>
      <c r="K7" s="8">
        <f t="shared" si="1"/>
        <v>15278.81</v>
      </c>
      <c r="L7" s="8">
        <f t="shared" si="2"/>
        <v>4291.1467261905309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334.55</v>
      </c>
      <c r="E8" s="9">
        <v>4</v>
      </c>
      <c r="F8" s="9">
        <v>0</v>
      </c>
      <c r="G8" s="9">
        <v>0</v>
      </c>
      <c r="H8" s="8">
        <f>D8+F8+'11-25-21'!H8</f>
        <v>6277.02</v>
      </c>
      <c r="I8" s="8">
        <f>E8+G8+'11-25-21'!I8</f>
        <v>75.19</v>
      </c>
      <c r="J8" s="8">
        <f t="shared" si="0"/>
        <v>6352.21</v>
      </c>
      <c r="K8" s="8">
        <f t="shared" si="1"/>
        <v>11621.79</v>
      </c>
      <c r="L8" s="8">
        <f t="shared" si="2"/>
        <v>4173.0675595238499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f>105.69+852.06</f>
        <v>957.75</v>
      </c>
      <c r="E9" s="9">
        <f>1.26+10.21</f>
        <v>11.47</v>
      </c>
      <c r="F9" s="9">
        <v>0</v>
      </c>
      <c r="G9" s="9">
        <v>0</v>
      </c>
      <c r="H9" s="8">
        <f>D9+F9+'11-25-21'!H9</f>
        <v>7989.37</v>
      </c>
      <c r="I9" s="8">
        <f>E9+G9+'11-25-21'!I9</f>
        <v>167.18999999999997</v>
      </c>
      <c r="J9" s="8">
        <f t="shared" si="0"/>
        <v>8156.5599999999995</v>
      </c>
      <c r="K9" s="8">
        <f t="shared" si="1"/>
        <v>9817.44</v>
      </c>
      <c r="L9" s="8">
        <f t="shared" si="2"/>
        <v>252.9023809524333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169.28</v>
      </c>
      <c r="E10" s="32">
        <v>2.02</v>
      </c>
      <c r="F10" s="32">
        <v>0</v>
      </c>
      <c r="G10" s="32">
        <v>0</v>
      </c>
      <c r="H10" s="8">
        <f>D10+F10+'11-25-21'!H10</f>
        <v>931.04</v>
      </c>
      <c r="I10" s="8">
        <f>E10+G10+'11-25-21'!I10</f>
        <v>11.129999999999999</v>
      </c>
      <c r="J10" s="8">
        <f t="shared" si="0"/>
        <v>942.17</v>
      </c>
      <c r="K10" s="8">
        <f t="shared" si="1"/>
        <v>1166.83</v>
      </c>
      <c r="L10" s="8">
        <f t="shared" si="2"/>
        <v>62.023511904767702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f>173.91+732.74</f>
        <v>906.65</v>
      </c>
      <c r="E11" s="9">
        <f>2.08+8.79</f>
        <v>10.87</v>
      </c>
      <c r="F11" s="9">
        <v>0</v>
      </c>
      <c r="G11" s="9">
        <v>0</v>
      </c>
      <c r="H11" s="8">
        <f>D11+F11+'11-25-21'!H11</f>
        <v>8435.57</v>
      </c>
      <c r="I11" s="8">
        <f>E11+G11+'11-25-21'!I11</f>
        <v>194.02</v>
      </c>
      <c r="J11" s="8">
        <f t="shared" si="0"/>
        <v>8629.59</v>
      </c>
      <c r="K11" s="8">
        <f t="shared" si="1"/>
        <v>15700.41</v>
      </c>
      <c r="L11" s="8">
        <f t="shared" si="2"/>
        <v>5581.1883928571951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f>393.03+2278.66</f>
        <v>2671.6899999999996</v>
      </c>
      <c r="E12" s="8">
        <f>4.71+27.33</f>
        <v>32.04</v>
      </c>
      <c r="F12" s="8">
        <v>0</v>
      </c>
      <c r="G12" s="8">
        <v>0</v>
      </c>
      <c r="H12" s="8">
        <f>D12+F12+'11-25-21'!H12</f>
        <v>14595.129999999997</v>
      </c>
      <c r="I12" s="8">
        <f>E12+G12+'11-25-21'!I12</f>
        <v>252.99</v>
      </c>
      <c r="J12" s="8">
        <f t="shared" si="0"/>
        <v>14848.119999999997</v>
      </c>
      <c r="K12" s="8">
        <f t="shared" si="1"/>
        <v>18880.310000000005</v>
      </c>
      <c r="L12" s="8">
        <f t="shared" si="2"/>
        <v>1469.1216666667642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1258.22</v>
      </c>
      <c r="E13" s="8">
        <v>15.08</v>
      </c>
      <c r="F13" s="8">
        <v>0</v>
      </c>
      <c r="G13" s="8">
        <v>0</v>
      </c>
      <c r="H13" s="8">
        <f>D13+F13+'11-25-21'!H13</f>
        <v>18859.310000000001</v>
      </c>
      <c r="I13" s="8">
        <f>E13+G13+'11-25-21'!I13</f>
        <v>228.47</v>
      </c>
      <c r="J13" s="8">
        <f t="shared" si="0"/>
        <v>19087.780000000002</v>
      </c>
      <c r="K13" s="8">
        <f t="shared" si="1"/>
        <v>23653.219999999998</v>
      </c>
      <c r="L13" s="8">
        <f t="shared" si="2"/>
        <v>1270.5255952382067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494.75</v>
      </c>
      <c r="E14" s="9">
        <v>5.93</v>
      </c>
      <c r="F14" s="9">
        <v>0</v>
      </c>
      <c r="G14" s="9">
        <v>0</v>
      </c>
      <c r="H14" s="8">
        <f>D14+F14+'11-25-21'!H14</f>
        <v>6370.97</v>
      </c>
      <c r="I14" s="8">
        <f>E14+G14+'11-25-21'!I14</f>
        <v>76.37</v>
      </c>
      <c r="J14" s="8">
        <f t="shared" si="0"/>
        <v>6447.34</v>
      </c>
      <c r="K14" s="8">
        <f t="shared" si="1"/>
        <v>17725.66</v>
      </c>
      <c r="L14" s="8">
        <f t="shared" si="2"/>
        <v>10165.38630952385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1192.5</v>
      </c>
      <c r="G15" s="33">
        <v>89.43</v>
      </c>
      <c r="H15" s="8">
        <f>D15+F15+'11-25-21'!H15</f>
        <v>2595</v>
      </c>
      <c r="I15" s="8">
        <f>E15+G15+'11-25-21'!I15</f>
        <v>194.61</v>
      </c>
      <c r="J15" s="8">
        <f>H15+I15</f>
        <v>2789.61</v>
      </c>
      <c r="K15" s="8">
        <f>C15-J15</f>
        <v>12765.39</v>
      </c>
      <c r="L15" s="8">
        <f t="shared" si="2"/>
        <v>9494.2401785714464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149.55000000000001</v>
      </c>
      <c r="E16" s="9">
        <v>1.78</v>
      </c>
      <c r="F16" s="9">
        <v>0</v>
      </c>
      <c r="G16" s="9">
        <v>0</v>
      </c>
      <c r="H16" s="8">
        <f>D16+F16+'11-25-21'!H16</f>
        <v>1370.5</v>
      </c>
      <c r="I16" s="8">
        <f>E16+G16+'11-25-21'!I16</f>
        <v>25.35</v>
      </c>
      <c r="J16" s="8">
        <f t="shared" si="0"/>
        <v>1395.85</v>
      </c>
      <c r="K16" s="8">
        <f t="shared" si="1"/>
        <v>4604.1499999999996</v>
      </c>
      <c r="L16" s="8">
        <f t="shared" si="2"/>
        <v>2967.3497023809609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5.75</v>
      </c>
      <c r="F17" s="9">
        <v>0</v>
      </c>
      <c r="G17" s="9">
        <v>0</v>
      </c>
      <c r="H17" s="8">
        <f>D17+F17+'11-25-21'!H17</f>
        <v>5832</v>
      </c>
      <c r="I17" s="8">
        <f>E17+G17+'11-25-21'!I17</f>
        <v>69.95</v>
      </c>
      <c r="J17" s="8">
        <f t="shared" si="0"/>
        <v>5901.95</v>
      </c>
      <c r="K17" s="8">
        <f t="shared" si="1"/>
        <v>4898.05</v>
      </c>
      <c r="L17" s="8">
        <f t="shared" si="2"/>
        <v>-2022.6889880952021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8686.11</v>
      </c>
      <c r="E18" s="7">
        <f t="shared" si="4"/>
        <v>104.09</v>
      </c>
      <c r="F18" s="7">
        <f t="shared" si="4"/>
        <v>2836.26</v>
      </c>
      <c r="G18" s="7">
        <f t="shared" si="4"/>
        <v>212.69</v>
      </c>
      <c r="H18" s="7">
        <f t="shared" si="4"/>
        <v>109541.48999999999</v>
      </c>
      <c r="I18" s="7">
        <f t="shared" si="4"/>
        <v>3057.47</v>
      </c>
      <c r="J18" s="35">
        <f t="shared" si="4"/>
        <v>112598.95999999999</v>
      </c>
      <c r="K18" s="35">
        <f t="shared" si="4"/>
        <v>183801.47</v>
      </c>
      <c r="L18" s="7">
        <f t="shared" si="4"/>
        <v>51765.784761905459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 t="s">
        <v>77</v>
      </c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179.86</v>
      </c>
      <c r="E22" s="32">
        <v>2.15</v>
      </c>
      <c r="F22" s="32">
        <v>0</v>
      </c>
      <c r="G22" s="32">
        <v>0</v>
      </c>
      <c r="H22" s="8">
        <f>D22+F22+'11-25-21'!H22</f>
        <v>751.18</v>
      </c>
      <c r="I22" s="8">
        <f>E22+G22+'11-25-21'!I22</f>
        <v>8.98</v>
      </c>
      <c r="J22" s="8">
        <f t="shared" si="6"/>
        <v>760.16</v>
      </c>
      <c r="K22" s="8">
        <f t="shared" ref="K22:K23" si="8">C22-J22</f>
        <v>13192.84</v>
      </c>
      <c r="L22" s="8">
        <f t="shared" ref="L22:L23" si="9">C22-((J22/12)*26.0714285714285)</f>
        <v>12301.461904761909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202.5</v>
      </c>
      <c r="E23" s="32">
        <v>2.42</v>
      </c>
      <c r="F23" s="32">
        <v>0</v>
      </c>
      <c r="G23" s="32">
        <v>0</v>
      </c>
      <c r="H23" s="8">
        <f>D23+F23+'11-25-21'!H23</f>
        <v>1512.5</v>
      </c>
      <c r="I23" s="8">
        <f>E23+G23+'11-25-21'!I23</f>
        <v>18.130000000000003</v>
      </c>
      <c r="J23" s="8">
        <f t="shared" si="6"/>
        <v>1530.63</v>
      </c>
      <c r="K23" s="8">
        <f t="shared" si="8"/>
        <v>495.36999999999989</v>
      </c>
      <c r="L23" s="8">
        <f t="shared" si="9"/>
        <v>-1299.4758928571337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382.36</v>
      </c>
      <c r="E24" s="7">
        <f t="shared" si="10"/>
        <v>4.57</v>
      </c>
      <c r="F24" s="7">
        <f t="shared" si="10"/>
        <v>0</v>
      </c>
      <c r="G24" s="7">
        <f t="shared" si="10"/>
        <v>0</v>
      </c>
      <c r="H24" s="8">
        <f>D24+F24+'07-22-21'!H23</f>
        <v>382.36</v>
      </c>
      <c r="I24" s="8">
        <f>E24+G24+'07-22-21'!I23</f>
        <v>4.57</v>
      </c>
      <c r="J24" s="35">
        <f t="shared" si="10"/>
        <v>2290.79</v>
      </c>
      <c r="K24" s="7">
        <f t="shared" si="10"/>
        <v>13688.21</v>
      </c>
      <c r="L24" s="7">
        <f t="shared" si="10"/>
        <v>11001.986011904775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1065</v>
      </c>
      <c r="E27" s="9">
        <v>12.77</v>
      </c>
      <c r="F27" s="9">
        <v>517.5</v>
      </c>
      <c r="G27" s="9">
        <v>38.799999999999997</v>
      </c>
      <c r="H27" s="8">
        <f>D27+F27+'11-25-21'!H27</f>
        <v>12399.75</v>
      </c>
      <c r="I27" s="8">
        <f>E27+G27+'11-25-21'!I27</f>
        <v>461.16</v>
      </c>
      <c r="J27" s="8">
        <f t="shared" ref="J27:J28" si="11">H27+I27</f>
        <v>12860.91</v>
      </c>
      <c r="K27" s="8">
        <f>C27-J27</f>
        <v>12139.09</v>
      </c>
      <c r="L27" s="8">
        <f>C27-((J27/12)*26.0714285714285)</f>
        <v>-2941.8580357142091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1065</v>
      </c>
      <c r="E29" s="31">
        <f t="shared" si="14"/>
        <v>12.77</v>
      </c>
      <c r="F29" s="31">
        <f t="shared" si="14"/>
        <v>517.5</v>
      </c>
      <c r="G29" s="31">
        <f t="shared" si="14"/>
        <v>38.799999999999997</v>
      </c>
      <c r="H29" s="31">
        <f t="shared" si="14"/>
        <v>12399.75</v>
      </c>
      <c r="I29" s="31">
        <f t="shared" si="14"/>
        <v>461.16</v>
      </c>
      <c r="J29" s="31">
        <f t="shared" si="14"/>
        <v>12860.91</v>
      </c>
      <c r="K29" s="31">
        <f t="shared" si="14"/>
        <v>12139.09</v>
      </c>
      <c r="L29" s="31">
        <f t="shared" si="14"/>
        <v>-2941.8580357142091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10133.470000000001</v>
      </c>
      <c r="E32" s="24">
        <f t="shared" si="15"/>
        <v>121.42999999999999</v>
      </c>
      <c r="F32" s="24">
        <f t="shared" si="15"/>
        <v>3353.76</v>
      </c>
      <c r="G32" s="24">
        <f t="shared" si="15"/>
        <v>251.49</v>
      </c>
      <c r="H32" s="24">
        <f t="shared" si="15"/>
        <v>122323.59999999999</v>
      </c>
      <c r="I32" s="24">
        <f t="shared" si="15"/>
        <v>3523.2</v>
      </c>
      <c r="J32" s="24">
        <f t="shared" si="15"/>
        <v>127750.65999999999</v>
      </c>
      <c r="K32" s="24">
        <f t="shared" si="15"/>
        <v>209628.77</v>
      </c>
      <c r="L32" s="24">
        <f t="shared" si="15"/>
        <v>59825.912738096027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D35+F35+'11-25-21'!H35</f>
        <v>800.94</v>
      </c>
      <c r="I35" s="8">
        <f>E35+G35+'11-25-21'!I35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8" si="16">C35-((J35/12)*26.0714285714285)</f>
        <v>1318.4501547619097</v>
      </c>
      <c r="M35" s="76"/>
    </row>
    <row r="36" spans="1:13" s="59" customFormat="1" ht="11.25" customHeight="1" x14ac:dyDescent="0.25">
      <c r="A36" s="20" t="s">
        <v>117</v>
      </c>
      <c r="B36" s="105" t="s">
        <v>12</v>
      </c>
      <c r="C36" s="110">
        <v>900</v>
      </c>
      <c r="D36" s="8">
        <v>0</v>
      </c>
      <c r="E36" s="8">
        <v>0</v>
      </c>
      <c r="F36" s="8">
        <v>90</v>
      </c>
      <c r="G36" s="8">
        <v>6.75</v>
      </c>
      <c r="H36" s="8">
        <f>D36+F36+'11-25-21'!H36</f>
        <v>828</v>
      </c>
      <c r="I36" s="8">
        <f>E36+G36+'11-25-21'!I36</f>
        <v>62.099999999999994</v>
      </c>
      <c r="J36" s="8">
        <f t="shared" ref="J36:J58" si="17">H36+I36</f>
        <v>890.1</v>
      </c>
      <c r="K36" s="8">
        <f t="shared" ref="K36:K58" si="18">C36-J36</f>
        <v>9.8999999999999773</v>
      </c>
      <c r="L36" s="8">
        <f t="shared" si="16"/>
        <v>-1033.8482142857088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v>12000</v>
      </c>
      <c r="D37" s="8">
        <v>220</v>
      </c>
      <c r="E37" s="8">
        <v>2.63</v>
      </c>
      <c r="F37" s="8">
        <v>0</v>
      </c>
      <c r="G37" s="8">
        <v>0</v>
      </c>
      <c r="H37" s="8">
        <f>D37+F37+'11-25-21'!H37</f>
        <v>2457</v>
      </c>
      <c r="I37" s="8">
        <f>E37+G37+'11-25-21'!I37</f>
        <v>29.45</v>
      </c>
      <c r="J37" s="8">
        <f t="shared" si="17"/>
        <v>2486.4499999999998</v>
      </c>
      <c r="K37" s="8">
        <f t="shared" si="18"/>
        <v>9513.5499999999993</v>
      </c>
      <c r="L37" s="8">
        <f t="shared" si="16"/>
        <v>6597.8913690476347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D38+F38+'11-25-21'!H38</f>
        <v>0</v>
      </c>
      <c r="I38" s="8">
        <f>E38+G38+'11-25-21'!I38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D39+F39+'11-25-21'!H39</f>
        <v>36.659999999999997</v>
      </c>
      <c r="I39" s="8">
        <f>E39+G39+'11-25-21'!I39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-80.601980142856917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D40+F40+'11-25-21'!H40</f>
        <v>0</v>
      </c>
      <c r="I40" s="8">
        <f>E40+G40+'11-25-21'!I40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D41+F41+'11-25-21'!H41</f>
        <v>0</v>
      </c>
      <c r="I41" s="8">
        <f>E41+G41+'11-25-21'!I41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D42+F42+'11-25-21'!H42</f>
        <v>582.25</v>
      </c>
      <c r="I42" s="8">
        <f>E42+G42+'11-25-21'!I42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5429.8494047619079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D43+F43+'11-25-21'!H43</f>
        <v>3121.7</v>
      </c>
      <c r="I43" s="8">
        <f>E43+G43+'11-25-21'!I43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-3695.5910119047426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D44+F44+'11-25-21'!H44</f>
        <v>0</v>
      </c>
      <c r="I44" s="8">
        <f>E44+G44+'11-25-21'!I44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133.91999999999999</v>
      </c>
      <c r="E45" s="33">
        <v>1.6</v>
      </c>
      <c r="F45" s="33">
        <v>0</v>
      </c>
      <c r="G45" s="33">
        <v>0</v>
      </c>
      <c r="H45" s="8">
        <f>D45+F45+'11-25-21'!H45</f>
        <v>887.21999999999991</v>
      </c>
      <c r="I45" s="8">
        <f>E45+G45+'11-25-21'!I45</f>
        <v>10.6</v>
      </c>
      <c r="J45" s="8">
        <f t="shared" si="17"/>
        <v>897.81999999999994</v>
      </c>
      <c r="K45" s="92">
        <f t="shared" si="19"/>
        <v>4102.18</v>
      </c>
      <c r="L45" s="8">
        <f t="shared" si="16"/>
        <v>3049.3791666666721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84</v>
      </c>
      <c r="E46" s="32">
        <v>1</v>
      </c>
      <c r="F46" s="32">
        <v>504</v>
      </c>
      <c r="G46" s="32">
        <v>37.799999999999997</v>
      </c>
      <c r="H46" s="8">
        <f>D46+F46+'11-25-21'!H46</f>
        <v>3618</v>
      </c>
      <c r="I46" s="8">
        <f>E46+G46+'11-25-21'!I46</f>
        <v>196.46999999999997</v>
      </c>
      <c r="J46" s="8">
        <f t="shared" si="17"/>
        <v>3814.47</v>
      </c>
      <c r="K46" s="85">
        <f>C46-J46</f>
        <v>-2080.1199999999994</v>
      </c>
      <c r="L46" s="8">
        <f t="shared" si="16"/>
        <v>-6553.0401785714057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D47+F47+'11-25-21'!H47</f>
        <v>0</v>
      </c>
      <c r="I47" s="8">
        <f>E47+G47+'11-25-21'!I47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3">
        <v>712.68</v>
      </c>
      <c r="E48" s="33">
        <v>8.5500000000000007</v>
      </c>
      <c r="F48" s="33">
        <v>0</v>
      </c>
      <c r="G48" s="33">
        <v>0</v>
      </c>
      <c r="H48" s="8">
        <f>D48+F48+'11-25-21'!H48</f>
        <v>6066.6900000000005</v>
      </c>
      <c r="I48" s="8">
        <f>E48+G48+'11-25-21'!I48</f>
        <v>72.77</v>
      </c>
      <c r="J48" s="8">
        <f t="shared" si="17"/>
        <v>6139.4600000000009</v>
      </c>
      <c r="K48" s="8">
        <f>C48-J48</f>
        <v>13060.539999999999</v>
      </c>
      <c r="L48" s="8">
        <f t="shared" si="16"/>
        <v>5861.2922619047986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D49+F49+'11-25-21'!H49</f>
        <v>1754.38</v>
      </c>
      <c r="I49" s="8">
        <f>E49+G49+'11-25-21'!I49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173.39910714286907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D50+F50+'11-25-21'!H50</f>
        <v>0</v>
      </c>
      <c r="I50" s="8">
        <f>E50+G50+'11-25-21'!I50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D51+F51+'11-25-21'!H51</f>
        <v>0</v>
      </c>
      <c r="I51" s="8">
        <f>E51+G51+'11-25-21'!I51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D52+F52+'11-25-21'!H52</f>
        <v>0</v>
      </c>
      <c r="I52" s="8">
        <f>E52+G52+'11-25-21'!I52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D53+F53+'11-25-21'!H53</f>
        <v>0</v>
      </c>
      <c r="I53" s="8">
        <f>E53+G53+'11-25-21'!I53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D54+F54+'11-25-21'!H54</f>
        <v>0</v>
      </c>
      <c r="I54" s="8">
        <f>E54+G54+'11-25-21'!I54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D55+F55+'11-25-21'!H55</f>
        <v>0</v>
      </c>
      <c r="I55" s="8">
        <f>E55+G55+'11-25-21'!I55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D56+F56+'11-25-21'!H56</f>
        <v>2.4</v>
      </c>
      <c r="I56" s="8">
        <f>E56+G56+'11-25-21'!I56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4187.8822619047623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D57+F57+'11-25-21'!H57</f>
        <v>2754</v>
      </c>
      <c r="I57" s="8">
        <f>E57+G57+'11-25-21'!I57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-2038.5614880952207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f>2600+2600</f>
        <v>5200</v>
      </c>
      <c r="D58" s="62">
        <v>224.96</v>
      </c>
      <c r="E58" s="62">
        <v>2.69</v>
      </c>
      <c r="F58" s="62">
        <v>0</v>
      </c>
      <c r="G58" s="62">
        <v>0</v>
      </c>
      <c r="H58" s="8">
        <f>D58+F58+'11-25-21'!H58</f>
        <v>2058.9799999999996</v>
      </c>
      <c r="I58" s="8">
        <f>E58+G58+'11-25-21'!I58</f>
        <v>24.650000000000002</v>
      </c>
      <c r="J58" s="8">
        <f t="shared" si="17"/>
        <v>2083.6299999999997</v>
      </c>
      <c r="K58" s="8">
        <f t="shared" si="18"/>
        <v>3116.3700000000003</v>
      </c>
      <c r="L58" s="8">
        <f t="shared" si="16"/>
        <v>673.06577380953786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63742.25</v>
      </c>
      <c r="D59" s="7"/>
      <c r="E59" s="7"/>
      <c r="F59" s="7"/>
      <c r="G59" s="7"/>
      <c r="H59" s="7">
        <f>SUM(H35:H54)</f>
        <v>20152.84</v>
      </c>
      <c r="I59" s="7">
        <f>SUM(I35:I54)</f>
        <v>602.60259359999986</v>
      </c>
      <c r="J59" s="7">
        <f>SUM(J35:J54)</f>
        <v>20755.442593600001</v>
      </c>
      <c r="K59" s="7">
        <f>SUM(K35:K54)</f>
        <v>42986.807406400003</v>
      </c>
      <c r="L59" s="7">
        <f>SUM(L35:L54)</f>
        <v>18648.580079381078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1042.69</v>
      </c>
      <c r="E62" s="9">
        <v>12.5</v>
      </c>
      <c r="F62" s="9">
        <v>0</v>
      </c>
      <c r="G62" s="9">
        <v>0</v>
      </c>
      <c r="H62" s="8">
        <f>D62+F62+'11-25-21'!H62</f>
        <v>13278.490000000002</v>
      </c>
      <c r="I62" s="8">
        <f>E62+G62+'11-25-21'!I62</f>
        <v>228.39000000000001</v>
      </c>
      <c r="J62" s="8">
        <f t="shared" ref="J62:J63" si="21">H62+I62</f>
        <v>13506.880000000001</v>
      </c>
      <c r="K62" s="8">
        <f>C62-J62</f>
        <v>49076.119999999995</v>
      </c>
      <c r="L62" s="8">
        <f t="shared" ref="L62:L63" si="22">C62-((J62/12)*26.0714285714285)</f>
        <v>33237.695238095315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32">
        <v>0</v>
      </c>
      <c r="E63" s="32">
        <v>0</v>
      </c>
      <c r="F63" s="32">
        <v>0</v>
      </c>
      <c r="G63" s="32">
        <v>0</v>
      </c>
      <c r="H63" s="8">
        <f>D63+F63+'11-25-21'!H63</f>
        <v>0</v>
      </c>
      <c r="I63" s="8">
        <f>E63+G63+'11-25-21'!I63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1042.69</v>
      </c>
      <c r="E64" s="14">
        <f t="shared" si="23"/>
        <v>12.5</v>
      </c>
      <c r="F64" s="14">
        <f t="shared" si="23"/>
        <v>0</v>
      </c>
      <c r="G64" s="14">
        <f t="shared" si="23"/>
        <v>0</v>
      </c>
      <c r="H64" s="14">
        <f t="shared" si="23"/>
        <v>13278.490000000002</v>
      </c>
      <c r="I64" s="14">
        <f t="shared" si="23"/>
        <v>228.39000000000001</v>
      </c>
      <c r="J64" s="14">
        <f t="shared" si="23"/>
        <v>13506.880000000001</v>
      </c>
      <c r="K64" s="14">
        <f t="shared" si="23"/>
        <v>49076.119999999995</v>
      </c>
      <c r="L64" s="14">
        <f t="shared" si="23"/>
        <v>33237.695238095315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32">
        <v>0</v>
      </c>
      <c r="E67" s="32">
        <v>0</v>
      </c>
      <c r="F67" s="32">
        <v>0</v>
      </c>
      <c r="G67" s="32">
        <v>0</v>
      </c>
      <c r="H67" s="8">
        <f>D67+F67+'11-25-21'!H67</f>
        <v>336.26</v>
      </c>
      <c r="I67" s="8">
        <f>E67+G67+'11-25-21'!I67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C67-((J67/12)*26.0714285714285)</f>
        <v>36950.663392857146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36950.663392857146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116</v>
      </c>
      <c r="B83" s="122"/>
      <c r="C83" s="122"/>
      <c r="D83" s="122"/>
      <c r="E83" s="122"/>
      <c r="F83" s="122"/>
      <c r="G83" s="89">
        <v>12000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123</v>
      </c>
      <c r="B84" s="122"/>
      <c r="C84" s="122"/>
      <c r="D84" s="122"/>
      <c r="E84" s="122"/>
      <c r="F84" s="122"/>
      <c r="G84" s="89">
        <v>900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124</v>
      </c>
      <c r="B85" s="122"/>
      <c r="C85" s="122"/>
      <c r="D85" s="122"/>
      <c r="E85" s="122"/>
      <c r="F85" s="122"/>
      <c r="G85" s="89">
        <v>11500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125</v>
      </c>
      <c r="B86" s="122"/>
      <c r="C86" s="122"/>
      <c r="D86" s="122"/>
      <c r="E86" s="122"/>
      <c r="F86" s="122"/>
      <c r="G86" s="89">
        <v>2600</v>
      </c>
      <c r="M86" s="121"/>
      <c r="N86" s="121"/>
      <c r="O86" s="121"/>
      <c r="P86" s="121"/>
      <c r="Q86" s="121"/>
      <c r="R86" s="121"/>
    </row>
  </sheetData>
  <mergeCells count="40">
    <mergeCell ref="A86:F86"/>
    <mergeCell ref="M86:R86"/>
    <mergeCell ref="A84:F84"/>
    <mergeCell ref="M84:R84"/>
    <mergeCell ref="A85:F85"/>
    <mergeCell ref="M85:R85"/>
    <mergeCell ref="A82:F82"/>
    <mergeCell ref="M82:R82"/>
    <mergeCell ref="A83:F83"/>
    <mergeCell ref="M83:R83"/>
    <mergeCell ref="A79:F79"/>
    <mergeCell ref="M79:R79"/>
    <mergeCell ref="A80:F80"/>
    <mergeCell ref="M80:R80"/>
    <mergeCell ref="A81:F81"/>
    <mergeCell ref="M81:R81"/>
    <mergeCell ref="A76:F76"/>
    <mergeCell ref="M76:R76"/>
    <mergeCell ref="A77:F77"/>
    <mergeCell ref="M77:R77"/>
    <mergeCell ref="A78:F78"/>
    <mergeCell ref="M78:R78"/>
    <mergeCell ref="A73:F73"/>
    <mergeCell ref="M73:R73"/>
    <mergeCell ref="A74:F74"/>
    <mergeCell ref="M74:R74"/>
    <mergeCell ref="A75:F75"/>
    <mergeCell ref="M75:R75"/>
    <mergeCell ref="A70:F70"/>
    <mergeCell ref="M70:R70"/>
    <mergeCell ref="A71:F71"/>
    <mergeCell ref="M71:R71"/>
    <mergeCell ref="A72:F72"/>
    <mergeCell ref="M72:R72"/>
    <mergeCell ref="A68:B68"/>
    <mergeCell ref="A18:B18"/>
    <mergeCell ref="A24:B24"/>
    <mergeCell ref="A29:B29"/>
    <mergeCell ref="A32:B32"/>
    <mergeCell ref="A59:B59"/>
  </mergeCells>
  <pageMargins left="0.25" right="0" top="0.4" bottom="0" header="0.3" footer="0"/>
  <pageSetup scale="68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3005-BF92-4C28-890D-32C31D9EB28D}">
  <sheetPr>
    <pageSetUpPr fitToPage="1"/>
  </sheetPr>
  <dimension ref="A1:S86"/>
  <sheetViews>
    <sheetView zoomScale="145" zoomScaleNormal="145" workbookViewId="0">
      <pane ySplit="2" topLeftCell="A3" activePane="bottomLeft" state="frozen"/>
      <selection pane="bottomLeft" activeCell="L5" sqref="L5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127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0</v>
      </c>
      <c r="E3" s="32">
        <v>0</v>
      </c>
      <c r="F3" s="32">
        <v>0</v>
      </c>
      <c r="G3" s="32">
        <v>0</v>
      </c>
      <c r="H3" s="8">
        <f>D3+F3+'12-09-21'!H3</f>
        <v>1755</v>
      </c>
      <c r="I3" s="8">
        <f>E3+G3+'12-09-21'!I3</f>
        <v>21.05</v>
      </c>
      <c r="J3" s="8">
        <f>H3+I3</f>
        <v>1776.05</v>
      </c>
      <c r="K3" s="85">
        <f>C3-J3</f>
        <v>-776.05</v>
      </c>
      <c r="L3" s="8">
        <f>C3-((J3/13)*26.0714285714285)</f>
        <v>-2561.8585164835063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381.25</v>
      </c>
      <c r="E4" s="33">
        <v>4.57</v>
      </c>
      <c r="F4" s="33">
        <v>2271.89</v>
      </c>
      <c r="G4" s="33">
        <v>170.39</v>
      </c>
      <c r="H4" s="8">
        <f>D4+F4+'12-09-21'!H4</f>
        <v>25239.529999999995</v>
      </c>
      <c r="I4" s="8">
        <f>E4+G4+'12-09-21'!I4</f>
        <v>1772.91</v>
      </c>
      <c r="J4" s="8">
        <f t="shared" ref="J4:J17" si="0">H4+I4</f>
        <v>27012.439999999995</v>
      </c>
      <c r="K4" s="8">
        <f t="shared" ref="K4:K17" si="1">C4-J4</f>
        <v>38987.560000000005</v>
      </c>
      <c r="L4" s="8">
        <f t="shared" ref="L4:L17" si="2">C4-((J4/13)*26.0714285714285)</f>
        <v>11826.700000000164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D5+F5+'12-09-21'!H5</f>
        <v>0</v>
      </c>
      <c r="I5" s="8">
        <f>E5+G5+'12-09-21'!I5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285</v>
      </c>
      <c r="E6" s="8">
        <v>3.42</v>
      </c>
      <c r="F6" s="8">
        <v>0</v>
      </c>
      <c r="G6" s="8">
        <v>0</v>
      </c>
      <c r="H6" s="8">
        <f>D6+F6+'12-09-21'!H6</f>
        <v>2970</v>
      </c>
      <c r="I6" s="8">
        <f>E6+G6+'12-09-21'!I6</f>
        <v>35.620000000000005</v>
      </c>
      <c r="J6" s="8">
        <f t="shared" si="0"/>
        <v>3005.62</v>
      </c>
      <c r="K6" s="8">
        <f t="shared" si="1"/>
        <v>3444.38</v>
      </c>
      <c r="L6" s="8">
        <f t="shared" si="2"/>
        <v>422.24560439562083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729.9</v>
      </c>
      <c r="E7" s="41">
        <v>8.75</v>
      </c>
      <c r="F7" s="41">
        <v>0</v>
      </c>
      <c r="G7" s="41">
        <v>0</v>
      </c>
      <c r="H7" s="8">
        <f>D7+F7+'12-09-21'!H7</f>
        <v>9989.09</v>
      </c>
      <c r="I7" s="8">
        <f>E7+G7+'12-09-21'!I7</f>
        <v>119.74999999999993</v>
      </c>
      <c r="J7" s="8">
        <f t="shared" si="0"/>
        <v>10108.84</v>
      </c>
      <c r="K7" s="8">
        <f t="shared" si="1"/>
        <v>14540.16</v>
      </c>
      <c r="L7" s="8">
        <f t="shared" si="2"/>
        <v>4375.7769230769773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503.31</v>
      </c>
      <c r="E8" s="9">
        <v>6.03</v>
      </c>
      <c r="F8" s="9">
        <v>0</v>
      </c>
      <c r="G8" s="9">
        <v>0</v>
      </c>
      <c r="H8" s="8">
        <f>D8+F8+'12-09-21'!H8</f>
        <v>6780.3300000000008</v>
      </c>
      <c r="I8" s="8">
        <f>E8+G8+'12-09-21'!I8</f>
        <v>81.22</v>
      </c>
      <c r="J8" s="8">
        <f t="shared" si="0"/>
        <v>6861.5500000000011</v>
      </c>
      <c r="K8" s="8">
        <f t="shared" si="1"/>
        <v>11112.449999999999</v>
      </c>
      <c r="L8" s="8">
        <f t="shared" si="2"/>
        <v>4213.1991758242111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533.78</v>
      </c>
      <c r="E9" s="9">
        <v>6.4</v>
      </c>
      <c r="F9" s="9">
        <v>0</v>
      </c>
      <c r="G9" s="9">
        <v>0</v>
      </c>
      <c r="H9" s="8">
        <f>D9+F9+'12-09-21'!H9</f>
        <v>8523.15</v>
      </c>
      <c r="I9" s="8">
        <f>E9+G9+'12-09-21'!I9</f>
        <v>173.58999999999997</v>
      </c>
      <c r="J9" s="8">
        <f t="shared" si="0"/>
        <v>8696.74</v>
      </c>
      <c r="K9" s="8">
        <f t="shared" si="1"/>
        <v>9277.26</v>
      </c>
      <c r="L9" s="8">
        <f t="shared" si="2"/>
        <v>532.73571428576179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D10+F10+'12-09-21'!H10</f>
        <v>931.04</v>
      </c>
      <c r="I10" s="8">
        <f>E10+G10+'12-09-21'!I10</f>
        <v>11.129999999999999</v>
      </c>
      <c r="J10" s="8">
        <f t="shared" si="0"/>
        <v>942.17</v>
      </c>
      <c r="K10" s="8">
        <f t="shared" si="1"/>
        <v>1166.83</v>
      </c>
      <c r="L10" s="8">
        <f t="shared" si="2"/>
        <v>219.48324175824723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752.88</v>
      </c>
      <c r="E11" s="9">
        <v>9.0299999999999994</v>
      </c>
      <c r="F11" s="9">
        <v>0</v>
      </c>
      <c r="G11" s="9">
        <v>0</v>
      </c>
      <c r="H11" s="8">
        <f>D11+F11+'12-09-21'!H11</f>
        <v>9188.4499999999989</v>
      </c>
      <c r="I11" s="8">
        <f>E11+G11+'12-09-21'!I11</f>
        <v>203.05</v>
      </c>
      <c r="J11" s="8">
        <f t="shared" si="0"/>
        <v>9391.4999999999982</v>
      </c>
      <c r="K11" s="8">
        <f t="shared" si="1"/>
        <v>14938.500000000002</v>
      </c>
      <c r="L11" s="8">
        <f t="shared" si="2"/>
        <v>5495.3983516484077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f>114.67+2041.9</f>
        <v>2156.5700000000002</v>
      </c>
      <c r="E12" s="8">
        <f>1.37+24.5</f>
        <v>25.87</v>
      </c>
      <c r="F12" s="8">
        <v>0</v>
      </c>
      <c r="G12" s="8">
        <v>0</v>
      </c>
      <c r="H12" s="8">
        <f>D12+F12+'12-09-21'!H12</f>
        <v>16751.699999999997</v>
      </c>
      <c r="I12" s="8">
        <f>E12+G12+'12-09-21'!I12</f>
        <v>278.86</v>
      </c>
      <c r="J12" s="8">
        <f t="shared" si="0"/>
        <v>17030.559999999998</v>
      </c>
      <c r="K12" s="8">
        <f t="shared" si="1"/>
        <v>16697.870000000003</v>
      </c>
      <c r="L12" s="8">
        <f t="shared" si="2"/>
        <v>-426.26450549440779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1207.1400000000001</v>
      </c>
      <c r="E13" s="8">
        <v>14.48</v>
      </c>
      <c r="F13" s="8">
        <v>0</v>
      </c>
      <c r="G13" s="8">
        <v>0</v>
      </c>
      <c r="H13" s="8">
        <f>D13+F13+'12-09-21'!H13</f>
        <v>20066.45</v>
      </c>
      <c r="I13" s="8">
        <f>E13+G13+'12-09-21'!I13</f>
        <v>242.95</v>
      </c>
      <c r="J13" s="8">
        <f t="shared" si="0"/>
        <v>20309.400000000001</v>
      </c>
      <c r="K13" s="8">
        <f t="shared" si="1"/>
        <v>22431.599999999999</v>
      </c>
      <c r="L13" s="8">
        <f t="shared" si="2"/>
        <v>2010.6098901100049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347.42</v>
      </c>
      <c r="E14" s="9">
        <v>4.16</v>
      </c>
      <c r="F14" s="9">
        <v>0</v>
      </c>
      <c r="G14" s="9">
        <v>0</v>
      </c>
      <c r="H14" s="8">
        <f>D14+F14+'12-09-21'!H14</f>
        <v>6718.39</v>
      </c>
      <c r="I14" s="8">
        <f>E14+G14+'12-09-21'!I14</f>
        <v>80.53</v>
      </c>
      <c r="J14" s="8">
        <f t="shared" si="0"/>
        <v>6798.92</v>
      </c>
      <c r="K14" s="8">
        <f t="shared" si="1"/>
        <v>17374.080000000002</v>
      </c>
      <c r="L14" s="8">
        <f t="shared" si="2"/>
        <v>10537.803296703336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885</v>
      </c>
      <c r="G15" s="33">
        <v>66.37</v>
      </c>
      <c r="H15" s="8">
        <f>D15+F15+'12-09-21'!H15</f>
        <v>3480</v>
      </c>
      <c r="I15" s="8">
        <f>E15+G15+'12-09-21'!I15</f>
        <v>260.98</v>
      </c>
      <c r="J15" s="8">
        <f>H15+I15</f>
        <v>3740.98</v>
      </c>
      <c r="K15" s="8">
        <f>C15-J15</f>
        <v>11814.02</v>
      </c>
      <c r="L15" s="8">
        <f t="shared" si="2"/>
        <v>8052.485164835186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278.62</v>
      </c>
      <c r="E16" s="9">
        <v>3.33</v>
      </c>
      <c r="F16" s="9">
        <v>0</v>
      </c>
      <c r="G16" s="9">
        <v>0</v>
      </c>
      <c r="H16" s="8">
        <f>D16+F16+'12-09-21'!H16</f>
        <v>1649.12</v>
      </c>
      <c r="I16" s="8">
        <f>E16+G16+'12-09-21'!I16</f>
        <v>28.68</v>
      </c>
      <c r="J16" s="8">
        <f t="shared" si="0"/>
        <v>1677.8</v>
      </c>
      <c r="K16" s="8">
        <f t="shared" si="1"/>
        <v>4322.2</v>
      </c>
      <c r="L16" s="8">
        <f t="shared" si="2"/>
        <v>2635.1813186813283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240</v>
      </c>
      <c r="E17" s="9">
        <v>2.88</v>
      </c>
      <c r="F17" s="9">
        <v>0</v>
      </c>
      <c r="G17" s="9">
        <v>0</v>
      </c>
      <c r="H17" s="8">
        <f>D17+F17+'12-09-21'!H17</f>
        <v>6072</v>
      </c>
      <c r="I17" s="8">
        <f>E17+G17+'12-09-21'!I17</f>
        <v>72.83</v>
      </c>
      <c r="J17" s="8">
        <f t="shared" si="0"/>
        <v>6144.83</v>
      </c>
      <c r="K17" s="8">
        <f t="shared" si="1"/>
        <v>4655.17</v>
      </c>
      <c r="L17" s="8">
        <f t="shared" si="2"/>
        <v>-1523.4228021977669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7415.8700000000008</v>
      </c>
      <c r="E18" s="7">
        <f t="shared" si="4"/>
        <v>88.92</v>
      </c>
      <c r="F18" s="7">
        <f t="shared" si="4"/>
        <v>3156.89</v>
      </c>
      <c r="G18" s="7">
        <f t="shared" si="4"/>
        <v>236.76</v>
      </c>
      <c r="H18" s="7">
        <f t="shared" si="4"/>
        <v>120114.24999999999</v>
      </c>
      <c r="I18" s="7">
        <f t="shared" si="4"/>
        <v>3383.15</v>
      </c>
      <c r="J18" s="35">
        <f t="shared" si="4"/>
        <v>123497.4</v>
      </c>
      <c r="K18" s="35">
        <f t="shared" si="4"/>
        <v>172903.03000000003</v>
      </c>
      <c r="L18" s="7">
        <f t="shared" si="4"/>
        <v>48727.072857143568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D22+F22+'12-09-21'!H22</f>
        <v>751.18</v>
      </c>
      <c r="I22" s="8">
        <f>E22+G22+'12-09-21'!I22</f>
        <v>8.98</v>
      </c>
      <c r="J22" s="8">
        <f t="shared" si="6"/>
        <v>760.16</v>
      </c>
      <c r="K22" s="8">
        <f t="shared" ref="K22:K23" si="8">C22-J22</f>
        <v>13192.84</v>
      </c>
      <c r="L22" s="8">
        <f t="shared" ref="L22:L23" si="9">C22-((J22/13)*26.0714285714285)</f>
        <v>12428.5032967033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155</v>
      </c>
      <c r="E23" s="32">
        <v>1.86</v>
      </c>
      <c r="F23" s="32">
        <v>0</v>
      </c>
      <c r="G23" s="32">
        <v>0</v>
      </c>
      <c r="H23" s="8">
        <f>D23+F23+'12-09-21'!H23</f>
        <v>1667.5</v>
      </c>
      <c r="I23" s="8">
        <f>E23+G23+'12-09-21'!I23</f>
        <v>19.990000000000002</v>
      </c>
      <c r="J23" s="8">
        <f t="shared" si="6"/>
        <v>1687.49</v>
      </c>
      <c r="K23" s="8">
        <f t="shared" si="8"/>
        <v>338.51</v>
      </c>
      <c r="L23" s="8">
        <f t="shared" si="9"/>
        <v>-1358.251923076914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155</v>
      </c>
      <c r="E24" s="7">
        <f t="shared" si="10"/>
        <v>1.86</v>
      </c>
      <c r="F24" s="7">
        <f t="shared" si="10"/>
        <v>0</v>
      </c>
      <c r="G24" s="7">
        <f t="shared" si="10"/>
        <v>0</v>
      </c>
      <c r="H24" s="8">
        <f>D24+F24+'07-22-21'!H23</f>
        <v>155</v>
      </c>
      <c r="I24" s="8">
        <f>E24+G24+'07-22-21'!I23</f>
        <v>1.86</v>
      </c>
      <c r="J24" s="35">
        <f t="shared" si="10"/>
        <v>2447.65</v>
      </c>
      <c r="K24" s="7">
        <f t="shared" si="10"/>
        <v>13531.35</v>
      </c>
      <c r="L24" s="7">
        <f t="shared" si="10"/>
        <v>11070.251373626386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2415</v>
      </c>
      <c r="E27" s="9">
        <v>28.98</v>
      </c>
      <c r="F27" s="9">
        <v>585</v>
      </c>
      <c r="G27" s="9">
        <v>43.87</v>
      </c>
      <c r="H27" s="8">
        <f>D27+F27+'12-09-21'!H27</f>
        <v>15399.75</v>
      </c>
      <c r="I27" s="8">
        <f>E27+G27+'12-09-21'!I27</f>
        <v>534.01</v>
      </c>
      <c r="J27" s="8">
        <f t="shared" ref="J27:J28" si="11">H27+I27</f>
        <v>15933.76</v>
      </c>
      <c r="K27" s="8">
        <f>C27-J27</f>
        <v>9066.24</v>
      </c>
      <c r="L27" s="8">
        <f>C27-((J27/13)*26.0714285714285)</f>
        <v>-6955.0681318680436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2415</v>
      </c>
      <c r="E29" s="31">
        <f t="shared" si="14"/>
        <v>28.98</v>
      </c>
      <c r="F29" s="31">
        <f t="shared" si="14"/>
        <v>585</v>
      </c>
      <c r="G29" s="31">
        <f t="shared" si="14"/>
        <v>43.87</v>
      </c>
      <c r="H29" s="31">
        <f t="shared" si="14"/>
        <v>15399.75</v>
      </c>
      <c r="I29" s="31">
        <f t="shared" si="14"/>
        <v>534.01</v>
      </c>
      <c r="J29" s="31">
        <f t="shared" si="14"/>
        <v>15933.76</v>
      </c>
      <c r="K29" s="31">
        <f t="shared" si="14"/>
        <v>9066.24</v>
      </c>
      <c r="L29" s="31">
        <f t="shared" si="14"/>
        <v>-6955.0681318680436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9985.8700000000008</v>
      </c>
      <c r="E32" s="24">
        <f t="shared" si="15"/>
        <v>119.76</v>
      </c>
      <c r="F32" s="24">
        <f t="shared" si="15"/>
        <v>3741.89</v>
      </c>
      <c r="G32" s="24">
        <f t="shared" si="15"/>
        <v>280.63</v>
      </c>
      <c r="H32" s="24">
        <f t="shared" si="15"/>
        <v>135669</v>
      </c>
      <c r="I32" s="24">
        <f t="shared" si="15"/>
        <v>3919.0200000000004</v>
      </c>
      <c r="J32" s="24">
        <f t="shared" si="15"/>
        <v>141878.81</v>
      </c>
      <c r="K32" s="24">
        <f t="shared" si="15"/>
        <v>195500.62000000002</v>
      </c>
      <c r="L32" s="24">
        <f t="shared" si="15"/>
        <v>52842.256098901911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70</v>
      </c>
      <c r="G35" s="32">
        <v>5.25</v>
      </c>
      <c r="H35" s="8">
        <f>D35+F35+'12-09-21'!H35</f>
        <v>870.94</v>
      </c>
      <c r="I35" s="8">
        <f>E35+G35+'12-09-21'!I35</f>
        <v>67.613599999999991</v>
      </c>
      <c r="J35" s="8">
        <f>H35+I35</f>
        <v>938.55360000000007</v>
      </c>
      <c r="K35" s="8">
        <f>C35-J35</f>
        <v>2255.5263999999997</v>
      </c>
      <c r="L35" s="8">
        <f t="shared" ref="L35:L58" si="16">C35-((J35/13)*26.0714285714285)</f>
        <v>1311.8159120879172</v>
      </c>
      <c r="M35" s="76"/>
    </row>
    <row r="36" spans="1:13" s="59" customFormat="1" ht="11.25" customHeight="1" x14ac:dyDescent="0.25">
      <c r="A36" s="20" t="s">
        <v>117</v>
      </c>
      <c r="B36" s="105" t="s">
        <v>12</v>
      </c>
      <c r="C36" s="110">
        <v>900</v>
      </c>
      <c r="D36" s="8">
        <v>0</v>
      </c>
      <c r="E36" s="8">
        <v>0</v>
      </c>
      <c r="F36" s="8">
        <v>420</v>
      </c>
      <c r="G36" s="8">
        <v>31.5</v>
      </c>
      <c r="H36" s="8">
        <f>D36+F36+'12-09-21'!H36</f>
        <v>1248</v>
      </c>
      <c r="I36" s="8">
        <f>E36+G36+'12-09-21'!I36</f>
        <v>93.6</v>
      </c>
      <c r="J36" s="8">
        <f t="shared" ref="J36:J58" si="17">H36+I36</f>
        <v>1341.6</v>
      </c>
      <c r="K36" s="85">
        <f t="shared" ref="K36:K58" si="18">C36-J36</f>
        <v>-441.59999999999991</v>
      </c>
      <c r="L36" s="8">
        <f t="shared" si="16"/>
        <v>-1790.5714285714207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v>12000</v>
      </c>
      <c r="D37" s="8">
        <v>242</v>
      </c>
      <c r="E37" s="8">
        <v>2.9</v>
      </c>
      <c r="F37" s="8">
        <v>0</v>
      </c>
      <c r="G37" s="8">
        <v>0</v>
      </c>
      <c r="H37" s="8">
        <f>D37+F37+'12-09-21'!H37</f>
        <v>2699</v>
      </c>
      <c r="I37" s="8">
        <f>E37+G37+'12-09-21'!I37</f>
        <v>32.35</v>
      </c>
      <c r="J37" s="8">
        <f t="shared" si="17"/>
        <v>2731.35</v>
      </c>
      <c r="K37" s="8">
        <f t="shared" si="18"/>
        <v>9268.65</v>
      </c>
      <c r="L37" s="8">
        <f t="shared" si="16"/>
        <v>6522.2925824175982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D38+F38+'12-09-21'!H38</f>
        <v>0</v>
      </c>
      <c r="I38" s="8">
        <f>E38+G38+'12-09-21'!I38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D39+F39+'12-09-21'!H39</f>
        <v>36.659999999999997</v>
      </c>
      <c r="I39" s="8">
        <f>E39+G39+'12-09-21'!I39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-74.401827824175626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D40+F40+'12-09-21'!H40</f>
        <v>0</v>
      </c>
      <c r="I40" s="8">
        <f>E40+G40+'12-09-21'!I40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D41+F41+'12-09-21'!H41</f>
        <v>0</v>
      </c>
      <c r="I41" s="8">
        <f>E41+G41+'12-09-21'!I41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D42+F42+'12-09-21'!H42</f>
        <v>582.25</v>
      </c>
      <c r="I42" s="8">
        <f>E42+G42+'12-09-21'!I42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5528.322527472531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D43+F43+'12-09-21'!H43</f>
        <v>3121.7</v>
      </c>
      <c r="I43" s="8">
        <f>E43+G43+'12-09-21'!I43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-3168.8863186813001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D44+F44+'12-09-21'!H44</f>
        <v>0</v>
      </c>
      <c r="I44" s="8">
        <f>E44+G44+'12-09-21'!I44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89.28</v>
      </c>
      <c r="E45" s="33">
        <v>1.07</v>
      </c>
      <c r="F45" s="33">
        <v>0</v>
      </c>
      <c r="G45" s="33">
        <v>0</v>
      </c>
      <c r="H45" s="8">
        <f>D45+F45+'12-09-21'!H45</f>
        <v>976.49999999999989</v>
      </c>
      <c r="I45" s="8">
        <f>E45+G45+'12-09-21'!I45</f>
        <v>11.67</v>
      </c>
      <c r="J45" s="8">
        <f t="shared" si="17"/>
        <v>988.16999999999985</v>
      </c>
      <c r="K45" s="92">
        <f t="shared" si="19"/>
        <v>4011.83</v>
      </c>
      <c r="L45" s="8">
        <f t="shared" si="16"/>
        <v>3018.2304945055002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36</v>
      </c>
      <c r="E46" s="32">
        <v>0.43</v>
      </c>
      <c r="F46" s="32">
        <v>333</v>
      </c>
      <c r="G46" s="32">
        <v>24.97</v>
      </c>
      <c r="H46" s="8">
        <f>D46+F46+'12-09-21'!H46</f>
        <v>3987</v>
      </c>
      <c r="I46" s="8">
        <f>E46+G46+'12-09-21'!I46</f>
        <v>221.86999999999998</v>
      </c>
      <c r="J46" s="8">
        <f t="shared" si="17"/>
        <v>4208.87</v>
      </c>
      <c r="K46" s="85">
        <f>C46-J46</f>
        <v>-2474.5199999999995</v>
      </c>
      <c r="L46" s="8">
        <f t="shared" si="16"/>
        <v>-6706.5156593406355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D47+F47+'12-09-21'!H47</f>
        <v>0</v>
      </c>
      <c r="I47" s="8">
        <f>E47+G47+'12-09-21'!I47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3">
        <v>29.45</v>
      </c>
      <c r="E48" s="33">
        <v>0.35</v>
      </c>
      <c r="F48" s="33">
        <v>0</v>
      </c>
      <c r="G48" s="33">
        <v>0</v>
      </c>
      <c r="H48" s="8">
        <f>D48+F48+'12-09-21'!H48</f>
        <v>6096.14</v>
      </c>
      <c r="I48" s="8">
        <f>E48+G48+'12-09-21'!I48</f>
        <v>73.11999999999999</v>
      </c>
      <c r="J48" s="8">
        <f t="shared" si="17"/>
        <v>6169.26</v>
      </c>
      <c r="K48" s="8">
        <f>C48-J48</f>
        <v>13030.74</v>
      </c>
      <c r="L48" s="8">
        <f t="shared" si="16"/>
        <v>6827.5829670330022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D49+F49+'12-09-21'!H49</f>
        <v>1754.38</v>
      </c>
      <c r="I49" s="8">
        <f>E49+G49+'12-09-21'!I49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488.58763736264791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D50+F50+'12-09-21'!H50</f>
        <v>0</v>
      </c>
      <c r="I50" s="8">
        <f>E50+G50+'12-09-21'!I50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D51+F51+'12-09-21'!H51</f>
        <v>0</v>
      </c>
      <c r="I51" s="8">
        <f>E51+G51+'12-09-21'!I51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D52+F52+'12-09-21'!H52</f>
        <v>0</v>
      </c>
      <c r="I52" s="8">
        <f>E52+G52+'12-09-21'!I52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D53+F53+'12-09-21'!H53</f>
        <v>0</v>
      </c>
      <c r="I53" s="8">
        <f>E53+G53+'12-09-21'!I53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D54+F54+'12-09-21'!H54</f>
        <v>0</v>
      </c>
      <c r="I54" s="8">
        <f>E54+G54+'12-09-21'!I54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D55+F55+'12-09-21'!H55</f>
        <v>0</v>
      </c>
      <c r="I55" s="8">
        <f>E55+G55+'12-09-21'!I55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D56+F56+'12-09-21'!H56</f>
        <v>2.4</v>
      </c>
      <c r="I56" s="8">
        <f>E56+G56+'12-09-21'!I56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4188.2867032967033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D57+F57+'12-09-21'!H57</f>
        <v>2754</v>
      </c>
      <c r="I57" s="8">
        <f>E57+G57+'12-09-21'!I57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-1559.199835164819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f>2600+2600</f>
        <v>5200</v>
      </c>
      <c r="D58" s="62">
        <v>236.8</v>
      </c>
      <c r="E58" s="62">
        <v>2.84</v>
      </c>
      <c r="F58" s="62">
        <v>0</v>
      </c>
      <c r="G58" s="62">
        <v>0</v>
      </c>
      <c r="H58" s="8">
        <f>D58+F58+'12-09-21'!H58</f>
        <v>2295.7799999999997</v>
      </c>
      <c r="I58" s="8">
        <f>E58+G58+'12-09-21'!I58</f>
        <v>27.490000000000002</v>
      </c>
      <c r="J58" s="8">
        <f t="shared" si="17"/>
        <v>2323.2699999999995</v>
      </c>
      <c r="K58" s="8">
        <f t="shared" si="18"/>
        <v>2876.7300000000005</v>
      </c>
      <c r="L58" s="8">
        <f t="shared" si="16"/>
        <v>540.69478021979376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63742.25</v>
      </c>
      <c r="D59" s="7"/>
      <c r="E59" s="7"/>
      <c r="F59" s="7"/>
      <c r="G59" s="7"/>
      <c r="H59" s="7">
        <f>SUM(H35:H54)</f>
        <v>21372.57</v>
      </c>
      <c r="I59" s="7">
        <f>SUM(I35:I54)</f>
        <v>669.07259359999989</v>
      </c>
      <c r="J59" s="7">
        <f>SUM(J35:J54)</f>
        <v>22041.642593599998</v>
      </c>
      <c r="K59" s="7">
        <f>SUM(K35:K54)</f>
        <v>41700.607406399999</v>
      </c>
      <c r="L59" s="7">
        <f>SUM(L35:L54)</f>
        <v>19537.856886461665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2220.6</v>
      </c>
      <c r="E62" s="9">
        <v>26.64</v>
      </c>
      <c r="F62" s="9">
        <v>0</v>
      </c>
      <c r="G62" s="9">
        <v>0</v>
      </c>
      <c r="H62" s="8">
        <f>D62+F62+'12-09-21'!H62</f>
        <v>15499.090000000002</v>
      </c>
      <c r="I62" s="8">
        <f>E62+G62+'12-09-21'!I62</f>
        <v>255.03000000000003</v>
      </c>
      <c r="J62" s="8">
        <f t="shared" ref="J62:J63" si="21">H62+I62</f>
        <v>15754.120000000003</v>
      </c>
      <c r="K62" s="8">
        <f>C62-J62</f>
        <v>46828.88</v>
      </c>
      <c r="L62" s="8">
        <f t="shared" ref="L62:L63" si="22">C62-((J62/13)*26.0714285714285)</f>
        <v>30988.198901098986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32">
        <v>0</v>
      </c>
      <c r="E63" s="32">
        <v>0</v>
      </c>
      <c r="F63" s="32">
        <v>0</v>
      </c>
      <c r="G63" s="32">
        <v>0</v>
      </c>
      <c r="H63" s="8">
        <f>D63+F63+'12-09-21'!H63</f>
        <v>0</v>
      </c>
      <c r="I63" s="8">
        <f>E63+G63+'12-09-21'!I63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2220.6</v>
      </c>
      <c r="E64" s="14">
        <f t="shared" si="23"/>
        <v>26.64</v>
      </c>
      <c r="F64" s="14">
        <f t="shared" si="23"/>
        <v>0</v>
      </c>
      <c r="G64" s="14">
        <f t="shared" si="23"/>
        <v>0</v>
      </c>
      <c r="H64" s="14">
        <f t="shared" si="23"/>
        <v>15499.090000000002</v>
      </c>
      <c r="I64" s="14">
        <f t="shared" si="23"/>
        <v>255.03000000000003</v>
      </c>
      <c r="J64" s="14">
        <f t="shared" si="23"/>
        <v>15754.120000000003</v>
      </c>
      <c r="K64" s="14">
        <f t="shared" si="23"/>
        <v>46828.88</v>
      </c>
      <c r="L64" s="14">
        <f t="shared" si="23"/>
        <v>30988.198901098986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32">
        <v>0</v>
      </c>
      <c r="E67" s="32">
        <v>0</v>
      </c>
      <c r="F67" s="32">
        <v>0</v>
      </c>
      <c r="G67" s="32">
        <v>0</v>
      </c>
      <c r="H67" s="8">
        <f>D67+F67+'12-09-21'!H67</f>
        <v>336.26</v>
      </c>
      <c r="I67" s="8">
        <f>E67+G67+'12-09-21'!I67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C67-((J67/13)*26.0714285714285)</f>
        <v>37011.073901098905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37011.073901098905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116</v>
      </c>
      <c r="B83" s="122"/>
      <c r="C83" s="122"/>
      <c r="D83" s="122"/>
      <c r="E83" s="122"/>
      <c r="F83" s="122"/>
      <c r="G83" s="89">
        <v>12000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123</v>
      </c>
      <c r="B84" s="122"/>
      <c r="C84" s="122"/>
      <c r="D84" s="122"/>
      <c r="E84" s="122"/>
      <c r="F84" s="122"/>
      <c r="G84" s="89">
        <v>900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124</v>
      </c>
      <c r="B85" s="122"/>
      <c r="C85" s="122"/>
      <c r="D85" s="122"/>
      <c r="E85" s="122"/>
      <c r="F85" s="122"/>
      <c r="G85" s="89">
        <v>11500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125</v>
      </c>
      <c r="B86" s="122"/>
      <c r="C86" s="122"/>
      <c r="D86" s="122"/>
      <c r="E86" s="122"/>
      <c r="F86" s="122"/>
      <c r="G86" s="89">
        <v>2600</v>
      </c>
      <c r="M86" s="121"/>
      <c r="N86" s="121"/>
      <c r="O86" s="121"/>
      <c r="P86" s="121"/>
      <c r="Q86" s="121"/>
      <c r="R86" s="121"/>
    </row>
  </sheetData>
  <mergeCells count="40">
    <mergeCell ref="A68:B68"/>
    <mergeCell ref="A18:B18"/>
    <mergeCell ref="A24:B24"/>
    <mergeCell ref="A29:B29"/>
    <mergeCell ref="A32:B32"/>
    <mergeCell ref="A59:B5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5:F85"/>
    <mergeCell ref="M85:R85"/>
    <mergeCell ref="A86:F86"/>
    <mergeCell ref="M86:R86"/>
    <mergeCell ref="A82:F82"/>
    <mergeCell ref="M82:R82"/>
    <mergeCell ref="A83:F83"/>
    <mergeCell ref="M83:R83"/>
    <mergeCell ref="A84:F84"/>
    <mergeCell ref="M84:R84"/>
  </mergeCells>
  <pageMargins left="0.25" right="0" top="0.4" bottom="0" header="0.3" footer="0"/>
  <pageSetup scale="68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9736-0972-4FA7-A08D-A65036107B1B}">
  <sheetPr>
    <pageSetUpPr fitToPage="1"/>
  </sheetPr>
  <dimension ref="A1:S88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128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45</v>
      </c>
      <c r="E3" s="32">
        <v>0.54</v>
      </c>
      <c r="F3" s="32">
        <v>0</v>
      </c>
      <c r="G3" s="32">
        <v>0</v>
      </c>
      <c r="H3" s="8">
        <f>D3+F3+'12-23-21'!H3</f>
        <v>1800</v>
      </c>
      <c r="I3" s="8">
        <f>E3+G3+'12-23-21'!I3</f>
        <v>21.59</v>
      </c>
      <c r="J3" s="8">
        <f>H3+I3</f>
        <v>1821.59</v>
      </c>
      <c r="K3" s="85">
        <f>C3-J3</f>
        <v>-821.58999999999992</v>
      </c>
      <c r="L3" s="8">
        <f>C3-((J3/14)*26.0714285714285)</f>
        <v>-2392.2466836734598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0</v>
      </c>
      <c r="E4" s="33">
        <v>0</v>
      </c>
      <c r="F4" s="33">
        <v>646.88</v>
      </c>
      <c r="G4" s="33">
        <v>48.51</v>
      </c>
      <c r="H4" s="8">
        <f>D4+F4+'12-23-21'!H4</f>
        <v>25886.409999999996</v>
      </c>
      <c r="I4" s="8">
        <f>E4+G4+'12-23-21'!I4</f>
        <v>1821.42</v>
      </c>
      <c r="J4" s="8">
        <f t="shared" ref="J4:J17" si="0">H4+I4</f>
        <v>27707.829999999994</v>
      </c>
      <c r="K4" s="8">
        <f t="shared" ref="K4:K17" si="1">C4-J4</f>
        <v>38292.170000000006</v>
      </c>
      <c r="L4" s="8">
        <f t="shared" ref="L4:L17" si="2">C4-((J4/14)*26.0714285714285)</f>
        <v>14401.234948979749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D5+F5+'12-23-21'!H5</f>
        <v>0</v>
      </c>
      <c r="I5" s="8">
        <f>E5+G5+'12-23-21'!I5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172.5</v>
      </c>
      <c r="E6" s="8">
        <v>2.06</v>
      </c>
      <c r="F6" s="8">
        <v>0</v>
      </c>
      <c r="G6" s="8">
        <v>0</v>
      </c>
      <c r="H6" s="8">
        <f>D6+F6+'12-23-21'!H6</f>
        <v>3142.5</v>
      </c>
      <c r="I6" s="8">
        <f>E6+G6+'12-23-21'!I6</f>
        <v>37.680000000000007</v>
      </c>
      <c r="J6" s="8">
        <f t="shared" si="0"/>
        <v>3180.18</v>
      </c>
      <c r="K6" s="8">
        <f t="shared" si="1"/>
        <v>3269.82</v>
      </c>
      <c r="L6" s="8">
        <f t="shared" si="2"/>
        <v>527.72602040818037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93.68</v>
      </c>
      <c r="E7" s="41">
        <v>1.1100000000000001</v>
      </c>
      <c r="F7" s="41">
        <v>0</v>
      </c>
      <c r="G7" s="41">
        <v>0</v>
      </c>
      <c r="H7" s="8">
        <f>D7+F7+'12-23-21'!H7</f>
        <v>10082.77</v>
      </c>
      <c r="I7" s="8">
        <f>E7+G7+'12-23-21'!I7</f>
        <v>120.85999999999993</v>
      </c>
      <c r="J7" s="8">
        <f t="shared" si="0"/>
        <v>10203.630000000001</v>
      </c>
      <c r="K7" s="8">
        <f t="shared" si="1"/>
        <v>14445.369999999999</v>
      </c>
      <c r="L7" s="8">
        <f t="shared" si="2"/>
        <v>5647.3420918367847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47.57</v>
      </c>
      <c r="E8" s="9">
        <v>0.56000000000000005</v>
      </c>
      <c r="F8" s="9">
        <v>0</v>
      </c>
      <c r="G8" s="9">
        <v>0</v>
      </c>
      <c r="H8" s="8">
        <f>D8+F8+'12-23-21'!H8</f>
        <v>6827.9000000000005</v>
      </c>
      <c r="I8" s="8">
        <f>E8+G8+'12-23-21'!I8</f>
        <v>81.78</v>
      </c>
      <c r="J8" s="8">
        <f t="shared" si="0"/>
        <v>6909.68</v>
      </c>
      <c r="K8" s="8">
        <f t="shared" si="1"/>
        <v>11064.32</v>
      </c>
      <c r="L8" s="8">
        <f t="shared" si="2"/>
        <v>5106.4836734694236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123.76</v>
      </c>
      <c r="E9" s="9">
        <v>1.48</v>
      </c>
      <c r="F9" s="9">
        <v>0</v>
      </c>
      <c r="G9" s="9">
        <v>0</v>
      </c>
      <c r="H9" s="8">
        <f>D9+F9+'12-23-21'!H9</f>
        <v>8646.91</v>
      </c>
      <c r="I9" s="8">
        <f>E9+G9+'12-23-21'!I9</f>
        <v>175.06999999999996</v>
      </c>
      <c r="J9" s="8">
        <f t="shared" si="0"/>
        <v>8821.98</v>
      </c>
      <c r="K9" s="8">
        <f t="shared" si="1"/>
        <v>9152.02</v>
      </c>
      <c r="L9" s="8">
        <f t="shared" si="2"/>
        <v>1545.312755102088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216.89</v>
      </c>
      <c r="E10" s="32">
        <v>2.59</v>
      </c>
      <c r="F10" s="32">
        <v>0</v>
      </c>
      <c r="G10" s="32">
        <v>0</v>
      </c>
      <c r="H10" s="8">
        <f>D10+F10+'12-23-21'!H10</f>
        <v>1147.9299999999998</v>
      </c>
      <c r="I10" s="8">
        <f>E10+G10+'12-23-21'!I10</f>
        <v>13.719999999999999</v>
      </c>
      <c r="J10" s="8">
        <f t="shared" si="0"/>
        <v>1161.6499999999999</v>
      </c>
      <c r="K10" s="8">
        <f t="shared" si="1"/>
        <v>947.35000000000014</v>
      </c>
      <c r="L10" s="8">
        <f t="shared" si="2"/>
        <v>-54.276785714279413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102.69</v>
      </c>
      <c r="E11" s="9">
        <v>1.22</v>
      </c>
      <c r="F11" s="9">
        <v>0</v>
      </c>
      <c r="G11" s="9">
        <v>0</v>
      </c>
      <c r="H11" s="8">
        <f>D11+F11+'12-23-21'!H11</f>
        <v>9291.14</v>
      </c>
      <c r="I11" s="8">
        <f>E11+G11+'12-23-21'!I11</f>
        <v>204.27</v>
      </c>
      <c r="J11" s="8">
        <f t="shared" si="0"/>
        <v>9495.41</v>
      </c>
      <c r="K11" s="8">
        <f t="shared" si="1"/>
        <v>14834.59</v>
      </c>
      <c r="L11" s="8">
        <f t="shared" si="2"/>
        <v>6647.2211734694392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600.30999999999995</v>
      </c>
      <c r="E12" s="8">
        <v>7.19</v>
      </c>
      <c r="F12" s="8">
        <v>0</v>
      </c>
      <c r="G12" s="8">
        <v>0</v>
      </c>
      <c r="H12" s="8">
        <f>D12+F12+'12-23-21'!H12</f>
        <v>17352.009999999998</v>
      </c>
      <c r="I12" s="8">
        <f>E12+G12+'12-23-21'!I12</f>
        <v>286.05</v>
      </c>
      <c r="J12" s="8">
        <f t="shared" si="0"/>
        <v>17638.059999999998</v>
      </c>
      <c r="K12" s="8">
        <f t="shared" si="1"/>
        <v>16090.370000000003</v>
      </c>
      <c r="L12" s="8">
        <f t="shared" si="2"/>
        <v>882.04275510213483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200.27</v>
      </c>
      <c r="E13" s="8">
        <v>2.37</v>
      </c>
      <c r="F13" s="8">
        <v>0</v>
      </c>
      <c r="G13" s="8">
        <v>0</v>
      </c>
      <c r="H13" s="8">
        <f>D13+F13+'12-23-21'!H13</f>
        <v>20266.72</v>
      </c>
      <c r="I13" s="8">
        <f>E13+G13+'12-23-21'!I13</f>
        <v>245.32</v>
      </c>
      <c r="J13" s="8">
        <f t="shared" si="0"/>
        <v>20512.04</v>
      </c>
      <c r="K13" s="8">
        <f t="shared" si="1"/>
        <v>22228.959999999999</v>
      </c>
      <c r="L13" s="8">
        <f t="shared" si="2"/>
        <v>4542.5581632654139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167.68</v>
      </c>
      <c r="E14" s="9">
        <v>2</v>
      </c>
      <c r="F14" s="9">
        <v>0</v>
      </c>
      <c r="G14" s="9">
        <v>0</v>
      </c>
      <c r="H14" s="8">
        <f>D14+F14+'12-23-21'!H14</f>
        <v>6886.0700000000006</v>
      </c>
      <c r="I14" s="8">
        <f>E14+G14+'12-23-21'!I14</f>
        <v>82.53</v>
      </c>
      <c r="J14" s="8">
        <f t="shared" si="0"/>
        <v>6968.6</v>
      </c>
      <c r="K14" s="8">
        <f t="shared" si="1"/>
        <v>17204.400000000001</v>
      </c>
      <c r="L14" s="8">
        <f t="shared" si="2"/>
        <v>11195.760204081669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900</v>
      </c>
      <c r="G15" s="33">
        <v>67.5</v>
      </c>
      <c r="H15" s="8">
        <f>D15+F15+'12-23-21'!H15</f>
        <v>4380</v>
      </c>
      <c r="I15" s="8">
        <f>E15+G15+'12-23-21'!I15</f>
        <v>328.48</v>
      </c>
      <c r="J15" s="8">
        <f>H15+I15</f>
        <v>4708.4799999999996</v>
      </c>
      <c r="K15" s="8">
        <f>C15-J15</f>
        <v>10846.52</v>
      </c>
      <c r="L15" s="8">
        <f t="shared" si="2"/>
        <v>6786.6571428571679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0</v>
      </c>
      <c r="E16" s="9">
        <v>0</v>
      </c>
      <c r="F16" s="9">
        <v>0</v>
      </c>
      <c r="G16" s="9">
        <v>0</v>
      </c>
      <c r="H16" s="8">
        <f>D16+F16+'12-23-21'!H16</f>
        <v>1649.12</v>
      </c>
      <c r="I16" s="8">
        <f>E16+G16+'12-23-21'!I16</f>
        <v>28.68</v>
      </c>
      <c r="J16" s="8">
        <f t="shared" si="0"/>
        <v>1677.8</v>
      </c>
      <c r="K16" s="8">
        <f t="shared" si="1"/>
        <v>4322.2</v>
      </c>
      <c r="L16" s="8">
        <f t="shared" si="2"/>
        <v>2875.5255102040906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150</v>
      </c>
      <c r="E17" s="9">
        <v>1.8</v>
      </c>
      <c r="F17" s="9">
        <v>0</v>
      </c>
      <c r="G17" s="9">
        <v>0</v>
      </c>
      <c r="H17" s="8">
        <f>D17+F17+'12-23-21'!H17</f>
        <v>6222</v>
      </c>
      <c r="I17" s="8">
        <f>E17+G17+'12-23-21'!I17</f>
        <v>74.63</v>
      </c>
      <c r="J17" s="8">
        <f t="shared" si="0"/>
        <v>6296.63</v>
      </c>
      <c r="K17" s="8">
        <f t="shared" si="1"/>
        <v>4503.37</v>
      </c>
      <c r="L17" s="8">
        <f t="shared" si="2"/>
        <v>-925.86709183670246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1920.35</v>
      </c>
      <c r="E18" s="7">
        <f t="shared" si="4"/>
        <v>22.92</v>
      </c>
      <c r="F18" s="7">
        <f t="shared" si="4"/>
        <v>1546.88</v>
      </c>
      <c r="G18" s="7">
        <f t="shared" si="4"/>
        <v>116.00999999999999</v>
      </c>
      <c r="H18" s="7">
        <f t="shared" si="4"/>
        <v>123581.48</v>
      </c>
      <c r="I18" s="7">
        <f t="shared" si="4"/>
        <v>3522.0800000000004</v>
      </c>
      <c r="J18" s="35">
        <f t="shared" si="4"/>
        <v>127103.56</v>
      </c>
      <c r="K18" s="35">
        <f t="shared" si="4"/>
        <v>169296.87</v>
      </c>
      <c r="L18" s="7">
        <f t="shared" si="4"/>
        <v>59702.473877551703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D22+F22+'12-23-21'!H22</f>
        <v>751.18</v>
      </c>
      <c r="I22" s="8">
        <f>E22+G22+'12-23-21'!I22</f>
        <v>8.98</v>
      </c>
      <c r="J22" s="8">
        <f t="shared" si="6"/>
        <v>760.16</v>
      </c>
      <c r="K22" s="8">
        <f t="shared" ref="K22:K23" si="8">C22-J22</f>
        <v>13192.84</v>
      </c>
      <c r="L22" s="8">
        <f t="shared" ref="L22:L23" si="9">C22-((J22/14)*26.0714285714285)</f>
        <v>12537.395918367351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80</v>
      </c>
      <c r="E23" s="32">
        <v>0.95</v>
      </c>
      <c r="F23" s="32">
        <v>0</v>
      </c>
      <c r="G23" s="32">
        <v>0</v>
      </c>
      <c r="H23" s="8">
        <f>D23+F23+'12-23-21'!H23</f>
        <v>1747.5</v>
      </c>
      <c r="I23" s="8">
        <f>E23+G23+'12-23-21'!I23</f>
        <v>20.94</v>
      </c>
      <c r="J23" s="8">
        <f t="shared" si="6"/>
        <v>1768.44</v>
      </c>
      <c r="K23" s="8">
        <f t="shared" si="8"/>
        <v>257.55999999999995</v>
      </c>
      <c r="L23" s="8">
        <f t="shared" si="9"/>
        <v>-1267.2683673469296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80</v>
      </c>
      <c r="E24" s="7">
        <f t="shared" si="10"/>
        <v>0.95</v>
      </c>
      <c r="F24" s="7">
        <f t="shared" si="10"/>
        <v>0</v>
      </c>
      <c r="G24" s="7">
        <f t="shared" si="10"/>
        <v>0</v>
      </c>
      <c r="H24" s="8">
        <f>D24+F24+'07-22-21'!H23</f>
        <v>80</v>
      </c>
      <c r="I24" s="8">
        <f>E24+G24+'07-22-21'!I23</f>
        <v>0.95</v>
      </c>
      <c r="J24" s="35">
        <f t="shared" si="10"/>
        <v>2528.6</v>
      </c>
      <c r="K24" s="7">
        <f t="shared" si="10"/>
        <v>13450.4</v>
      </c>
      <c r="L24" s="7">
        <f t="shared" si="10"/>
        <v>11270.127551020421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262.5</v>
      </c>
      <c r="E27" s="9">
        <v>3.14</v>
      </c>
      <c r="F27" s="9">
        <v>300</v>
      </c>
      <c r="G27" s="9">
        <v>22.49</v>
      </c>
      <c r="H27" s="8">
        <f>D27+F27+'12-23-21'!H27</f>
        <v>15962.25</v>
      </c>
      <c r="I27" s="8">
        <f>E27+G27+'12-23-21'!I27</f>
        <v>559.64</v>
      </c>
      <c r="J27" s="8">
        <f t="shared" ref="J27:J28" si="11">H27+I27</f>
        <v>16521.89</v>
      </c>
      <c r="K27" s="8">
        <f>C27-J27</f>
        <v>8478.11</v>
      </c>
      <c r="L27" s="8">
        <f>C27-((J27/14)*26.0714285714285)</f>
        <v>-5767.8053571427699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262.5</v>
      </c>
      <c r="E29" s="31">
        <f t="shared" si="14"/>
        <v>3.14</v>
      </c>
      <c r="F29" s="31">
        <f t="shared" si="14"/>
        <v>300</v>
      </c>
      <c r="G29" s="31">
        <f t="shared" si="14"/>
        <v>22.49</v>
      </c>
      <c r="H29" s="31">
        <f t="shared" si="14"/>
        <v>15962.25</v>
      </c>
      <c r="I29" s="31">
        <f t="shared" si="14"/>
        <v>559.64</v>
      </c>
      <c r="J29" s="31">
        <f t="shared" si="14"/>
        <v>16521.89</v>
      </c>
      <c r="K29" s="31">
        <f t="shared" si="14"/>
        <v>8478.11</v>
      </c>
      <c r="L29" s="31">
        <f t="shared" si="14"/>
        <v>-5767.8053571427699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2262.85</v>
      </c>
      <c r="E32" s="24">
        <f t="shared" si="15"/>
        <v>27.01</v>
      </c>
      <c r="F32" s="24">
        <f t="shared" si="15"/>
        <v>1846.88</v>
      </c>
      <c r="G32" s="24">
        <f t="shared" si="15"/>
        <v>138.5</v>
      </c>
      <c r="H32" s="24">
        <f t="shared" si="15"/>
        <v>139623.72999999998</v>
      </c>
      <c r="I32" s="24">
        <f t="shared" si="15"/>
        <v>4082.67</v>
      </c>
      <c r="J32" s="24">
        <f t="shared" si="15"/>
        <v>146154.04999999999</v>
      </c>
      <c r="K32" s="24">
        <f t="shared" si="15"/>
        <v>191225.38</v>
      </c>
      <c r="L32" s="24">
        <f t="shared" si="15"/>
        <v>65204.796071429344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-70</v>
      </c>
      <c r="G35" s="32">
        <v>-5.25</v>
      </c>
      <c r="H35" s="8">
        <f>D35+F35+'12-23-21'!H35</f>
        <v>800.94</v>
      </c>
      <c r="I35" s="8">
        <f>E35+G35+'12-23-21'!I35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8" si="16">C35-((J35/14)*26.0714285714285)</f>
        <v>1586.3972755102084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D36+F36+'12-23-21'!H36</f>
        <v>1248</v>
      </c>
      <c r="I36" s="8">
        <f>E36+G36+'12-23-21'!I36</f>
        <v>93.6</v>
      </c>
      <c r="J36" s="8">
        <f t="shared" ref="J36:J58" si="17">H36+I36</f>
        <v>1341.6</v>
      </c>
      <c r="K36" s="8">
        <f t="shared" ref="K36:K58" si="18">C36-J36</f>
        <v>0</v>
      </c>
      <c r="L36" s="8">
        <f t="shared" si="16"/>
        <v>-1156.7877551020338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v>0</v>
      </c>
      <c r="E37" s="8">
        <v>0</v>
      </c>
      <c r="F37" s="8">
        <v>210</v>
      </c>
      <c r="G37" s="8">
        <v>15.75</v>
      </c>
      <c r="H37" s="8">
        <f>D37+F37+'12-23-21'!H37</f>
        <v>2909</v>
      </c>
      <c r="I37" s="8">
        <f>E37+G37+'12-23-21'!I37</f>
        <v>48.1</v>
      </c>
      <c r="J37" s="8">
        <f t="shared" si="17"/>
        <v>2957.1</v>
      </c>
      <c r="K37" s="8">
        <f t="shared" si="18"/>
        <v>8601.2999999999993</v>
      </c>
      <c r="L37" s="8">
        <f t="shared" si="16"/>
        <v>6051.5556122449134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D38+F38+'12-23-21'!H38</f>
        <v>0</v>
      </c>
      <c r="I38" s="8">
        <f>E38+G38+'12-23-21'!I38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D39+F39+'12-23-21'!H39</f>
        <v>36.659999999999997</v>
      </c>
      <c r="I39" s="8">
        <f>E39+G39+'12-23-21'!I39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-69.08741155102021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D40+F40+'12-23-21'!H40</f>
        <v>0</v>
      </c>
      <c r="I40" s="8">
        <f>E40+G40+'12-23-21'!I40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D41+F41+'12-23-21'!H41</f>
        <v>0</v>
      </c>
      <c r="I41" s="8">
        <f>E41+G41+'12-23-21'!I41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D42+F42+'12-23-21'!H42</f>
        <v>582.25</v>
      </c>
      <c r="I42" s="8">
        <f>E42+G42+'12-23-21'!I42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5612.7280612244931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D43+F43+'12-23-21'!H43</f>
        <v>3121.7</v>
      </c>
      <c r="I43" s="8">
        <f>E43+G43+'12-23-21'!I43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-2717.4251530612069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D44+F44+'12-23-21'!H44</f>
        <v>0</v>
      </c>
      <c r="I44" s="8">
        <f>E44+G44+'12-23-21'!I44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0</v>
      </c>
      <c r="E45" s="32">
        <v>0</v>
      </c>
      <c r="F45" s="32">
        <v>0</v>
      </c>
      <c r="G45" s="32">
        <v>0</v>
      </c>
      <c r="H45" s="8">
        <f>D45+F45+'12-23-21'!H45</f>
        <v>976.49999999999989</v>
      </c>
      <c r="I45" s="8">
        <f>E45+G45+'12-23-21'!I45</f>
        <v>11.67</v>
      </c>
      <c r="J45" s="8">
        <f t="shared" si="17"/>
        <v>988.16999999999985</v>
      </c>
      <c r="K45" s="92">
        <f t="shared" si="19"/>
        <v>4011.83</v>
      </c>
      <c r="L45" s="8">
        <f t="shared" si="16"/>
        <v>3159.785459183679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94.72</v>
      </c>
      <c r="E46" s="32">
        <v>1.1200000000000001</v>
      </c>
      <c r="F46" s="32">
        <v>211.5</v>
      </c>
      <c r="G46" s="32">
        <v>15.86</v>
      </c>
      <c r="H46" s="8">
        <f>D46+F46+'12-23-21'!H46</f>
        <v>4293.22</v>
      </c>
      <c r="I46" s="8">
        <f>E46+G46+'12-23-21'!I46</f>
        <v>238.84999999999997</v>
      </c>
      <c r="J46" s="8">
        <f t="shared" si="17"/>
        <v>4532.0700000000006</v>
      </c>
      <c r="K46" s="8">
        <f>C46-J46</f>
        <v>6159.28</v>
      </c>
      <c r="L46" s="8">
        <f t="shared" si="16"/>
        <v>2251.5257653061453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D47+F47+'12-23-21'!H47</f>
        <v>0</v>
      </c>
      <c r="I47" s="8">
        <f>E47+G47+'12-23-21'!I47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0</v>
      </c>
      <c r="E48" s="32">
        <v>0</v>
      </c>
      <c r="F48" s="32">
        <v>0</v>
      </c>
      <c r="G48" s="32">
        <v>0</v>
      </c>
      <c r="H48" s="8">
        <f>D48+F48+'12-23-21'!H48</f>
        <v>6096.14</v>
      </c>
      <c r="I48" s="8">
        <f>E48+G48+'12-23-21'!I48</f>
        <v>73.11999999999999</v>
      </c>
      <c r="J48" s="8">
        <f t="shared" si="17"/>
        <v>6169.26</v>
      </c>
      <c r="K48" s="8">
        <f>C48-J48</f>
        <v>13030.74</v>
      </c>
      <c r="L48" s="8">
        <f t="shared" si="16"/>
        <v>7711.3270408163589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D49+F49+'12-23-21'!H49</f>
        <v>1754.38</v>
      </c>
      <c r="I49" s="8">
        <f>E49+G49+'12-23-21'!I49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758.7492346938875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D50+F50+'12-23-21'!H50</f>
        <v>0</v>
      </c>
      <c r="I50" s="8">
        <f>E50+G50+'12-23-21'!I50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D51+F51+'12-23-21'!H51</f>
        <v>0</v>
      </c>
      <c r="I51" s="8">
        <f>E51+G51+'12-23-21'!I51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D52+F52+'12-23-21'!H52</f>
        <v>0</v>
      </c>
      <c r="I52" s="8">
        <f>E52+G52+'12-23-21'!I52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D53+F53+'12-23-21'!H53</f>
        <v>0</v>
      </c>
      <c r="I53" s="8">
        <f>E53+G53+'12-23-21'!I53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D54+F54+'12-23-21'!H54</f>
        <v>0</v>
      </c>
      <c r="I54" s="8">
        <f>E54+G54+'12-23-21'!I54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D55+F55+'12-23-21'!H55</f>
        <v>0</v>
      </c>
      <c r="I55" s="8">
        <f>E55+G55+'12-23-21'!I55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D56+F56+'12-23-21'!H56</f>
        <v>2.4</v>
      </c>
      <c r="I56" s="8">
        <f>E56+G56+'12-23-21'!I56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4188.6333673469389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D57+F57+'12-23-21'!H57</f>
        <v>2754</v>
      </c>
      <c r="I57" s="8">
        <f>E57+G57+'12-23-21'!I57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-1148.318418367332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f>2600+2600</f>
        <v>5200</v>
      </c>
      <c r="D58" s="32">
        <v>0</v>
      </c>
      <c r="E58" s="32">
        <v>0</v>
      </c>
      <c r="F58" s="32">
        <v>0</v>
      </c>
      <c r="G58" s="32">
        <v>0</v>
      </c>
      <c r="H58" s="8">
        <f>D58+F58+'12-23-21'!H58</f>
        <v>2295.7799999999997</v>
      </c>
      <c r="I58" s="8">
        <f>E58+G58+'12-23-21'!I58</f>
        <v>27.490000000000002</v>
      </c>
      <c r="J58" s="8">
        <f t="shared" si="17"/>
        <v>2323.2699999999995</v>
      </c>
      <c r="K58" s="8">
        <f t="shared" si="18"/>
        <v>2876.7300000000005</v>
      </c>
      <c r="L58" s="8">
        <f t="shared" si="16"/>
        <v>873.50229591837979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72699.25</v>
      </c>
      <c r="D59" s="7"/>
      <c r="E59" s="7"/>
      <c r="F59" s="7"/>
      <c r="G59" s="7"/>
      <c r="H59" s="7">
        <f>SUM(H35:H54)</f>
        <v>21818.79</v>
      </c>
      <c r="I59" s="7">
        <f>SUM(I35:I54)</f>
        <v>696.55259359999991</v>
      </c>
      <c r="J59" s="7">
        <f>SUM(J35:J54)</f>
        <v>22515.342593600002</v>
      </c>
      <c r="K59" s="7">
        <f>SUM(K35:K54)</f>
        <v>50183.907406399994</v>
      </c>
      <c r="L59" s="7">
        <f>SUM(L35:L54)</f>
        <v>30770.168129265425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163.80000000000001</v>
      </c>
      <c r="E62" s="9">
        <v>1.96</v>
      </c>
      <c r="F62" s="9">
        <v>0</v>
      </c>
      <c r="G62" s="9">
        <v>0</v>
      </c>
      <c r="H62" s="8">
        <f>D62+F62+'12-23-21'!H62</f>
        <v>15662.890000000001</v>
      </c>
      <c r="I62" s="8">
        <f>E62+G62+'12-23-21'!I62</f>
        <v>256.99</v>
      </c>
      <c r="J62" s="8">
        <f t="shared" ref="J62:J63" si="21">H62+I62</f>
        <v>15919.880000000001</v>
      </c>
      <c r="K62" s="8">
        <f>C62-J62</f>
        <v>46663.119999999995</v>
      </c>
      <c r="L62" s="8">
        <f t="shared" ref="L62:L63" si="22">C62-((J62/14)*26.0714285714285)</f>
        <v>32936.284693877635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32">
        <v>0</v>
      </c>
      <c r="E63" s="32">
        <v>0</v>
      </c>
      <c r="F63" s="32">
        <v>0</v>
      </c>
      <c r="G63" s="32">
        <v>0</v>
      </c>
      <c r="H63" s="8">
        <f>D63+F63+'12-23-21'!H63</f>
        <v>0</v>
      </c>
      <c r="I63" s="8">
        <f>E63+G63+'12-23-21'!I63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163.80000000000001</v>
      </c>
      <c r="E64" s="14">
        <f t="shared" si="23"/>
        <v>1.96</v>
      </c>
      <c r="F64" s="14">
        <f t="shared" si="23"/>
        <v>0</v>
      </c>
      <c r="G64" s="14">
        <f t="shared" si="23"/>
        <v>0</v>
      </c>
      <c r="H64" s="14">
        <f t="shared" si="23"/>
        <v>15662.890000000001</v>
      </c>
      <c r="I64" s="14">
        <f t="shared" si="23"/>
        <v>256.99</v>
      </c>
      <c r="J64" s="14">
        <f t="shared" si="23"/>
        <v>15919.880000000001</v>
      </c>
      <c r="K64" s="14">
        <f t="shared" si="23"/>
        <v>46663.119999999995</v>
      </c>
      <c r="L64" s="14">
        <f t="shared" si="23"/>
        <v>32936.284693877635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32">
        <v>0</v>
      </c>
      <c r="E67" s="32">
        <v>0</v>
      </c>
      <c r="F67" s="32">
        <v>0</v>
      </c>
      <c r="G67" s="32">
        <v>0</v>
      </c>
      <c r="H67" s="8">
        <f>D67+F67+'12-23-21'!H67</f>
        <v>336.26</v>
      </c>
      <c r="I67" s="8">
        <f>E67+G67+'12-23-21'!I67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C67-((J67/14)*26.0714285714285)</f>
        <v>37062.854336734694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37062.854336734694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116</v>
      </c>
      <c r="B83" s="122"/>
      <c r="C83" s="122"/>
      <c r="D83" s="122"/>
      <c r="E83" s="122"/>
      <c r="F83" s="122"/>
      <c r="G83" s="89">
        <v>12000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123</v>
      </c>
      <c r="B84" s="122"/>
      <c r="C84" s="122"/>
      <c r="D84" s="122"/>
      <c r="E84" s="122"/>
      <c r="F84" s="122"/>
      <c r="G84" s="89">
        <v>900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124</v>
      </c>
      <c r="B85" s="122"/>
      <c r="C85" s="122"/>
      <c r="D85" s="122"/>
      <c r="E85" s="122"/>
      <c r="F85" s="122"/>
      <c r="G85" s="89">
        <v>11500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125</v>
      </c>
      <c r="B86" s="122"/>
      <c r="C86" s="122"/>
      <c r="D86" s="122"/>
      <c r="E86" s="122"/>
      <c r="F86" s="122"/>
      <c r="G86" s="89">
        <v>2600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129</v>
      </c>
      <c r="B87" s="122"/>
      <c r="C87" s="122"/>
      <c r="D87" s="122"/>
      <c r="E87" s="122"/>
      <c r="F87" s="122"/>
      <c r="G87" s="89">
        <v>8957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130</v>
      </c>
      <c r="B88" s="122"/>
      <c r="C88" s="122"/>
      <c r="D88" s="122"/>
      <c r="E88" s="122"/>
      <c r="F88" s="122"/>
      <c r="G88" s="89">
        <v>441.6</v>
      </c>
      <c r="M88" s="121"/>
      <c r="N88" s="121"/>
      <c r="O88" s="121"/>
      <c r="P88" s="121"/>
      <c r="Q88" s="121"/>
      <c r="R88" s="121"/>
    </row>
  </sheetData>
  <mergeCells count="44">
    <mergeCell ref="A68:B68"/>
    <mergeCell ref="A88:F88"/>
    <mergeCell ref="M88:R88"/>
    <mergeCell ref="A18:B18"/>
    <mergeCell ref="A24:B24"/>
    <mergeCell ref="A29:B29"/>
    <mergeCell ref="A32:B32"/>
    <mergeCell ref="A59:B5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6:F86"/>
    <mergeCell ref="M86:R86"/>
    <mergeCell ref="A87:F87"/>
    <mergeCell ref="M87:R87"/>
    <mergeCell ref="A83:F83"/>
    <mergeCell ref="M83:R83"/>
    <mergeCell ref="A84:F84"/>
    <mergeCell ref="M84:R84"/>
    <mergeCell ref="A85:F85"/>
    <mergeCell ref="M85:R85"/>
  </mergeCells>
  <pageMargins left="0.25" right="0" top="0.4" bottom="0" header="0.3" footer="0"/>
  <pageSetup scale="68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B025-4E6B-48E0-B27E-04A4A5E343F3}">
  <sheetPr>
    <pageSetUpPr fitToPage="1"/>
  </sheetPr>
  <dimension ref="A1:S92"/>
  <sheetViews>
    <sheetView zoomScale="145" zoomScaleNormal="145" workbookViewId="0">
      <pane ySplit="2" topLeftCell="A3" activePane="bottomLeft" state="frozen"/>
      <selection pane="bottomLeft" activeCell="M1" sqref="M1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131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0</v>
      </c>
      <c r="E3" s="32">
        <v>0</v>
      </c>
      <c r="F3" s="32">
        <v>0</v>
      </c>
      <c r="G3" s="32">
        <v>0</v>
      </c>
      <c r="H3" s="8">
        <f>D3+F3+'01-06-22'!H3</f>
        <v>1800</v>
      </c>
      <c r="I3" s="8">
        <f>E3+G3+'01-06-22'!I3</f>
        <v>21.59</v>
      </c>
      <c r="J3" s="8">
        <f>H3+I3</f>
        <v>1821.59</v>
      </c>
      <c r="K3" s="8">
        <f>C3-J3</f>
        <v>1500.0000000000002</v>
      </c>
      <c r="L3" s="8">
        <f>C3-((J3/15)*26.0714285714285)</f>
        <v>155.49309523810462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275</v>
      </c>
      <c r="E4" s="33">
        <v>3.3</v>
      </c>
      <c r="F4" s="33">
        <v>1781.26</v>
      </c>
      <c r="G4" s="33">
        <v>133.59</v>
      </c>
      <c r="H4" s="8">
        <f>D4+F4+'01-06-22'!H4</f>
        <v>27942.67</v>
      </c>
      <c r="I4" s="8">
        <f>E4+G4+'01-06-22'!I4</f>
        <v>1958.3100000000002</v>
      </c>
      <c r="J4" s="8">
        <f t="shared" ref="J4:J17" si="0">H4+I4</f>
        <v>29900.98</v>
      </c>
      <c r="K4" s="8">
        <f t="shared" ref="K4:K17" si="1">C4-J4</f>
        <v>36099.020000000004</v>
      </c>
      <c r="L4" s="8">
        <f t="shared" ref="L4:L17" si="2">C4-((J4/15)*26.0714285714285)</f>
        <v>14029.249047619189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D5+F5+'01-06-22'!H5</f>
        <v>0</v>
      </c>
      <c r="I5" s="8">
        <f>E5+G5+'01-06-22'!I5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532.5</v>
      </c>
      <c r="E6" s="8">
        <v>6.39</v>
      </c>
      <c r="F6" s="8">
        <v>0</v>
      </c>
      <c r="G6" s="8">
        <v>0</v>
      </c>
      <c r="H6" s="8">
        <f>D6+F6+'01-06-22'!H6</f>
        <v>3675</v>
      </c>
      <c r="I6" s="8">
        <f>E6+G6+'01-06-22'!I6</f>
        <v>44.070000000000007</v>
      </c>
      <c r="J6" s="8">
        <f t="shared" si="0"/>
        <v>3719.07</v>
      </c>
      <c r="K6" s="8">
        <f t="shared" si="1"/>
        <v>2730.93</v>
      </c>
      <c r="L6" s="8">
        <f t="shared" si="2"/>
        <v>-14.09785714283953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802.6</v>
      </c>
      <c r="E7" s="41">
        <v>9.6300000000000008</v>
      </c>
      <c r="F7" s="41">
        <v>0</v>
      </c>
      <c r="G7" s="41">
        <v>0</v>
      </c>
      <c r="H7" s="8">
        <f>D7+F7+'01-06-22'!H7</f>
        <v>10885.37</v>
      </c>
      <c r="I7" s="8">
        <f>E7+G7+'01-06-22'!I7</f>
        <v>130.48999999999992</v>
      </c>
      <c r="J7" s="8">
        <f t="shared" si="0"/>
        <v>11015.86</v>
      </c>
      <c r="K7" s="8">
        <f t="shared" si="1"/>
        <v>13633.14</v>
      </c>
      <c r="L7" s="8">
        <f t="shared" si="2"/>
        <v>5502.3861904762452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436.58</v>
      </c>
      <c r="E8" s="9">
        <v>5.23</v>
      </c>
      <c r="F8" s="9">
        <v>0</v>
      </c>
      <c r="G8" s="9">
        <v>0</v>
      </c>
      <c r="H8" s="8">
        <f>D8+F8+'01-06-22'!H8</f>
        <v>7264.4800000000005</v>
      </c>
      <c r="I8" s="8">
        <f>E8+G8+'01-06-22'!I8</f>
        <v>87.01</v>
      </c>
      <c r="J8" s="8">
        <f t="shared" si="0"/>
        <v>7351.4900000000007</v>
      </c>
      <c r="K8" s="8">
        <f t="shared" si="1"/>
        <v>10622.509999999998</v>
      </c>
      <c r="L8" s="8">
        <f t="shared" si="2"/>
        <v>5196.4102380952718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690.42</v>
      </c>
      <c r="E9" s="9">
        <v>8.2799999999999994</v>
      </c>
      <c r="F9" s="9">
        <v>0</v>
      </c>
      <c r="G9" s="9">
        <v>0</v>
      </c>
      <c r="H9" s="8">
        <f>D9+F9+'01-06-22'!H9</f>
        <v>9337.33</v>
      </c>
      <c r="I9" s="8">
        <f>E9+G9+'01-06-22'!I9</f>
        <v>183.34999999999997</v>
      </c>
      <c r="J9" s="8">
        <f t="shared" si="0"/>
        <v>9520.68</v>
      </c>
      <c r="K9" s="8">
        <f t="shared" si="1"/>
        <v>8453.32</v>
      </c>
      <c r="L9" s="8">
        <f t="shared" si="2"/>
        <v>1426.1514285714766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126.96</v>
      </c>
      <c r="E10" s="32">
        <v>1.52</v>
      </c>
      <c r="F10" s="32">
        <v>0</v>
      </c>
      <c r="G10" s="32">
        <v>0</v>
      </c>
      <c r="H10" s="8">
        <f>D10+F10+'01-06-22'!H10</f>
        <v>1274.8899999999999</v>
      </c>
      <c r="I10" s="8">
        <f>E10+G10+'01-06-22'!I10</f>
        <v>15.239999999999998</v>
      </c>
      <c r="J10" s="8">
        <f t="shared" si="0"/>
        <v>1290.1299999999999</v>
      </c>
      <c r="K10" s="8">
        <f t="shared" si="1"/>
        <v>818.87000000000012</v>
      </c>
      <c r="L10" s="8">
        <f t="shared" si="2"/>
        <v>-133.36880952380307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879.89</v>
      </c>
      <c r="E11" s="9">
        <v>10.55</v>
      </c>
      <c r="F11" s="9">
        <v>0</v>
      </c>
      <c r="G11" s="9">
        <v>0</v>
      </c>
      <c r="H11" s="8">
        <f>D11+F11+'01-06-22'!H11</f>
        <v>10171.029999999999</v>
      </c>
      <c r="I11" s="8">
        <f>E11+G11+'01-06-22'!I11</f>
        <v>214.82000000000002</v>
      </c>
      <c r="J11" s="8">
        <f t="shared" si="0"/>
        <v>10385.849999999999</v>
      </c>
      <c r="K11" s="8">
        <f t="shared" si="1"/>
        <v>13944.150000000001</v>
      </c>
      <c r="L11" s="8">
        <f t="shared" si="2"/>
        <v>6278.4035714286256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f>242+1079.27</f>
        <v>1321.27</v>
      </c>
      <c r="E12" s="8">
        <f>2.9+12.95</f>
        <v>15.85</v>
      </c>
      <c r="F12" s="8">
        <v>0</v>
      </c>
      <c r="G12" s="8">
        <v>0</v>
      </c>
      <c r="H12" s="8">
        <f>D12+F12+'01-06-22'!H12</f>
        <v>18673.28</v>
      </c>
      <c r="I12" s="8">
        <f>E12+G12+'01-06-22'!I12</f>
        <v>301.90000000000003</v>
      </c>
      <c r="J12" s="8">
        <f t="shared" si="0"/>
        <v>18975.18</v>
      </c>
      <c r="K12" s="8">
        <f t="shared" si="1"/>
        <v>14753.25</v>
      </c>
      <c r="L12" s="8">
        <f t="shared" si="2"/>
        <v>747.76000000009662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1173.79</v>
      </c>
      <c r="E13" s="8">
        <v>14.07</v>
      </c>
      <c r="F13" s="8">
        <v>0</v>
      </c>
      <c r="G13" s="8">
        <v>0</v>
      </c>
      <c r="H13" s="8">
        <f>D13+F13+'01-06-22'!H13</f>
        <v>21440.510000000002</v>
      </c>
      <c r="I13" s="8">
        <f>E13+G13+'01-06-22'!I13</f>
        <v>259.39</v>
      </c>
      <c r="J13" s="8">
        <f t="shared" si="0"/>
        <v>21699.9</v>
      </c>
      <c r="K13" s="8">
        <f t="shared" si="1"/>
        <v>21041.1</v>
      </c>
      <c r="L13" s="8">
        <f t="shared" si="2"/>
        <v>5024.5071428572483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670.23</v>
      </c>
      <c r="E14" s="9">
        <v>8.0399999999999991</v>
      </c>
      <c r="F14" s="9">
        <v>0</v>
      </c>
      <c r="G14" s="9">
        <v>0</v>
      </c>
      <c r="H14" s="8">
        <f>D14+F14+'01-06-22'!H14</f>
        <v>7556.3000000000011</v>
      </c>
      <c r="I14" s="8">
        <f>E14+G14+'01-06-22'!I14</f>
        <v>90.57</v>
      </c>
      <c r="J14" s="8">
        <f t="shared" si="0"/>
        <v>7646.8700000000008</v>
      </c>
      <c r="K14" s="8">
        <f t="shared" si="1"/>
        <v>16526.129999999997</v>
      </c>
      <c r="L14" s="8">
        <f t="shared" si="2"/>
        <v>10882.011666666702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862.5</v>
      </c>
      <c r="G15" s="33">
        <v>64.680000000000007</v>
      </c>
      <c r="H15" s="8">
        <f>D15+F15+'01-06-22'!H15</f>
        <v>5242.5</v>
      </c>
      <c r="I15" s="8">
        <f>E15+G15+'01-06-22'!I15</f>
        <v>393.16</v>
      </c>
      <c r="J15" s="8">
        <f>H15+I15</f>
        <v>5635.66</v>
      </c>
      <c r="K15" s="8">
        <f>C15-J15</f>
        <v>9919.34</v>
      </c>
      <c r="L15" s="8">
        <f t="shared" si="2"/>
        <v>5759.6861904762172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36.06</v>
      </c>
      <c r="E16" s="9">
        <v>0.43</v>
      </c>
      <c r="F16" s="9">
        <v>0</v>
      </c>
      <c r="G16" s="9">
        <v>0</v>
      </c>
      <c r="H16" s="8">
        <f>D16+F16+'01-06-22'!H16</f>
        <v>1685.1799999999998</v>
      </c>
      <c r="I16" s="8">
        <f>E16+G16+'01-06-22'!I16</f>
        <v>29.11</v>
      </c>
      <c r="J16" s="8">
        <f t="shared" si="0"/>
        <v>1714.2899999999997</v>
      </c>
      <c r="K16" s="8">
        <f t="shared" si="1"/>
        <v>4285.71</v>
      </c>
      <c r="L16" s="8">
        <f t="shared" si="2"/>
        <v>3020.4007142857231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32">
        <v>0</v>
      </c>
      <c r="E17" s="32">
        <v>0</v>
      </c>
      <c r="F17" s="32">
        <v>0</v>
      </c>
      <c r="G17" s="32">
        <v>0</v>
      </c>
      <c r="H17" s="8">
        <f>D17+F17+'01-06-22'!H17</f>
        <v>6222</v>
      </c>
      <c r="I17" s="8">
        <f>E17+G17+'01-06-22'!I17</f>
        <v>74.63</v>
      </c>
      <c r="J17" s="8">
        <f t="shared" si="0"/>
        <v>6296.63</v>
      </c>
      <c r="K17" s="8">
        <f t="shared" si="1"/>
        <v>4503.37</v>
      </c>
      <c r="L17" s="8">
        <f t="shared" si="2"/>
        <v>-144.1426190475886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287922.02</v>
      </c>
      <c r="D18" s="7">
        <f t="shared" ref="D18:L18" si="4">SUM(D3:D17)</f>
        <v>6945.3</v>
      </c>
      <c r="E18" s="7">
        <f t="shared" si="4"/>
        <v>83.29000000000002</v>
      </c>
      <c r="F18" s="7">
        <f t="shared" si="4"/>
        <v>2643.76</v>
      </c>
      <c r="G18" s="7">
        <f t="shared" si="4"/>
        <v>198.27</v>
      </c>
      <c r="H18" s="7">
        <f t="shared" si="4"/>
        <v>133170.53999999998</v>
      </c>
      <c r="I18" s="7">
        <f t="shared" si="4"/>
        <v>3803.6400000000003</v>
      </c>
      <c r="J18" s="35">
        <f t="shared" si="4"/>
        <v>136974.17999999996</v>
      </c>
      <c r="K18" s="35">
        <f t="shared" si="4"/>
        <v>161747.84</v>
      </c>
      <c r="L18" s="7">
        <f t="shared" si="4"/>
        <v>60647.850000000668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D22+F22+'01-06-22'!H22</f>
        <v>751.18</v>
      </c>
      <c r="I22" s="8">
        <f>E22+G22+'01-06-22'!I22</f>
        <v>8.98</v>
      </c>
      <c r="J22" s="8">
        <f t="shared" si="6"/>
        <v>760.16</v>
      </c>
      <c r="K22" s="8">
        <f t="shared" ref="K22:K23" si="8">C22-J22</f>
        <v>13192.84</v>
      </c>
      <c r="L22" s="8">
        <f t="shared" ref="L22:L23" si="9">C22-((J22/15)*26.0714285714285)</f>
        <v>12631.769523809528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220</v>
      </c>
      <c r="E23" s="32">
        <v>2.64</v>
      </c>
      <c r="F23" s="32">
        <v>0</v>
      </c>
      <c r="G23" s="32">
        <v>0</v>
      </c>
      <c r="H23" s="8">
        <f>D23+F23+'01-06-22'!H23</f>
        <v>1967.5</v>
      </c>
      <c r="I23" s="8">
        <f>E23+G23+'01-06-22'!I23</f>
        <v>23.580000000000002</v>
      </c>
      <c r="J23" s="8">
        <f t="shared" si="6"/>
        <v>1991.08</v>
      </c>
      <c r="K23" s="8">
        <f t="shared" si="8"/>
        <v>34.920000000000073</v>
      </c>
      <c r="L23" s="8">
        <f t="shared" si="9"/>
        <v>-1434.6866666666569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220</v>
      </c>
      <c r="E24" s="7">
        <f t="shared" si="10"/>
        <v>2.64</v>
      </c>
      <c r="F24" s="7">
        <f t="shared" si="10"/>
        <v>0</v>
      </c>
      <c r="G24" s="7">
        <f t="shared" si="10"/>
        <v>0</v>
      </c>
      <c r="H24" s="8">
        <f>D24+F24+'07-22-21'!H23</f>
        <v>220</v>
      </c>
      <c r="I24" s="8">
        <f>E24+G24+'07-22-21'!I23</f>
        <v>2.64</v>
      </c>
      <c r="J24" s="35">
        <f t="shared" si="10"/>
        <v>2751.24</v>
      </c>
      <c r="K24" s="7">
        <f t="shared" si="10"/>
        <v>13227.76</v>
      </c>
      <c r="L24" s="7">
        <f t="shared" si="10"/>
        <v>11197.08285714287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548.27</v>
      </c>
      <c r="E27" s="9">
        <v>6.57</v>
      </c>
      <c r="F27" s="9">
        <v>1200</v>
      </c>
      <c r="G27" s="9">
        <v>90</v>
      </c>
      <c r="H27" s="8">
        <f>D27+F27+'01-06-22'!H27</f>
        <v>17710.52</v>
      </c>
      <c r="I27" s="8">
        <f>E27+G27+'01-06-22'!I27</f>
        <v>656.21</v>
      </c>
      <c r="J27" s="8">
        <f t="shared" ref="J27:J28" si="11">H27+I27</f>
        <v>18366.73</v>
      </c>
      <c r="K27" s="8">
        <f>C27-J27</f>
        <v>6633.27</v>
      </c>
      <c r="L27" s="8">
        <f>C27-((J27/15)*26.0714285714285)</f>
        <v>-6923.1259523808621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548.27</v>
      </c>
      <c r="E29" s="31">
        <f t="shared" si="14"/>
        <v>6.57</v>
      </c>
      <c r="F29" s="31">
        <f t="shared" si="14"/>
        <v>1200</v>
      </c>
      <c r="G29" s="31">
        <f t="shared" si="14"/>
        <v>90</v>
      </c>
      <c r="H29" s="31">
        <f t="shared" si="14"/>
        <v>17710.52</v>
      </c>
      <c r="I29" s="31">
        <f t="shared" si="14"/>
        <v>656.21</v>
      </c>
      <c r="J29" s="31">
        <f t="shared" si="14"/>
        <v>18366.73</v>
      </c>
      <c r="K29" s="31">
        <f t="shared" si="14"/>
        <v>6633.27</v>
      </c>
      <c r="L29" s="31">
        <f t="shared" si="14"/>
        <v>-6923.1259523808621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328901.02</v>
      </c>
      <c r="D32" s="24">
        <f t="shared" si="15"/>
        <v>7713.57</v>
      </c>
      <c r="E32" s="24">
        <f t="shared" si="15"/>
        <v>92.500000000000028</v>
      </c>
      <c r="F32" s="24">
        <f t="shared" si="15"/>
        <v>3843.76</v>
      </c>
      <c r="G32" s="24">
        <f t="shared" si="15"/>
        <v>288.27</v>
      </c>
      <c r="H32" s="24">
        <f t="shared" si="15"/>
        <v>151101.05999999997</v>
      </c>
      <c r="I32" s="24">
        <f t="shared" si="15"/>
        <v>4462.49</v>
      </c>
      <c r="J32" s="24">
        <f t="shared" si="15"/>
        <v>158092.14999999997</v>
      </c>
      <c r="K32" s="24">
        <f t="shared" si="15"/>
        <v>181608.87</v>
      </c>
      <c r="L32" s="24">
        <f t="shared" si="15"/>
        <v>64921.80690476267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D35+F35+'01-06-22'!H35</f>
        <v>800.94</v>
      </c>
      <c r="I35" s="8">
        <f>E35+G35+'01-06-22'!I35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9" si="16">C35-((J35/15)*26.0714285714285)</f>
        <v>1693.5761238095279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D36+F36+'01-06-22'!H36</f>
        <v>1248</v>
      </c>
      <c r="I36" s="8">
        <f>E36+G36+'01-06-22'!I36</f>
        <v>93.6</v>
      </c>
      <c r="J36" s="8">
        <f t="shared" ref="J36:J59" si="17">H36+I36</f>
        <v>1341.6</v>
      </c>
      <c r="K36" s="8">
        <f t="shared" ref="K36:K59" si="18">C36-J36</f>
        <v>0</v>
      </c>
      <c r="L36" s="8">
        <f t="shared" si="16"/>
        <v>-990.22857142856492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f>-242+1008</f>
        <v>766</v>
      </c>
      <c r="E37" s="8">
        <f>-2.9+75.6</f>
        <v>72.699999999999989</v>
      </c>
      <c r="F37" s="8">
        <v>0</v>
      </c>
      <c r="G37" s="8">
        <v>0</v>
      </c>
      <c r="H37" s="8">
        <f>D37+F37+'01-06-22'!H37</f>
        <v>3675</v>
      </c>
      <c r="I37" s="8">
        <f>E37+G37+'01-06-22'!I37</f>
        <v>120.79999999999998</v>
      </c>
      <c r="J37" s="8">
        <f t="shared" si="17"/>
        <v>3795.8</v>
      </c>
      <c r="K37" s="8">
        <f t="shared" si="18"/>
        <v>7762.5999999999995</v>
      </c>
      <c r="L37" s="8">
        <f t="shared" si="16"/>
        <v>4960.9380952381134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D38+F38+'01-06-22'!H38</f>
        <v>0</v>
      </c>
      <c r="I38" s="8">
        <f>E38+G38+'01-06-22'!I38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D39+F39+'01-06-22'!H39</f>
        <v>36.659999999999997</v>
      </c>
      <c r="I39" s="8">
        <f>E39+G39+'01-06-22'!I39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-64.481584114285539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D40+F40+'01-06-22'!H40</f>
        <v>0</v>
      </c>
      <c r="I40" s="8">
        <f>E40+G40+'01-06-22'!I40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D41+F41+'01-06-22'!H41</f>
        <v>0</v>
      </c>
      <c r="I41" s="8">
        <f>E41+G41+'01-06-22'!I41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D42+F42+'01-06-22'!H42</f>
        <v>582.25</v>
      </c>
      <c r="I42" s="8">
        <f>E42+G42+'01-06-22'!I42</f>
        <v>6.97</v>
      </c>
      <c r="J42" s="8">
        <f t="shared" si="17"/>
        <v>589.22</v>
      </c>
      <c r="K42" s="8">
        <f>C42-J42</f>
        <v>6120.78</v>
      </c>
      <c r="L42" s="8">
        <f t="shared" si="16"/>
        <v>5685.8795238095263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D43+F43+'01-06-22'!H43</f>
        <v>3121.7</v>
      </c>
      <c r="I43" s="8">
        <f>E43+G43+'01-06-22'!I43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-2326.1588095237935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D44+F44+'01-06-22'!H44</f>
        <v>0</v>
      </c>
      <c r="I44" s="8">
        <f>E44+G44+'01-06-22'!I44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156.24</v>
      </c>
      <c r="E45" s="32">
        <v>1.87</v>
      </c>
      <c r="F45" s="32">
        <v>0</v>
      </c>
      <c r="G45" s="32">
        <v>0</v>
      </c>
      <c r="H45" s="8">
        <f>D45+F45+'01-06-22'!H45</f>
        <v>1132.7399999999998</v>
      </c>
      <c r="I45" s="8">
        <f>E45+G45+'01-06-22'!I45</f>
        <v>13.54</v>
      </c>
      <c r="J45" s="8">
        <f t="shared" si="17"/>
        <v>1146.2799999999997</v>
      </c>
      <c r="K45" s="92">
        <f t="shared" si="19"/>
        <v>3853.7200000000003</v>
      </c>
      <c r="L45" s="8">
        <f t="shared" si="16"/>
        <v>3007.6561904761966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24</v>
      </c>
      <c r="E46" s="32">
        <v>0.28000000000000003</v>
      </c>
      <c r="F46" s="32">
        <v>499.5</v>
      </c>
      <c r="G46" s="32">
        <v>37.46</v>
      </c>
      <c r="H46" s="8">
        <f>D46+F46+'01-06-22'!H46</f>
        <v>4816.72</v>
      </c>
      <c r="I46" s="8">
        <f>E46+G46+'01-06-22'!I46</f>
        <v>276.58999999999997</v>
      </c>
      <c r="J46" s="8">
        <f t="shared" si="17"/>
        <v>5093.3100000000004</v>
      </c>
      <c r="K46" s="8">
        <f>C46-J46</f>
        <v>5598.04</v>
      </c>
      <c r="L46" s="8">
        <f t="shared" si="16"/>
        <v>1838.6921428571677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D47+F47+'01-06-22'!H47</f>
        <v>0</v>
      </c>
      <c r="I47" s="8">
        <f>E47+G47+'01-06-22'!I47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0</v>
      </c>
      <c r="E48" s="32">
        <v>0</v>
      </c>
      <c r="F48" s="32">
        <v>0</v>
      </c>
      <c r="G48" s="32">
        <v>0</v>
      </c>
      <c r="H48" s="8">
        <f>D48+F48+'01-06-22'!H48</f>
        <v>6096.14</v>
      </c>
      <c r="I48" s="8">
        <f>E48+G48+'01-06-22'!I48</f>
        <v>73.11999999999999</v>
      </c>
      <c r="J48" s="8">
        <f t="shared" si="17"/>
        <v>6169.26</v>
      </c>
      <c r="K48" s="8">
        <f>C48-J48</f>
        <v>13030.74</v>
      </c>
      <c r="L48" s="8">
        <f t="shared" si="16"/>
        <v>8477.2385714286011</v>
      </c>
      <c r="M48" s="68"/>
    </row>
    <row r="49" spans="1:13" s="54" customFormat="1" ht="11.45" customHeight="1" x14ac:dyDescent="0.2">
      <c r="A49" s="18" t="s">
        <v>6</v>
      </c>
      <c r="B49" s="112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D49+F49+'01-06-22'!H49</f>
        <v>1754.38</v>
      </c>
      <c r="I49" s="8">
        <f>E49+G49+'01-06-22'!I49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992.88928571429506</v>
      </c>
      <c r="M49" s="88"/>
    </row>
    <row r="50" spans="1:13" s="54" customFormat="1" ht="11.45" customHeight="1" x14ac:dyDescent="0.2">
      <c r="A50" s="94" t="s">
        <v>133</v>
      </c>
      <c r="B50" s="112" t="s">
        <v>5</v>
      </c>
      <c r="C50" s="96">
        <v>3700</v>
      </c>
      <c r="D50" s="97">
        <v>0</v>
      </c>
      <c r="E50" s="97">
        <v>0</v>
      </c>
      <c r="F50" s="97">
        <v>0</v>
      </c>
      <c r="G50" s="97">
        <v>0</v>
      </c>
      <c r="H50" s="96">
        <f>D50+F50</f>
        <v>0</v>
      </c>
      <c r="I50" s="96">
        <f>E50+G50</f>
        <v>0</v>
      </c>
      <c r="J50" s="96">
        <f t="shared" ref="J50" si="21">H50+I50</f>
        <v>0</v>
      </c>
      <c r="K50" s="96">
        <f>C50-J50</f>
        <v>3700</v>
      </c>
      <c r="L50" s="96">
        <f t="shared" ref="L50" si="22">C50-((J50/15)*26.0714285714285)</f>
        <v>3700</v>
      </c>
      <c r="M50" s="88"/>
    </row>
    <row r="51" spans="1:13" s="54" customFormat="1" ht="11.45" hidden="1" customHeight="1" x14ac:dyDescent="0.25">
      <c r="A51" s="18" t="s">
        <v>8</v>
      </c>
      <c r="B51" s="61" t="s">
        <v>7</v>
      </c>
      <c r="C51" s="8">
        <v>0</v>
      </c>
      <c r="D51" s="33"/>
      <c r="E51" s="33"/>
      <c r="F51" s="33"/>
      <c r="G51" s="33"/>
      <c r="H51" s="8">
        <f>D51+F51+'01-06-22'!H50</f>
        <v>0</v>
      </c>
      <c r="I51" s="8">
        <f>E51+G51+'01-06-22'!I50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54" customFormat="1" ht="11.45" hidden="1" customHeight="1" x14ac:dyDescent="0.25">
      <c r="A52" s="18" t="s">
        <v>50</v>
      </c>
      <c r="B52" s="61" t="s">
        <v>53</v>
      </c>
      <c r="C52" s="8">
        <v>202.01</v>
      </c>
      <c r="D52" s="33"/>
      <c r="E52" s="33"/>
      <c r="F52" s="33"/>
      <c r="G52" s="33"/>
      <c r="H52" s="8">
        <f>D52+F52+'01-06-22'!H51</f>
        <v>0</v>
      </c>
      <c r="I52" s="8">
        <f>E52+G52+'01-06-22'!I51</f>
        <v>0</v>
      </c>
      <c r="J52" s="8">
        <f t="shared" si="17"/>
        <v>0</v>
      </c>
      <c r="K52" s="8">
        <f t="shared" si="18"/>
        <v>202.01</v>
      </c>
      <c r="L52" s="8">
        <f t="shared" si="16"/>
        <v>202.01</v>
      </c>
      <c r="M52" s="68"/>
    </row>
    <row r="53" spans="1:13" s="54" customFormat="1" ht="11.45" hidden="1" customHeight="1" x14ac:dyDescent="0.25">
      <c r="A53" s="18" t="s">
        <v>51</v>
      </c>
      <c r="B53" s="61" t="s">
        <v>52</v>
      </c>
      <c r="C53" s="8"/>
      <c r="D53" s="33"/>
      <c r="E53" s="33"/>
      <c r="F53" s="33"/>
      <c r="G53" s="33"/>
      <c r="H53" s="8">
        <f>D53+F53+'01-06-22'!H52</f>
        <v>0</v>
      </c>
      <c r="I53" s="8">
        <f>E53+G53+'01-06-22'!I52</f>
        <v>0</v>
      </c>
      <c r="J53" s="8">
        <f t="shared" si="17"/>
        <v>0</v>
      </c>
      <c r="K53" s="8">
        <f t="shared" si="18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45</v>
      </c>
      <c r="B54" s="61" t="s">
        <v>46</v>
      </c>
      <c r="C54" s="62">
        <v>3655.06</v>
      </c>
      <c r="D54" s="33"/>
      <c r="E54" s="33"/>
      <c r="F54" s="33"/>
      <c r="G54" s="33"/>
      <c r="H54" s="8">
        <f>D54+F54+'01-06-22'!H53</f>
        <v>0</v>
      </c>
      <c r="I54" s="8">
        <f>E54+G54+'01-06-22'!I53</f>
        <v>0</v>
      </c>
      <c r="J54" s="8">
        <f t="shared" si="17"/>
        <v>0</v>
      </c>
      <c r="K54" s="8">
        <f t="shared" si="18"/>
        <v>3655.06</v>
      </c>
      <c r="L54" s="8">
        <f t="shared" si="16"/>
        <v>3655.06</v>
      </c>
      <c r="M54" s="67"/>
    </row>
    <row r="55" spans="1:13" s="63" customFormat="1" ht="11.25" hidden="1" customHeight="1" x14ac:dyDescent="0.25">
      <c r="A55" s="18" t="s">
        <v>61</v>
      </c>
      <c r="B55" s="61" t="s">
        <v>60</v>
      </c>
      <c r="C55" s="62">
        <v>0</v>
      </c>
      <c r="D55" s="33"/>
      <c r="E55" s="33"/>
      <c r="F55" s="33"/>
      <c r="G55" s="33"/>
      <c r="H55" s="8">
        <f>D55+F55+'01-06-22'!H54</f>
        <v>0</v>
      </c>
      <c r="I55" s="8">
        <f>E55+G55+'01-06-22'!I54</f>
        <v>0</v>
      </c>
      <c r="J55" s="8">
        <f t="shared" si="17"/>
        <v>0</v>
      </c>
      <c r="K55" s="8">
        <f t="shared" si="18"/>
        <v>0</v>
      </c>
      <c r="L55" s="8">
        <f t="shared" si="16"/>
        <v>0</v>
      </c>
      <c r="M55" s="68"/>
    </row>
    <row r="56" spans="1:13" s="63" customFormat="1" ht="11.25" customHeight="1" x14ac:dyDescent="0.25">
      <c r="A56" s="18" t="s">
        <v>67</v>
      </c>
      <c r="B56" s="61" t="s">
        <v>66</v>
      </c>
      <c r="C56" s="62">
        <v>3313.36</v>
      </c>
      <c r="D56" s="32">
        <v>0</v>
      </c>
      <c r="E56" s="32">
        <v>0</v>
      </c>
      <c r="F56" s="32">
        <v>0</v>
      </c>
      <c r="G56" s="32">
        <v>0</v>
      </c>
      <c r="H56" s="8">
        <f>D56+F56+'01-06-22'!H55</f>
        <v>0</v>
      </c>
      <c r="I56" s="8">
        <f>E56+G56+'01-06-22'!I55</f>
        <v>0</v>
      </c>
      <c r="J56" s="8">
        <f t="shared" si="17"/>
        <v>0</v>
      </c>
      <c r="K56" s="8">
        <f t="shared" si="18"/>
        <v>3313.36</v>
      </c>
      <c r="L56" s="8">
        <f t="shared" si="16"/>
        <v>3313.36</v>
      </c>
      <c r="M56" s="68"/>
    </row>
    <row r="57" spans="1:13" s="63" customFormat="1" ht="11.25" customHeight="1" x14ac:dyDescent="0.25">
      <c r="A57" s="18" t="s">
        <v>68</v>
      </c>
      <c r="B57" s="61" t="s">
        <v>69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D57+F57+'01-06-22'!H56</f>
        <v>2.4</v>
      </c>
      <c r="I57" s="8">
        <f>E57+G57+'01-06-22'!I56</f>
        <v>0.02</v>
      </c>
      <c r="J57" s="8">
        <f t="shared" si="17"/>
        <v>2.42</v>
      </c>
      <c r="K57" s="8">
        <f t="shared" si="18"/>
        <v>4190.72</v>
      </c>
      <c r="L57" s="8">
        <f t="shared" si="16"/>
        <v>4188.9338095238099</v>
      </c>
      <c r="M57" s="68"/>
    </row>
    <row r="58" spans="1:13" s="63" customFormat="1" ht="11.25" customHeight="1" x14ac:dyDescent="0.2">
      <c r="A58" s="18" t="s">
        <v>73</v>
      </c>
      <c r="B58" s="61" t="s">
        <v>72</v>
      </c>
      <c r="C58" s="62">
        <v>4193.1400000000003</v>
      </c>
      <c r="D58" s="32">
        <v>0</v>
      </c>
      <c r="E58" s="32">
        <v>0</v>
      </c>
      <c r="F58" s="32">
        <v>0</v>
      </c>
      <c r="G58" s="32">
        <v>0</v>
      </c>
      <c r="H58" s="8">
        <f>D58+F58+'01-06-22'!H57</f>
        <v>2754</v>
      </c>
      <c r="I58" s="8">
        <f>E58+G58+'01-06-22'!I57</f>
        <v>114.28999999999999</v>
      </c>
      <c r="J58" s="8">
        <f t="shared" si="17"/>
        <v>2868.29</v>
      </c>
      <c r="K58" s="8">
        <f t="shared" si="18"/>
        <v>1324.8500000000004</v>
      </c>
      <c r="L58" s="8">
        <f t="shared" si="16"/>
        <v>-792.22119047617616</v>
      </c>
      <c r="M58" s="88"/>
    </row>
    <row r="59" spans="1:13" s="63" customFormat="1" ht="11.25" customHeight="1" x14ac:dyDescent="0.2">
      <c r="A59" s="18" t="s">
        <v>106</v>
      </c>
      <c r="B59" s="61" t="s">
        <v>107</v>
      </c>
      <c r="C59" s="62">
        <f>2600+2600</f>
        <v>5200</v>
      </c>
      <c r="D59" s="32">
        <v>248.64</v>
      </c>
      <c r="E59" s="32">
        <v>2.98</v>
      </c>
      <c r="F59" s="32">
        <v>0</v>
      </c>
      <c r="G59" s="32">
        <v>0</v>
      </c>
      <c r="H59" s="8">
        <f>D59+F59+'01-06-22'!H58</f>
        <v>2544.4199999999996</v>
      </c>
      <c r="I59" s="8">
        <f>E59+G59+'01-06-22'!I58</f>
        <v>30.470000000000002</v>
      </c>
      <c r="J59" s="8">
        <f t="shared" si="17"/>
        <v>2574.8899999999994</v>
      </c>
      <c r="K59" s="8">
        <f t="shared" si="18"/>
        <v>2625.1100000000006</v>
      </c>
      <c r="L59" s="8">
        <f t="shared" si="16"/>
        <v>724.59595238096517</v>
      </c>
      <c r="M59" s="88"/>
    </row>
    <row r="60" spans="1:13" ht="21.6" customHeight="1" x14ac:dyDescent="0.25">
      <c r="A60" s="119" t="s">
        <v>88</v>
      </c>
      <c r="B60" s="120"/>
      <c r="C60" s="7">
        <f>SUM(C35:C54)</f>
        <v>76399.25</v>
      </c>
      <c r="D60" s="7"/>
      <c r="E60" s="7"/>
      <c r="F60" s="7"/>
      <c r="G60" s="7"/>
      <c r="H60" s="7">
        <f>SUM(H35:H55)</f>
        <v>23264.53</v>
      </c>
      <c r="I60" s="7">
        <f>SUM(I35:I55)</f>
        <v>808.86259360000008</v>
      </c>
      <c r="J60" s="7">
        <f>SUM(J35:J55)</f>
        <v>24073.392593600005</v>
      </c>
      <c r="K60" s="7">
        <f>SUM(K35:K55)</f>
        <v>52325.857406399999</v>
      </c>
      <c r="L60" s="7">
        <f>SUM(L35:L55)</f>
        <v>34557.400968266782</v>
      </c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78"/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s="53" customFormat="1" ht="10.9" customHeight="1" x14ac:dyDescent="0.25">
      <c r="A63" s="17" t="s">
        <v>4</v>
      </c>
      <c r="B63" s="21" t="s">
        <v>3</v>
      </c>
      <c r="C63" s="8">
        <v>62583</v>
      </c>
      <c r="D63" s="9">
        <f>-1614.4+1437.71</f>
        <v>-176.69000000000005</v>
      </c>
      <c r="E63" s="9">
        <f>-19.37+17.25</f>
        <v>-2.120000000000001</v>
      </c>
      <c r="F63" s="9">
        <v>0</v>
      </c>
      <c r="G63" s="9">
        <v>0</v>
      </c>
      <c r="H63" s="8">
        <f>D63+F63+'01-06-22'!H62</f>
        <v>15486.2</v>
      </c>
      <c r="I63" s="8">
        <f>E63+G63+'01-06-22'!I62</f>
        <v>254.87</v>
      </c>
      <c r="J63" s="8">
        <f t="shared" ref="J63:J64" si="23">H63+I63</f>
        <v>15741.070000000002</v>
      </c>
      <c r="K63" s="8">
        <f>C63-J63</f>
        <v>46841.93</v>
      </c>
      <c r="L63" s="8">
        <f t="shared" ref="L63:L64" si="24">C63-((J63/15)*26.0714285714285)</f>
        <v>35223.521190476269</v>
      </c>
      <c r="M63" s="67"/>
    </row>
    <row r="64" spans="1:13" s="53" customFormat="1" ht="10.9" customHeight="1" x14ac:dyDescent="0.25">
      <c r="A64" s="17" t="s">
        <v>64</v>
      </c>
      <c r="B64" s="21" t="s">
        <v>63</v>
      </c>
      <c r="C64" s="8">
        <v>0</v>
      </c>
      <c r="D64" s="32">
        <v>0</v>
      </c>
      <c r="E64" s="32">
        <v>0</v>
      </c>
      <c r="F64" s="32">
        <v>0</v>
      </c>
      <c r="G64" s="32">
        <v>0</v>
      </c>
      <c r="H64" s="8">
        <f>D64+F64+'01-06-22'!H63</f>
        <v>0</v>
      </c>
      <c r="I64" s="8">
        <f>E64+G64+'01-06-22'!I63</f>
        <v>0</v>
      </c>
      <c r="J64" s="8">
        <f t="shared" si="23"/>
        <v>0</v>
      </c>
      <c r="K64" s="8">
        <f>C64-J64</f>
        <v>0</v>
      </c>
      <c r="L64" s="8">
        <f t="shared" si="24"/>
        <v>0</v>
      </c>
      <c r="M64" s="67"/>
    </row>
    <row r="65" spans="1:19" ht="21.6" customHeight="1" x14ac:dyDescent="0.25">
      <c r="A65" s="16" t="s">
        <v>2</v>
      </c>
      <c r="B65" s="15"/>
      <c r="C65" s="14">
        <f>C63+C64</f>
        <v>62583</v>
      </c>
      <c r="D65" s="14">
        <f t="shared" ref="D65:L65" si="25">D63+D64</f>
        <v>-176.69000000000005</v>
      </c>
      <c r="E65" s="14">
        <f t="shared" si="25"/>
        <v>-2.120000000000001</v>
      </c>
      <c r="F65" s="14">
        <f t="shared" si="25"/>
        <v>0</v>
      </c>
      <c r="G65" s="14">
        <f t="shared" si="25"/>
        <v>0</v>
      </c>
      <c r="H65" s="14">
        <f t="shared" si="25"/>
        <v>15486.2</v>
      </c>
      <c r="I65" s="14">
        <f t="shared" si="25"/>
        <v>254.87</v>
      </c>
      <c r="J65" s="14">
        <f t="shared" si="25"/>
        <v>15741.070000000002</v>
      </c>
      <c r="K65" s="14">
        <f t="shared" si="25"/>
        <v>46841.93</v>
      </c>
      <c r="L65" s="14">
        <f t="shared" si="25"/>
        <v>35223.521190476269</v>
      </c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ht="10.9" customHeight="1" x14ac:dyDescent="0.25">
      <c r="A67" s="13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 s="53" customFormat="1" ht="10.9" customHeight="1" x14ac:dyDescent="0.25">
      <c r="A68" s="17" t="s">
        <v>1</v>
      </c>
      <c r="B68" s="21">
        <v>55180000</v>
      </c>
      <c r="C68" s="8">
        <v>37736</v>
      </c>
      <c r="D68" s="32">
        <v>0</v>
      </c>
      <c r="E68" s="32">
        <v>0</v>
      </c>
      <c r="F68" s="32">
        <v>0</v>
      </c>
      <c r="G68" s="32">
        <v>0</v>
      </c>
      <c r="H68" s="8">
        <f>D68+F68+'01-06-22'!H67</f>
        <v>336.26</v>
      </c>
      <c r="I68" s="8">
        <f>E68+G68+'01-06-22'!I67</f>
        <v>25.21</v>
      </c>
      <c r="J68" s="8">
        <f t="shared" ref="J68" si="26">H68+I68</f>
        <v>361.46999999999997</v>
      </c>
      <c r="K68" s="8">
        <f>C68-J68</f>
        <v>37374.53</v>
      </c>
      <c r="L68" s="8">
        <f>C68-((J68/15)*26.0714285714285)</f>
        <v>37107.730714285717</v>
      </c>
      <c r="M68" s="67"/>
    </row>
    <row r="69" spans="1:19" s="3" customFormat="1" ht="21.6" customHeight="1" x14ac:dyDescent="0.25">
      <c r="A69" s="119" t="s">
        <v>0</v>
      </c>
      <c r="B69" s="120"/>
      <c r="C69" s="7">
        <f t="shared" ref="C69:L69" si="27">SUM(C68)</f>
        <v>37736</v>
      </c>
      <c r="D69" s="7">
        <f t="shared" si="27"/>
        <v>0</v>
      </c>
      <c r="E69" s="7">
        <f t="shared" si="27"/>
        <v>0</v>
      </c>
      <c r="F69" s="7">
        <f t="shared" si="27"/>
        <v>0</v>
      </c>
      <c r="G69" s="7">
        <f t="shared" si="27"/>
        <v>0</v>
      </c>
      <c r="H69" s="7">
        <f t="shared" si="27"/>
        <v>336.26</v>
      </c>
      <c r="I69" s="7">
        <f t="shared" si="27"/>
        <v>25.21</v>
      </c>
      <c r="J69" s="7">
        <f t="shared" si="27"/>
        <v>361.46999999999997</v>
      </c>
      <c r="K69" s="7">
        <f t="shared" si="27"/>
        <v>37374.53</v>
      </c>
      <c r="L69" s="7">
        <f t="shared" si="27"/>
        <v>37107.730714285717</v>
      </c>
      <c r="M69" s="73"/>
    </row>
    <row r="70" spans="1:19" s="3" customFormat="1" ht="11.25" customHeight="1" x14ac:dyDescent="0.25">
      <c r="A70" s="6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73"/>
    </row>
    <row r="71" spans="1:19" s="2" customFormat="1" ht="10.5" customHeight="1" x14ac:dyDescent="0.25">
      <c r="A71" s="122" t="s">
        <v>83</v>
      </c>
      <c r="B71" s="122"/>
      <c r="C71" s="122"/>
      <c r="D71" s="122"/>
      <c r="E71" s="122"/>
      <c r="F71" s="122"/>
      <c r="G71" s="89">
        <v>5955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90</v>
      </c>
      <c r="B72" s="122"/>
      <c r="C72" s="122"/>
      <c r="D72" s="122"/>
      <c r="E72" s="122"/>
      <c r="F72" s="122"/>
      <c r="G72" s="89">
        <v>1332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86</v>
      </c>
      <c r="B73" s="122"/>
      <c r="C73" s="122"/>
      <c r="D73" s="122"/>
      <c r="E73" s="122"/>
      <c r="F73" s="122"/>
      <c r="G73" s="89">
        <v>6941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85</v>
      </c>
      <c r="B74" s="122"/>
      <c r="C74" s="122"/>
      <c r="D74" s="122"/>
      <c r="E74" s="122"/>
      <c r="F74" s="122"/>
      <c r="G74" s="89">
        <v>10800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84</v>
      </c>
      <c r="B75" s="122"/>
      <c r="C75" s="122"/>
      <c r="D75" s="122"/>
      <c r="E75" s="122"/>
      <c r="F75" s="122"/>
      <c r="G75" s="89">
        <v>2880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87</v>
      </c>
      <c r="B76" s="122"/>
      <c r="C76" s="122"/>
      <c r="D76" s="122"/>
      <c r="E76" s="122"/>
      <c r="F76" s="122"/>
      <c r="G76" s="89">
        <v>6450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92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103</v>
      </c>
      <c r="B78" s="122"/>
      <c r="C78" s="122"/>
      <c r="D78" s="122"/>
      <c r="E78" s="122"/>
      <c r="F78" s="122"/>
      <c r="G78" s="89">
        <v>7700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104</v>
      </c>
      <c r="B79" s="122"/>
      <c r="C79" s="122"/>
      <c r="D79" s="122"/>
      <c r="E79" s="122"/>
      <c r="F79" s="122"/>
      <c r="G79" s="89">
        <v>66000</v>
      </c>
      <c r="M79" s="121"/>
      <c r="N79" s="121"/>
      <c r="O79" s="121"/>
      <c r="P79" s="121"/>
      <c r="Q79" s="121"/>
      <c r="R79" s="121"/>
      <c r="S79" s="89"/>
    </row>
    <row r="80" spans="1:19" ht="10.5" customHeight="1" x14ac:dyDescent="0.25">
      <c r="A80" s="122" t="s">
        <v>101</v>
      </c>
      <c r="B80" s="122"/>
      <c r="C80" s="122"/>
      <c r="D80" s="122"/>
      <c r="E80" s="122"/>
      <c r="F80" s="122"/>
      <c r="G80" s="89">
        <v>3194.08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110</v>
      </c>
      <c r="B81" s="122"/>
      <c r="C81" s="122"/>
      <c r="D81" s="122"/>
      <c r="E81" s="122"/>
      <c r="F81" s="122"/>
      <c r="G81" s="89">
        <v>2600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111</v>
      </c>
      <c r="B82" s="122"/>
      <c r="C82" s="122"/>
      <c r="D82" s="122"/>
      <c r="E82" s="122"/>
      <c r="F82" s="122"/>
      <c r="G82" s="89">
        <v>5000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113</v>
      </c>
      <c r="B83" s="122"/>
      <c r="C83" s="122"/>
      <c r="D83" s="122"/>
      <c r="E83" s="122"/>
      <c r="F83" s="122"/>
      <c r="G83" s="89">
        <v>1000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123</v>
      </c>
      <c r="B85" s="122"/>
      <c r="C85" s="122"/>
      <c r="D85" s="122"/>
      <c r="E85" s="122"/>
      <c r="F85" s="122"/>
      <c r="G85" s="89">
        <v>900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124</v>
      </c>
      <c r="B86" s="122"/>
      <c r="C86" s="122"/>
      <c r="D86" s="122"/>
      <c r="E86" s="122"/>
      <c r="F86" s="122"/>
      <c r="G86" s="89">
        <v>11500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125</v>
      </c>
      <c r="B87" s="122"/>
      <c r="C87" s="122"/>
      <c r="D87" s="122"/>
      <c r="E87" s="122"/>
      <c r="F87" s="122"/>
      <c r="G87" s="89">
        <v>2600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129</v>
      </c>
      <c r="B88" s="122"/>
      <c r="C88" s="122"/>
      <c r="D88" s="122"/>
      <c r="E88" s="122"/>
      <c r="F88" s="122"/>
      <c r="G88" s="89">
        <v>8957</v>
      </c>
      <c r="M88" s="121"/>
      <c r="N88" s="121"/>
      <c r="O88" s="121"/>
      <c r="P88" s="121"/>
      <c r="Q88" s="121"/>
      <c r="R88" s="121"/>
    </row>
    <row r="89" spans="1:18" ht="10.5" customHeight="1" x14ac:dyDescent="0.25">
      <c r="A89" s="122" t="s">
        <v>130</v>
      </c>
      <c r="B89" s="122"/>
      <c r="C89" s="122"/>
      <c r="D89" s="122"/>
      <c r="E89" s="122"/>
      <c r="F89" s="122"/>
      <c r="G89" s="89">
        <v>441.6</v>
      </c>
      <c r="M89" s="121"/>
      <c r="N89" s="121"/>
      <c r="O89" s="121"/>
      <c r="P89" s="121"/>
      <c r="Q89" s="121"/>
      <c r="R89" s="121"/>
    </row>
    <row r="90" spans="1:18" ht="10.5" customHeight="1" x14ac:dyDescent="0.25">
      <c r="A90" s="122" t="s">
        <v>132</v>
      </c>
      <c r="B90" s="122"/>
      <c r="C90" s="122"/>
      <c r="D90" s="122"/>
      <c r="E90" s="122"/>
      <c r="F90" s="122"/>
      <c r="G90" s="89">
        <v>821.59</v>
      </c>
      <c r="M90" s="121"/>
      <c r="N90" s="121"/>
      <c r="O90" s="121"/>
      <c r="P90" s="121"/>
      <c r="Q90" s="121"/>
      <c r="R90" s="121"/>
    </row>
    <row r="91" spans="1:18" ht="10.5" customHeight="1" x14ac:dyDescent="0.25">
      <c r="A91" s="122" t="s">
        <v>134</v>
      </c>
      <c r="B91" s="122"/>
      <c r="C91" s="122"/>
      <c r="D91" s="122"/>
      <c r="E91" s="122"/>
      <c r="F91" s="122"/>
      <c r="G91" s="89">
        <v>3700</v>
      </c>
      <c r="M91" s="121"/>
      <c r="N91" s="121"/>
      <c r="O91" s="121"/>
      <c r="P91" s="121"/>
      <c r="Q91" s="121"/>
      <c r="R91" s="121"/>
    </row>
    <row r="92" spans="1:18" ht="10.5" customHeight="1" x14ac:dyDescent="0.25">
      <c r="A92" s="122" t="s">
        <v>135</v>
      </c>
      <c r="B92" s="122"/>
      <c r="C92" s="122"/>
      <c r="D92" s="122"/>
      <c r="E92" s="122"/>
      <c r="F92" s="122"/>
      <c r="G92" s="89">
        <v>1500</v>
      </c>
      <c r="M92" s="121"/>
      <c r="N92" s="121"/>
      <c r="O92" s="121"/>
      <c r="P92" s="121"/>
      <c r="Q92" s="121"/>
      <c r="R92" s="121"/>
    </row>
  </sheetData>
  <mergeCells count="50">
    <mergeCell ref="A92:F92"/>
    <mergeCell ref="M92:R92"/>
    <mergeCell ref="A91:F91"/>
    <mergeCell ref="M91:R91"/>
    <mergeCell ref="A89:F89"/>
    <mergeCell ref="M89:R89"/>
    <mergeCell ref="A90:F90"/>
    <mergeCell ref="M90:R90"/>
    <mergeCell ref="A86:F86"/>
    <mergeCell ref="M86:R86"/>
    <mergeCell ref="A87:F87"/>
    <mergeCell ref="M87:R87"/>
    <mergeCell ref="A88:F88"/>
    <mergeCell ref="M88:R88"/>
    <mergeCell ref="A83:F83"/>
    <mergeCell ref="M83:R83"/>
    <mergeCell ref="A84:F84"/>
    <mergeCell ref="M84:R84"/>
    <mergeCell ref="A85:F85"/>
    <mergeCell ref="M85:R85"/>
    <mergeCell ref="A80:F80"/>
    <mergeCell ref="M80:R80"/>
    <mergeCell ref="A81:F81"/>
    <mergeCell ref="M81:R81"/>
    <mergeCell ref="A82:F82"/>
    <mergeCell ref="M82:R82"/>
    <mergeCell ref="A77:F77"/>
    <mergeCell ref="M77:R77"/>
    <mergeCell ref="A78:F78"/>
    <mergeCell ref="M78:R78"/>
    <mergeCell ref="A79:F79"/>
    <mergeCell ref="M79:R79"/>
    <mergeCell ref="A74:F74"/>
    <mergeCell ref="M74:R74"/>
    <mergeCell ref="A75:F75"/>
    <mergeCell ref="M75:R75"/>
    <mergeCell ref="A76:F76"/>
    <mergeCell ref="M76:R76"/>
    <mergeCell ref="A71:F71"/>
    <mergeCell ref="M71:R71"/>
    <mergeCell ref="A72:F72"/>
    <mergeCell ref="M72:R72"/>
    <mergeCell ref="A73:F73"/>
    <mergeCell ref="M73:R73"/>
    <mergeCell ref="A69:B69"/>
    <mergeCell ref="A18:B18"/>
    <mergeCell ref="A24:B24"/>
    <mergeCell ref="A29:B29"/>
    <mergeCell ref="A32:B32"/>
    <mergeCell ref="A60:B60"/>
  </mergeCells>
  <pageMargins left="0.25" right="0" top="0.4" bottom="0" header="0.3" footer="0"/>
  <pageSetup scale="68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848A-5D49-41DD-B0CF-C313FD49151B}">
  <sheetPr>
    <pageSetUpPr fitToPage="1"/>
  </sheetPr>
  <dimension ref="A1:S94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136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270</v>
      </c>
      <c r="E3" s="32">
        <v>3.23</v>
      </c>
      <c r="F3" s="32">
        <v>0</v>
      </c>
      <c r="G3" s="32">
        <v>0</v>
      </c>
      <c r="H3" s="8">
        <f>D3+F3+'01-20-22'!H3</f>
        <v>2070</v>
      </c>
      <c r="I3" s="8">
        <f>E3+G3+'01-20-22'!I3</f>
        <v>24.82</v>
      </c>
      <c r="J3" s="8">
        <f>H3+I3</f>
        <v>2094.8200000000002</v>
      </c>
      <c r="K3" s="8">
        <f>C3-J3</f>
        <v>1226.77</v>
      </c>
      <c r="L3" s="8">
        <f>C3-((J3/16)*26.0714285714285)</f>
        <v>-91.844374999990578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437.5</v>
      </c>
      <c r="E4" s="33">
        <v>5.24</v>
      </c>
      <c r="F4" s="33">
        <v>1103.1300000000001</v>
      </c>
      <c r="G4" s="33">
        <v>82.73</v>
      </c>
      <c r="H4" s="8">
        <f>D4+F4+'01-20-22'!H4</f>
        <v>29483.3</v>
      </c>
      <c r="I4" s="8">
        <f>E4+G4+'01-20-22'!I4</f>
        <v>2046.2800000000002</v>
      </c>
      <c r="J4" s="8">
        <f t="shared" ref="J4:J17" si="0">H4+I4</f>
        <v>31529.579999999998</v>
      </c>
      <c r="K4" s="8">
        <f t="shared" ref="K4:K17" si="1">C4-J4</f>
        <v>34470.42</v>
      </c>
      <c r="L4" s="8">
        <f t="shared" ref="L4:L17" si="2">C4-((J4/16)*26.0714285714285)</f>
        <v>14623.675446428715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D5+F5+'01-20-22'!H5</f>
        <v>0</v>
      </c>
      <c r="I5" s="8">
        <f>E5+G5+'01-20-22'!I5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247.5</v>
      </c>
      <c r="E6" s="8">
        <v>2.96</v>
      </c>
      <c r="F6" s="8">
        <v>0</v>
      </c>
      <c r="G6" s="8">
        <v>0</v>
      </c>
      <c r="H6" s="8">
        <f>D6+F6+'01-20-22'!H6</f>
        <v>3922.5</v>
      </c>
      <c r="I6" s="8">
        <f>E6+G6+'01-20-22'!I6</f>
        <v>47.030000000000008</v>
      </c>
      <c r="J6" s="8">
        <f t="shared" si="0"/>
        <v>3969.53</v>
      </c>
      <c r="K6" s="8">
        <f t="shared" si="1"/>
        <v>2480.4699999999998</v>
      </c>
      <c r="L6" s="8">
        <f t="shared" si="2"/>
        <v>-18.207366071410434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f>157.71+994.07</f>
        <v>1151.78</v>
      </c>
      <c r="E7" s="41">
        <f>1.9+11.92</f>
        <v>13.82</v>
      </c>
      <c r="F7" s="41">
        <v>0</v>
      </c>
      <c r="G7" s="41">
        <v>0</v>
      </c>
      <c r="H7" s="8">
        <f>D7+F7+'01-20-22'!H7</f>
        <v>12037.150000000001</v>
      </c>
      <c r="I7" s="8">
        <f>E7+G7+'01-20-22'!I7</f>
        <v>144.30999999999992</v>
      </c>
      <c r="J7" s="8">
        <f t="shared" si="0"/>
        <v>12181.460000000001</v>
      </c>
      <c r="K7" s="8">
        <f t="shared" si="1"/>
        <v>12467.539999999999</v>
      </c>
      <c r="L7" s="8">
        <f t="shared" si="2"/>
        <v>4799.7459821429111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696.01</v>
      </c>
      <c r="E8" s="9">
        <v>8.34</v>
      </c>
      <c r="F8" s="9">
        <v>0</v>
      </c>
      <c r="G8" s="9">
        <v>0</v>
      </c>
      <c r="H8" s="8">
        <f>D8+F8+'01-20-22'!H8</f>
        <v>7960.4900000000007</v>
      </c>
      <c r="I8" s="8">
        <f>E8+G8+'01-20-22'!I8</f>
        <v>95.350000000000009</v>
      </c>
      <c r="J8" s="8">
        <f t="shared" si="0"/>
        <v>8055.8400000000011</v>
      </c>
      <c r="K8" s="8">
        <f t="shared" si="1"/>
        <v>9918.16</v>
      </c>
      <c r="L8" s="8">
        <f t="shared" si="2"/>
        <v>4847.2964285714643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f>161.28+976.83</f>
        <v>1138.1100000000001</v>
      </c>
      <c r="E9" s="9">
        <f>1.93+11.71</f>
        <v>13.64</v>
      </c>
      <c r="F9" s="9">
        <v>0</v>
      </c>
      <c r="G9" s="9">
        <v>0</v>
      </c>
      <c r="H9" s="8">
        <f>D9+F9+'01-20-22'!H9</f>
        <v>10475.44</v>
      </c>
      <c r="I9" s="8">
        <f>E9+G9+'01-20-22'!I9</f>
        <v>196.98999999999995</v>
      </c>
      <c r="J9" s="8">
        <f t="shared" si="0"/>
        <v>10672.43</v>
      </c>
      <c r="K9" s="8">
        <f t="shared" si="1"/>
        <v>7301.57</v>
      </c>
      <c r="L9" s="8">
        <f t="shared" si="2"/>
        <v>583.65647321433426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100.51</v>
      </c>
      <c r="E10" s="32">
        <v>1.2</v>
      </c>
      <c r="F10" s="32">
        <v>0</v>
      </c>
      <c r="G10" s="32">
        <v>0</v>
      </c>
      <c r="H10" s="8">
        <f>D10+F10+'01-20-22'!H10</f>
        <v>1375.3999999999999</v>
      </c>
      <c r="I10" s="8">
        <f>E10+G10+'01-20-22'!I10</f>
        <v>16.439999999999998</v>
      </c>
      <c r="J10" s="8">
        <f t="shared" si="0"/>
        <v>1391.84</v>
      </c>
      <c r="K10" s="8">
        <f t="shared" si="1"/>
        <v>717.16000000000008</v>
      </c>
      <c r="L10" s="8">
        <f t="shared" si="2"/>
        <v>-158.95357142856483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1061.24</v>
      </c>
      <c r="E11" s="9">
        <v>12.72</v>
      </c>
      <c r="F11" s="9">
        <v>0</v>
      </c>
      <c r="G11" s="9">
        <v>0</v>
      </c>
      <c r="H11" s="8">
        <f>D11+F11+'01-20-22'!H11</f>
        <v>11232.269999999999</v>
      </c>
      <c r="I11" s="8">
        <f>E11+G11+'01-20-22'!I11</f>
        <v>227.54000000000002</v>
      </c>
      <c r="J11" s="8">
        <f t="shared" si="0"/>
        <v>11459.81</v>
      </c>
      <c r="K11" s="8">
        <f t="shared" si="1"/>
        <v>12870.19</v>
      </c>
      <c r="L11" s="8">
        <f t="shared" si="2"/>
        <v>5656.6488839286249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f>-325.86+1272.7</f>
        <v>946.84</v>
      </c>
      <c r="E12" s="8">
        <f>-3.91+15.25</f>
        <v>11.34</v>
      </c>
      <c r="F12" s="8">
        <v>0</v>
      </c>
      <c r="G12" s="8">
        <v>0</v>
      </c>
      <c r="H12" s="8">
        <f>D12+F12+'01-20-22'!H12</f>
        <v>19620.12</v>
      </c>
      <c r="I12" s="8">
        <f>E12+G12+'01-20-22'!I12</f>
        <v>313.24</v>
      </c>
      <c r="J12" s="8">
        <f t="shared" si="0"/>
        <v>19933.36</v>
      </c>
      <c r="K12" s="8">
        <f t="shared" si="1"/>
        <v>13795.07</v>
      </c>
      <c r="L12" s="8">
        <f t="shared" si="2"/>
        <v>1247.7317857143753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f>1037+2126.39</f>
        <v>3163.39</v>
      </c>
      <c r="E13" s="8">
        <f>12.43+25.5</f>
        <v>37.93</v>
      </c>
      <c r="F13" s="8">
        <v>0</v>
      </c>
      <c r="G13" s="8">
        <v>0</v>
      </c>
      <c r="H13" s="8">
        <f>D13+F13+'01-20-22'!H13</f>
        <v>24603.9</v>
      </c>
      <c r="I13" s="8">
        <f>E13+G13+'01-20-22'!I13</f>
        <v>297.32</v>
      </c>
      <c r="J13" s="8">
        <f t="shared" si="0"/>
        <v>24901.22</v>
      </c>
      <c r="K13" s="8">
        <f t="shared" si="1"/>
        <v>17839.78</v>
      </c>
      <c r="L13" s="8">
        <f t="shared" si="2"/>
        <v>2165.3513392858295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695.38</v>
      </c>
      <c r="E14" s="9">
        <v>8.33</v>
      </c>
      <c r="F14" s="9">
        <v>0</v>
      </c>
      <c r="G14" s="9">
        <v>0</v>
      </c>
      <c r="H14" s="8">
        <f>D14+F14+'01-20-22'!H14</f>
        <v>8251.68</v>
      </c>
      <c r="I14" s="8">
        <f>E14+G14+'01-20-22'!I14</f>
        <v>98.899999999999991</v>
      </c>
      <c r="J14" s="8">
        <f t="shared" si="0"/>
        <v>8350.58</v>
      </c>
      <c r="K14" s="8">
        <f t="shared" si="1"/>
        <v>15822.42</v>
      </c>
      <c r="L14" s="8">
        <f t="shared" si="2"/>
        <v>10566.028125000039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705</v>
      </c>
      <c r="G15" s="33">
        <v>52.87</v>
      </c>
      <c r="H15" s="8">
        <f>D15+F15+'01-20-22'!H15</f>
        <v>5947.5</v>
      </c>
      <c r="I15" s="8">
        <f>E15+G15+'01-20-22'!I15</f>
        <v>446.03000000000003</v>
      </c>
      <c r="J15" s="8">
        <f>H15+I15</f>
        <v>6393.53</v>
      </c>
      <c r="K15" s="8">
        <f>C15-J15</f>
        <v>9161.4700000000012</v>
      </c>
      <c r="L15" s="8">
        <f t="shared" si="2"/>
        <v>5136.9712053571729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220.41</v>
      </c>
      <c r="E16" s="9">
        <v>2.63</v>
      </c>
      <c r="F16" s="9">
        <v>0</v>
      </c>
      <c r="G16" s="9">
        <v>0</v>
      </c>
      <c r="H16" s="8">
        <f>D16+F16+'01-20-22'!H16</f>
        <v>1905.59</v>
      </c>
      <c r="I16" s="8">
        <f>E16+G16+'01-20-22'!I16</f>
        <v>31.74</v>
      </c>
      <c r="J16" s="8">
        <f t="shared" si="0"/>
        <v>1937.33</v>
      </c>
      <c r="K16" s="8">
        <f t="shared" si="1"/>
        <v>4062.67</v>
      </c>
      <c r="L16" s="8">
        <f t="shared" si="2"/>
        <v>2843.189955357152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32">
        <v>0</v>
      </c>
      <c r="E17" s="32">
        <v>0</v>
      </c>
      <c r="F17" s="32">
        <v>0</v>
      </c>
      <c r="G17" s="32">
        <v>0</v>
      </c>
      <c r="H17" s="8">
        <f>D17+F17+'01-20-22'!H17</f>
        <v>6222</v>
      </c>
      <c r="I17" s="8">
        <f>E17+G17+'01-20-22'!I17</f>
        <v>74.63</v>
      </c>
      <c r="J17" s="8">
        <f t="shared" si="0"/>
        <v>6296.63</v>
      </c>
      <c r="K17" s="8">
        <f t="shared" si="1"/>
        <v>4503.37</v>
      </c>
      <c r="L17" s="8">
        <f t="shared" si="2"/>
        <v>539.8662946428849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287922.02</v>
      </c>
      <c r="D18" s="7">
        <f t="shared" ref="D18:L18" si="4">SUM(D3:D17)</f>
        <v>10128.67</v>
      </c>
      <c r="E18" s="7">
        <f t="shared" si="4"/>
        <v>121.38000000000001</v>
      </c>
      <c r="F18" s="7">
        <f t="shared" si="4"/>
        <v>1808.13</v>
      </c>
      <c r="G18" s="7">
        <f t="shared" si="4"/>
        <v>135.6</v>
      </c>
      <c r="H18" s="7">
        <f t="shared" si="4"/>
        <v>145107.34</v>
      </c>
      <c r="I18" s="7">
        <f t="shared" si="4"/>
        <v>4060.6200000000003</v>
      </c>
      <c r="J18" s="35">
        <f t="shared" si="4"/>
        <v>149167.96</v>
      </c>
      <c r="K18" s="35">
        <f t="shared" si="4"/>
        <v>149554.06000000003</v>
      </c>
      <c r="L18" s="7">
        <f t="shared" si="4"/>
        <v>55658.156607143537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261.86</v>
      </c>
      <c r="E22" s="32">
        <v>3.13</v>
      </c>
      <c r="F22" s="32">
        <v>0</v>
      </c>
      <c r="G22" s="32">
        <v>0</v>
      </c>
      <c r="H22" s="8">
        <f>D22+F22+'01-20-22'!H22</f>
        <v>1013.04</v>
      </c>
      <c r="I22" s="8">
        <f>E22+G22+'01-20-22'!I22</f>
        <v>12.11</v>
      </c>
      <c r="J22" s="8">
        <f t="shared" si="6"/>
        <v>1025.1499999999999</v>
      </c>
      <c r="K22" s="8">
        <f t="shared" ref="K22:K23" si="8">C22-J22</f>
        <v>12927.85</v>
      </c>
      <c r="L22" s="8">
        <f t="shared" ref="L22:L23" si="9">C22-((J22/16)*26.0714285714285)</f>
        <v>12282.554687500005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D23+F23+'01-20-22'!H23</f>
        <v>1967.5</v>
      </c>
      <c r="I23" s="8">
        <f>E23+G23+'01-20-22'!I23</f>
        <v>23.580000000000002</v>
      </c>
      <c r="J23" s="8">
        <f t="shared" si="6"/>
        <v>1991.08</v>
      </c>
      <c r="K23" s="8">
        <f t="shared" si="8"/>
        <v>34.920000000000073</v>
      </c>
      <c r="L23" s="8">
        <f t="shared" si="9"/>
        <v>-1218.3937499999906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261.86</v>
      </c>
      <c r="E24" s="7">
        <f t="shared" si="10"/>
        <v>3.13</v>
      </c>
      <c r="F24" s="7">
        <f t="shared" si="10"/>
        <v>0</v>
      </c>
      <c r="G24" s="7">
        <f t="shared" si="10"/>
        <v>0</v>
      </c>
      <c r="H24" s="8">
        <f>D24+F24+'07-22-21'!H23</f>
        <v>261.86</v>
      </c>
      <c r="I24" s="8">
        <f>E24+G24+'07-22-21'!I23</f>
        <v>3.13</v>
      </c>
      <c r="J24" s="35">
        <f t="shared" si="10"/>
        <v>3016.2299999999996</v>
      </c>
      <c r="K24" s="7">
        <f t="shared" si="10"/>
        <v>12962.77</v>
      </c>
      <c r="L24" s="7">
        <f t="shared" si="10"/>
        <v>11064.160937500015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f>-135.77+300</f>
        <v>164.23</v>
      </c>
      <c r="E27" s="9">
        <f>-1.62+3.59</f>
        <v>1.9699999999999998</v>
      </c>
      <c r="F27" s="9">
        <v>1380</v>
      </c>
      <c r="G27" s="9">
        <v>103.48</v>
      </c>
      <c r="H27" s="8">
        <f>D27+F27+'01-20-22'!H27</f>
        <v>19254.75</v>
      </c>
      <c r="I27" s="8">
        <f>E27+G27+'01-20-22'!I27</f>
        <v>761.66000000000008</v>
      </c>
      <c r="J27" s="8">
        <f t="shared" ref="J27:J28" si="11">H27+I27</f>
        <v>20016.41</v>
      </c>
      <c r="K27" s="8">
        <f>C27-J27</f>
        <v>4983.59</v>
      </c>
      <c r="L27" s="8">
        <f>C27-((J27/16)*26.0714285714285)</f>
        <v>-7616.0252232141938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164.23</v>
      </c>
      <c r="E29" s="31">
        <f t="shared" si="14"/>
        <v>1.9699999999999998</v>
      </c>
      <c r="F29" s="31">
        <f t="shared" si="14"/>
        <v>1380</v>
      </c>
      <c r="G29" s="31">
        <f t="shared" si="14"/>
        <v>103.48</v>
      </c>
      <c r="H29" s="31">
        <f t="shared" si="14"/>
        <v>19254.75</v>
      </c>
      <c r="I29" s="31">
        <f t="shared" si="14"/>
        <v>761.66000000000008</v>
      </c>
      <c r="J29" s="31">
        <f t="shared" si="14"/>
        <v>20016.41</v>
      </c>
      <c r="K29" s="31">
        <f t="shared" si="14"/>
        <v>4983.59</v>
      </c>
      <c r="L29" s="31">
        <f t="shared" si="14"/>
        <v>-7616.0252232141938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328901.02</v>
      </c>
      <c r="D32" s="24">
        <f t="shared" si="15"/>
        <v>10554.76</v>
      </c>
      <c r="E32" s="24">
        <f t="shared" si="15"/>
        <v>126.48</v>
      </c>
      <c r="F32" s="24">
        <f t="shared" si="15"/>
        <v>3188.13</v>
      </c>
      <c r="G32" s="24">
        <f t="shared" si="15"/>
        <v>239.07999999999998</v>
      </c>
      <c r="H32" s="24">
        <f t="shared" si="15"/>
        <v>164623.94999999998</v>
      </c>
      <c r="I32" s="24">
        <f t="shared" si="15"/>
        <v>4825.4100000000008</v>
      </c>
      <c r="J32" s="24">
        <f t="shared" si="15"/>
        <v>172200.6</v>
      </c>
      <c r="K32" s="24">
        <f t="shared" si="15"/>
        <v>167500.42000000001</v>
      </c>
      <c r="L32" s="24">
        <f t="shared" si="15"/>
        <v>59106.292321429355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D35+F35+'01-20-22'!H35</f>
        <v>800.94</v>
      </c>
      <c r="I35" s="8">
        <f>E35+G35+'01-20-22'!I35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9" si="16">C35-((J35/16)*26.0714285714285)</f>
        <v>1787.3576160714324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D36+F36+'01-20-22'!H36</f>
        <v>1248</v>
      </c>
      <c r="I36" s="8">
        <f>E36+G36+'01-20-22'!I36</f>
        <v>93.6</v>
      </c>
      <c r="J36" s="8">
        <f t="shared" ref="J36:J59" si="17">H36+I36</f>
        <v>1341.6</v>
      </c>
      <c r="K36" s="8">
        <f t="shared" ref="K36:K59" si="18">C36-J36</f>
        <v>0</v>
      </c>
      <c r="L36" s="8">
        <f t="shared" si="16"/>
        <v>-844.4892857142795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v>0</v>
      </c>
      <c r="E37" s="8">
        <v>0</v>
      </c>
      <c r="F37" s="8">
        <v>1120</v>
      </c>
      <c r="G37" s="8">
        <v>84</v>
      </c>
      <c r="H37" s="8">
        <f>D37+F37+'01-20-22'!H37</f>
        <v>4795</v>
      </c>
      <c r="I37" s="8">
        <f>E37+G37+'01-20-22'!I37</f>
        <v>204.79999999999998</v>
      </c>
      <c r="J37" s="8">
        <f t="shared" si="17"/>
        <v>4999.8</v>
      </c>
      <c r="K37" s="8">
        <f t="shared" si="18"/>
        <v>6558.5999999999995</v>
      </c>
      <c r="L37" s="8">
        <f t="shared" si="16"/>
        <v>3411.4044642857361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D38+F38+'01-20-22'!H38</f>
        <v>0</v>
      </c>
      <c r="I38" s="8">
        <f>E38+G38+'01-20-22'!I38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D39+F39+'01-20-22'!H39</f>
        <v>36.659999999999997</v>
      </c>
      <c r="I39" s="8">
        <f>E39+G39+'01-20-22'!I39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-60.451485107142688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D40+F40+'01-20-22'!H40</f>
        <v>0</v>
      </c>
      <c r="I40" s="8">
        <f>E40+G40+'01-20-22'!I40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D41+F41+'01-20-22'!H41</f>
        <v>0</v>
      </c>
      <c r="I41" s="8">
        <f>E41+G41+'01-20-22'!I41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f>6710-6120.78+1400</f>
        <v>1989.2200000000003</v>
      </c>
      <c r="D42" s="32">
        <v>0</v>
      </c>
      <c r="E42" s="32">
        <v>0</v>
      </c>
      <c r="F42" s="32">
        <v>0</v>
      </c>
      <c r="G42" s="32">
        <v>0</v>
      </c>
      <c r="H42" s="8">
        <f>D42+F42+'01-20-22'!H42</f>
        <v>582.25</v>
      </c>
      <c r="I42" s="8">
        <f>E42+G42+'01-20-22'!I42</f>
        <v>6.97</v>
      </c>
      <c r="J42" s="8">
        <f t="shared" si="17"/>
        <v>589.22</v>
      </c>
      <c r="K42" s="8">
        <f>C42-J42</f>
        <v>1400.0000000000002</v>
      </c>
      <c r="L42" s="8">
        <f t="shared" si="16"/>
        <v>1029.1070535714316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D43+F43+'01-20-22'!H43</f>
        <v>3121.7</v>
      </c>
      <c r="I43" s="8">
        <f>E43+G43+'01-20-22'!I43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-1983.8007589285567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D44+F44+'01-20-22'!H44</f>
        <v>0</v>
      </c>
      <c r="I44" s="8">
        <f>E44+G44+'01-20-22'!I44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178.56</v>
      </c>
      <c r="E45" s="32">
        <v>2.14</v>
      </c>
      <c r="F45" s="32">
        <v>0</v>
      </c>
      <c r="G45" s="32">
        <v>0</v>
      </c>
      <c r="H45" s="8">
        <f>D45+F45+'01-20-22'!H45</f>
        <v>1311.2999999999997</v>
      </c>
      <c r="I45" s="8">
        <f>E45+G45+'01-20-22'!I45</f>
        <v>15.68</v>
      </c>
      <c r="J45" s="8">
        <f t="shared" si="17"/>
        <v>1326.9799999999998</v>
      </c>
      <c r="K45" s="92">
        <f t="shared" si="19"/>
        <v>3673.0200000000004</v>
      </c>
      <c r="L45" s="8">
        <f t="shared" si="16"/>
        <v>2837.7334821428635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66</v>
      </c>
      <c r="E46" s="32">
        <v>0</v>
      </c>
      <c r="F46" s="32">
        <v>549</v>
      </c>
      <c r="G46" s="32">
        <v>0</v>
      </c>
      <c r="H46" s="8">
        <f>D46+F46+'01-20-22'!H46</f>
        <v>5431.72</v>
      </c>
      <c r="I46" s="8">
        <f>E46+G46+'01-20-22'!I46</f>
        <v>276.58999999999997</v>
      </c>
      <c r="J46" s="8">
        <f t="shared" si="17"/>
        <v>5708.31</v>
      </c>
      <c r="K46" s="8">
        <f>C46-J46</f>
        <v>4983.04</v>
      </c>
      <c r="L46" s="8">
        <f t="shared" si="16"/>
        <v>1389.8627232143117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D47+F47+'01-20-22'!H47</f>
        <v>0</v>
      </c>
      <c r="I47" s="8">
        <f>E47+G47+'01-20-22'!I47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1001.3</v>
      </c>
      <c r="E48" s="32">
        <v>12</v>
      </c>
      <c r="F48" s="32">
        <v>0</v>
      </c>
      <c r="G48" s="32">
        <v>0</v>
      </c>
      <c r="H48" s="8">
        <f>D48+F48+'01-20-22'!H48</f>
        <v>7097.4400000000005</v>
      </c>
      <c r="I48" s="8">
        <f>E48+G48+'01-20-22'!I48</f>
        <v>85.11999999999999</v>
      </c>
      <c r="J48" s="8">
        <f t="shared" si="17"/>
        <v>7182.56</v>
      </c>
      <c r="K48" s="8">
        <f>C48-J48</f>
        <v>12017.439999999999</v>
      </c>
      <c r="L48" s="8">
        <f t="shared" si="16"/>
        <v>7496.2750000000324</v>
      </c>
      <c r="M48" s="68"/>
    </row>
    <row r="49" spans="1:13" s="54" customFormat="1" ht="11.45" customHeight="1" x14ac:dyDescent="0.2">
      <c r="A49" s="18" t="s">
        <v>6</v>
      </c>
      <c r="B49" s="112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D49+F49+'01-20-22'!H49</f>
        <v>1754.38</v>
      </c>
      <c r="I49" s="8">
        <f>E49+G49+'01-20-22'!I49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1197.7618303571517</v>
      </c>
      <c r="M49" s="88"/>
    </row>
    <row r="50" spans="1:13" s="54" customFormat="1" ht="11.45" customHeight="1" x14ac:dyDescent="0.2">
      <c r="A50" s="18" t="s">
        <v>133</v>
      </c>
      <c r="B50" s="112" t="s">
        <v>5</v>
      </c>
      <c r="C50" s="8">
        <v>3700</v>
      </c>
      <c r="D50" s="32">
        <v>0</v>
      </c>
      <c r="E50" s="32">
        <v>0</v>
      </c>
      <c r="F50" s="32">
        <v>0</v>
      </c>
      <c r="G50" s="32">
        <v>0</v>
      </c>
      <c r="H50" s="8">
        <f>D50+F50+'01-20-22'!H50</f>
        <v>0</v>
      </c>
      <c r="I50" s="8">
        <f>E50+G50+'01-20-22'!I50</f>
        <v>0</v>
      </c>
      <c r="J50" s="8">
        <f t="shared" si="17"/>
        <v>0</v>
      </c>
      <c r="K50" s="8">
        <f>C50-J50</f>
        <v>3700</v>
      </c>
      <c r="L50" s="8">
        <f t="shared" si="16"/>
        <v>3700</v>
      </c>
      <c r="M50" s="88"/>
    </row>
    <row r="51" spans="1:13" s="54" customFormat="1" ht="11.45" hidden="1" customHeight="1" x14ac:dyDescent="0.25">
      <c r="A51" s="18" t="s">
        <v>8</v>
      </c>
      <c r="B51" s="61" t="s">
        <v>7</v>
      </c>
      <c r="C51" s="8">
        <v>0</v>
      </c>
      <c r="D51" s="33"/>
      <c r="E51" s="33"/>
      <c r="F51" s="33"/>
      <c r="G51" s="33"/>
      <c r="H51" s="8">
        <f>D51+F51+'01-20-22'!H51</f>
        <v>0</v>
      </c>
      <c r="I51" s="8">
        <f>E51+G51+'01-20-22'!I51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54" customFormat="1" ht="11.45" hidden="1" customHeight="1" x14ac:dyDescent="0.25">
      <c r="A52" s="18" t="s">
        <v>50</v>
      </c>
      <c r="B52" s="61" t="s">
        <v>53</v>
      </c>
      <c r="C52" s="8">
        <v>202.01</v>
      </c>
      <c r="D52" s="33"/>
      <c r="E52" s="33"/>
      <c r="F52" s="33"/>
      <c r="G52" s="33"/>
      <c r="H52" s="8">
        <f>D52+F52+'01-20-22'!H52</f>
        <v>0</v>
      </c>
      <c r="I52" s="8">
        <f>E52+G52+'01-20-22'!I52</f>
        <v>0</v>
      </c>
      <c r="J52" s="8">
        <f t="shared" si="17"/>
        <v>0</v>
      </c>
      <c r="K52" s="8">
        <f t="shared" si="18"/>
        <v>202.01</v>
      </c>
      <c r="L52" s="8">
        <f t="shared" si="16"/>
        <v>202.01</v>
      </c>
      <c r="M52" s="68"/>
    </row>
    <row r="53" spans="1:13" s="54" customFormat="1" ht="11.45" hidden="1" customHeight="1" x14ac:dyDescent="0.25">
      <c r="A53" s="18" t="s">
        <v>51</v>
      </c>
      <c r="B53" s="61" t="s">
        <v>52</v>
      </c>
      <c r="C53" s="8"/>
      <c r="D53" s="33"/>
      <c r="E53" s="33"/>
      <c r="F53" s="33"/>
      <c r="G53" s="33"/>
      <c r="H53" s="8">
        <f>D53+F53+'01-20-22'!H53</f>
        <v>0</v>
      </c>
      <c r="I53" s="8">
        <f>E53+G53+'01-20-22'!I53</f>
        <v>0</v>
      </c>
      <c r="J53" s="8">
        <f t="shared" si="17"/>
        <v>0</v>
      </c>
      <c r="K53" s="8">
        <f t="shared" si="18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45</v>
      </c>
      <c r="B54" s="61" t="s">
        <v>46</v>
      </c>
      <c r="C54" s="62">
        <v>3655.06</v>
      </c>
      <c r="D54" s="33"/>
      <c r="E54" s="33"/>
      <c r="F54" s="33"/>
      <c r="G54" s="33"/>
      <c r="H54" s="8">
        <f>D54+F54+'01-20-22'!H54</f>
        <v>0</v>
      </c>
      <c r="I54" s="8">
        <f>E54+G54+'01-20-22'!I54</f>
        <v>0</v>
      </c>
      <c r="J54" s="8">
        <f t="shared" si="17"/>
        <v>0</v>
      </c>
      <c r="K54" s="8">
        <f t="shared" si="18"/>
        <v>3655.06</v>
      </c>
      <c r="L54" s="8">
        <f t="shared" si="16"/>
        <v>3655.06</v>
      </c>
      <c r="M54" s="67"/>
    </row>
    <row r="55" spans="1:13" s="63" customFormat="1" ht="11.25" hidden="1" customHeight="1" x14ac:dyDescent="0.25">
      <c r="A55" s="18" t="s">
        <v>61</v>
      </c>
      <c r="B55" s="61" t="s">
        <v>60</v>
      </c>
      <c r="C55" s="62">
        <v>0</v>
      </c>
      <c r="D55" s="33"/>
      <c r="E55" s="33"/>
      <c r="F55" s="33"/>
      <c r="G55" s="33"/>
      <c r="H55" s="8">
        <f>D55+F55+'01-20-22'!H55</f>
        <v>0</v>
      </c>
      <c r="I55" s="8">
        <f>E55+G55+'01-20-22'!I55</f>
        <v>0</v>
      </c>
      <c r="J55" s="8">
        <f t="shared" si="17"/>
        <v>0</v>
      </c>
      <c r="K55" s="8">
        <f t="shared" si="18"/>
        <v>0</v>
      </c>
      <c r="L55" s="8">
        <f t="shared" si="16"/>
        <v>0</v>
      </c>
      <c r="M55" s="68"/>
    </row>
    <row r="56" spans="1:13" s="63" customFormat="1" ht="11.25" customHeight="1" x14ac:dyDescent="0.25">
      <c r="A56" s="18" t="s">
        <v>67</v>
      </c>
      <c r="B56" s="61" t="s">
        <v>66</v>
      </c>
      <c r="C56" s="62">
        <v>3313.36</v>
      </c>
      <c r="D56" s="32">
        <v>0</v>
      </c>
      <c r="E56" s="32">
        <v>0</v>
      </c>
      <c r="F56" s="32">
        <v>0</v>
      </c>
      <c r="G56" s="32">
        <v>0</v>
      </c>
      <c r="H56" s="8">
        <f>D56+F56+'01-20-22'!H56</f>
        <v>0</v>
      </c>
      <c r="I56" s="8">
        <f>E56+G56+'01-20-22'!I56</f>
        <v>0</v>
      </c>
      <c r="J56" s="8">
        <f t="shared" si="17"/>
        <v>0</v>
      </c>
      <c r="K56" s="8">
        <f t="shared" si="18"/>
        <v>3313.36</v>
      </c>
      <c r="L56" s="8">
        <f t="shared" si="16"/>
        <v>3313.36</v>
      </c>
      <c r="M56" s="68"/>
    </row>
    <row r="57" spans="1:13" s="63" customFormat="1" ht="11.25" customHeight="1" x14ac:dyDescent="0.25">
      <c r="A57" s="18" t="s">
        <v>68</v>
      </c>
      <c r="B57" s="61" t="s">
        <v>69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D57+F57+'01-20-22'!H57</f>
        <v>2.4</v>
      </c>
      <c r="I57" s="8">
        <f>E57+G57+'01-20-22'!I57</f>
        <v>0.02</v>
      </c>
      <c r="J57" s="8">
        <f t="shared" si="17"/>
        <v>2.42</v>
      </c>
      <c r="K57" s="8">
        <f t="shared" si="18"/>
        <v>4190.72</v>
      </c>
      <c r="L57" s="8">
        <f t="shared" si="16"/>
        <v>4189.1966964285721</v>
      </c>
      <c r="M57" s="68"/>
    </row>
    <row r="58" spans="1:13" s="63" customFormat="1" ht="11.25" customHeight="1" x14ac:dyDescent="0.2">
      <c r="A58" s="18" t="s">
        <v>73</v>
      </c>
      <c r="B58" s="61" t="s">
        <v>72</v>
      </c>
      <c r="C58" s="62">
        <v>4193.1400000000003</v>
      </c>
      <c r="D58" s="32">
        <v>0</v>
      </c>
      <c r="E58" s="32">
        <v>0</v>
      </c>
      <c r="F58" s="32">
        <v>0</v>
      </c>
      <c r="G58" s="32">
        <v>0</v>
      </c>
      <c r="H58" s="8">
        <f>D58+F58+'01-20-22'!H58</f>
        <v>2754</v>
      </c>
      <c r="I58" s="8">
        <f>E58+G58+'01-20-22'!I58</f>
        <v>114.28999999999999</v>
      </c>
      <c r="J58" s="8">
        <f t="shared" si="17"/>
        <v>2868.29</v>
      </c>
      <c r="K58" s="8">
        <f t="shared" si="18"/>
        <v>1324.8500000000004</v>
      </c>
      <c r="L58" s="8">
        <f t="shared" si="16"/>
        <v>-480.63611607141502</v>
      </c>
      <c r="M58" s="88"/>
    </row>
    <row r="59" spans="1:13" s="63" customFormat="1" ht="11.25" customHeight="1" x14ac:dyDescent="0.2">
      <c r="A59" s="18" t="s">
        <v>106</v>
      </c>
      <c r="B59" s="61" t="s">
        <v>107</v>
      </c>
      <c r="C59" s="62">
        <f>2600+2600</f>
        <v>5200</v>
      </c>
      <c r="D59" s="32">
        <v>307.83999999999997</v>
      </c>
      <c r="E59" s="32">
        <v>0</v>
      </c>
      <c r="F59" s="32">
        <v>0</v>
      </c>
      <c r="G59" s="32">
        <v>0</v>
      </c>
      <c r="H59" s="8">
        <f>D59+F59+'01-20-22'!H59</f>
        <v>2852.2599999999998</v>
      </c>
      <c r="I59" s="8">
        <f>E59+G59+'01-20-22'!I59</f>
        <v>30.470000000000002</v>
      </c>
      <c r="J59" s="8">
        <f t="shared" si="17"/>
        <v>2882.7299999999996</v>
      </c>
      <c r="K59" s="8">
        <f t="shared" si="18"/>
        <v>2317.2700000000004</v>
      </c>
      <c r="L59" s="8">
        <f t="shared" si="16"/>
        <v>502.69441964287125</v>
      </c>
      <c r="M59" s="88"/>
    </row>
    <row r="60" spans="1:13" ht="21.6" customHeight="1" x14ac:dyDescent="0.25">
      <c r="A60" s="119" t="s">
        <v>88</v>
      </c>
      <c r="B60" s="120"/>
      <c r="C60" s="7">
        <f>SUM(C35:C54)</f>
        <v>71678.469999999987</v>
      </c>
      <c r="D60" s="7"/>
      <c r="E60" s="7"/>
      <c r="F60" s="7"/>
      <c r="G60" s="7"/>
      <c r="H60" s="7">
        <f>SUM(H35:H55)</f>
        <v>26179.390000000003</v>
      </c>
      <c r="I60" s="7">
        <f>SUM(I35:I55)</f>
        <v>907.00259359999995</v>
      </c>
      <c r="J60" s="7">
        <f>SUM(J35:J55)</f>
        <v>27086.392593600001</v>
      </c>
      <c r="K60" s="7">
        <f>SUM(K35:K55)</f>
        <v>44592.0774064</v>
      </c>
      <c r="L60" s="7">
        <f>SUM(L35:L55)</f>
        <v>27542.16063989298</v>
      </c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78"/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s="53" customFormat="1" ht="10.9" customHeight="1" x14ac:dyDescent="0.25">
      <c r="A63" s="17" t="s">
        <v>4</v>
      </c>
      <c r="B63" s="21" t="s">
        <v>3</v>
      </c>
      <c r="C63" s="8">
        <v>62583</v>
      </c>
      <c r="D63" s="9">
        <v>2010.38</v>
      </c>
      <c r="E63" s="9">
        <v>24.12</v>
      </c>
      <c r="F63" s="9">
        <v>0</v>
      </c>
      <c r="G63" s="9">
        <v>0</v>
      </c>
      <c r="H63" s="8">
        <f>D63+F63+'01-20-22'!H63</f>
        <v>17496.580000000002</v>
      </c>
      <c r="I63" s="8">
        <f>E63+G63+'01-20-22'!I63</f>
        <v>278.99</v>
      </c>
      <c r="J63" s="8">
        <f t="shared" ref="J63:J64" si="21">H63+I63</f>
        <v>17775.570000000003</v>
      </c>
      <c r="K63" s="8">
        <f>C63-J63</f>
        <v>44807.429999999993</v>
      </c>
      <c r="L63" s="8">
        <f t="shared" ref="L63:L64" si="22">C63-((J63/16)*26.0714285714285)</f>
        <v>33618.343526785786</v>
      </c>
      <c r="M63" s="67"/>
    </row>
    <row r="64" spans="1:13" s="53" customFormat="1" ht="10.9" customHeight="1" x14ac:dyDescent="0.25">
      <c r="A64" s="17" t="s">
        <v>64</v>
      </c>
      <c r="B64" s="21" t="s">
        <v>63</v>
      </c>
      <c r="C64" s="8">
        <v>0</v>
      </c>
      <c r="D64" s="32">
        <v>0</v>
      </c>
      <c r="E64" s="32">
        <v>0</v>
      </c>
      <c r="F64" s="32">
        <v>0</v>
      </c>
      <c r="G64" s="32">
        <v>0</v>
      </c>
      <c r="H64" s="8">
        <f>D64+F64+'01-20-22'!H64</f>
        <v>0</v>
      </c>
      <c r="I64" s="8">
        <f>E64+G64+'01-20-22'!I64</f>
        <v>0</v>
      </c>
      <c r="J64" s="8">
        <f t="shared" si="21"/>
        <v>0</v>
      </c>
      <c r="K64" s="8">
        <f>C64-J64</f>
        <v>0</v>
      </c>
      <c r="L64" s="8">
        <f t="shared" si="22"/>
        <v>0</v>
      </c>
      <c r="M64" s="67"/>
    </row>
    <row r="65" spans="1:19" ht="21.6" customHeight="1" x14ac:dyDescent="0.25">
      <c r="A65" s="16" t="s">
        <v>2</v>
      </c>
      <c r="B65" s="15"/>
      <c r="C65" s="14">
        <f>C63+C64</f>
        <v>62583</v>
      </c>
      <c r="D65" s="14">
        <f t="shared" ref="D65:L65" si="23">D63+D64</f>
        <v>2010.38</v>
      </c>
      <c r="E65" s="14">
        <f t="shared" si="23"/>
        <v>24.12</v>
      </c>
      <c r="F65" s="14">
        <f t="shared" si="23"/>
        <v>0</v>
      </c>
      <c r="G65" s="14">
        <f t="shared" si="23"/>
        <v>0</v>
      </c>
      <c r="H65" s="14">
        <f t="shared" si="23"/>
        <v>17496.580000000002</v>
      </c>
      <c r="I65" s="14">
        <f t="shared" si="23"/>
        <v>278.99</v>
      </c>
      <c r="J65" s="14">
        <f t="shared" si="23"/>
        <v>17775.570000000003</v>
      </c>
      <c r="K65" s="14">
        <f t="shared" si="23"/>
        <v>44807.429999999993</v>
      </c>
      <c r="L65" s="14">
        <f t="shared" si="23"/>
        <v>33618.343526785786</v>
      </c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ht="10.9" customHeight="1" x14ac:dyDescent="0.25">
      <c r="A67" s="13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 s="53" customFormat="1" ht="10.9" customHeight="1" x14ac:dyDescent="0.25">
      <c r="A68" s="17" t="s">
        <v>1</v>
      </c>
      <c r="B68" s="21">
        <v>55180000</v>
      </c>
      <c r="C68" s="8">
        <v>37736</v>
      </c>
      <c r="D68" s="32">
        <f>421.88</f>
        <v>421.88</v>
      </c>
      <c r="E68" s="32">
        <f>5.05</f>
        <v>5.05</v>
      </c>
      <c r="F68" s="32">
        <v>0</v>
      </c>
      <c r="G68" s="32">
        <v>0</v>
      </c>
      <c r="H68" s="8">
        <f>D68+F68+'01-20-22'!H68</f>
        <v>758.14</v>
      </c>
      <c r="I68" s="8">
        <f>E68+G68+'01-20-22'!I68</f>
        <v>30.26</v>
      </c>
      <c r="J68" s="8">
        <f t="shared" ref="J68" si="24">H68+I68</f>
        <v>788.4</v>
      </c>
      <c r="K68" s="8">
        <f>C68-J68</f>
        <v>36947.599999999999</v>
      </c>
      <c r="L68" s="8">
        <f>C68-((J68/16)*26.0714285714285)</f>
        <v>36451.330357142862</v>
      </c>
      <c r="M68" s="67"/>
    </row>
    <row r="69" spans="1:19" s="3" customFormat="1" ht="21.6" customHeight="1" x14ac:dyDescent="0.25">
      <c r="A69" s="119" t="s">
        <v>0</v>
      </c>
      <c r="B69" s="120"/>
      <c r="C69" s="7">
        <f t="shared" ref="C69:L69" si="25">SUM(C68)</f>
        <v>37736</v>
      </c>
      <c r="D69" s="7">
        <f t="shared" si="25"/>
        <v>421.88</v>
      </c>
      <c r="E69" s="7">
        <f t="shared" si="25"/>
        <v>5.05</v>
      </c>
      <c r="F69" s="7">
        <f t="shared" si="25"/>
        <v>0</v>
      </c>
      <c r="G69" s="7">
        <f t="shared" si="25"/>
        <v>0</v>
      </c>
      <c r="H69" s="7">
        <f t="shared" si="25"/>
        <v>758.14</v>
      </c>
      <c r="I69" s="7">
        <f t="shared" si="25"/>
        <v>30.26</v>
      </c>
      <c r="J69" s="7">
        <f t="shared" si="25"/>
        <v>788.4</v>
      </c>
      <c r="K69" s="7">
        <f t="shared" si="25"/>
        <v>36947.599999999999</v>
      </c>
      <c r="L69" s="7">
        <f t="shared" si="25"/>
        <v>36451.330357142862</v>
      </c>
      <c r="M69" s="73"/>
    </row>
    <row r="70" spans="1:19" s="3" customFormat="1" ht="11.25" customHeight="1" x14ac:dyDescent="0.25">
      <c r="A70" s="6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73"/>
    </row>
    <row r="71" spans="1:19" s="2" customFormat="1" ht="10.5" customHeight="1" x14ac:dyDescent="0.25">
      <c r="A71" s="122" t="s">
        <v>83</v>
      </c>
      <c r="B71" s="122"/>
      <c r="C71" s="122"/>
      <c r="D71" s="122"/>
      <c r="E71" s="122"/>
      <c r="F71" s="122"/>
      <c r="G71" s="89">
        <v>5955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90</v>
      </c>
      <c r="B72" s="122"/>
      <c r="C72" s="122"/>
      <c r="D72" s="122"/>
      <c r="E72" s="122"/>
      <c r="F72" s="122"/>
      <c r="G72" s="89">
        <v>1332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86</v>
      </c>
      <c r="B73" s="122"/>
      <c r="C73" s="122"/>
      <c r="D73" s="122"/>
      <c r="E73" s="122"/>
      <c r="F73" s="122"/>
      <c r="G73" s="89">
        <v>6941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85</v>
      </c>
      <c r="B74" s="122"/>
      <c r="C74" s="122"/>
      <c r="D74" s="122"/>
      <c r="E74" s="122"/>
      <c r="F74" s="122"/>
      <c r="G74" s="89">
        <v>10800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84</v>
      </c>
      <c r="B75" s="122"/>
      <c r="C75" s="122"/>
      <c r="D75" s="122"/>
      <c r="E75" s="122"/>
      <c r="F75" s="122"/>
      <c r="G75" s="89">
        <v>2880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87</v>
      </c>
      <c r="B76" s="122"/>
      <c r="C76" s="122"/>
      <c r="D76" s="122"/>
      <c r="E76" s="122"/>
      <c r="F76" s="122"/>
      <c r="G76" s="89">
        <v>6450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92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103</v>
      </c>
      <c r="B78" s="122"/>
      <c r="C78" s="122"/>
      <c r="D78" s="122"/>
      <c r="E78" s="122"/>
      <c r="F78" s="122"/>
      <c r="G78" s="89">
        <v>7700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104</v>
      </c>
      <c r="B79" s="122"/>
      <c r="C79" s="122"/>
      <c r="D79" s="122"/>
      <c r="E79" s="122"/>
      <c r="F79" s="122"/>
      <c r="G79" s="89">
        <v>66000</v>
      </c>
      <c r="M79" s="121"/>
      <c r="N79" s="121"/>
      <c r="O79" s="121"/>
      <c r="P79" s="121"/>
      <c r="Q79" s="121"/>
      <c r="R79" s="121"/>
      <c r="S79" s="89"/>
    </row>
    <row r="80" spans="1:19" ht="10.5" customHeight="1" x14ac:dyDescent="0.25">
      <c r="A80" s="122" t="s">
        <v>101</v>
      </c>
      <c r="B80" s="122"/>
      <c r="C80" s="122"/>
      <c r="D80" s="122"/>
      <c r="E80" s="122"/>
      <c r="F80" s="122"/>
      <c r="G80" s="89">
        <v>3194.08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110</v>
      </c>
      <c r="B81" s="122"/>
      <c r="C81" s="122"/>
      <c r="D81" s="122"/>
      <c r="E81" s="122"/>
      <c r="F81" s="122"/>
      <c r="G81" s="89">
        <v>2600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111</v>
      </c>
      <c r="B82" s="122"/>
      <c r="C82" s="122"/>
      <c r="D82" s="122"/>
      <c r="E82" s="122"/>
      <c r="F82" s="122"/>
      <c r="G82" s="89">
        <v>5000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113</v>
      </c>
      <c r="B83" s="122"/>
      <c r="C83" s="122"/>
      <c r="D83" s="122"/>
      <c r="E83" s="122"/>
      <c r="F83" s="122"/>
      <c r="G83" s="89">
        <v>1000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123</v>
      </c>
      <c r="B85" s="122"/>
      <c r="C85" s="122"/>
      <c r="D85" s="122"/>
      <c r="E85" s="122"/>
      <c r="F85" s="122"/>
      <c r="G85" s="89">
        <v>900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138</v>
      </c>
      <c r="B86" s="122"/>
      <c r="C86" s="122"/>
      <c r="D86" s="122"/>
      <c r="E86" s="122"/>
      <c r="F86" s="122"/>
      <c r="G86" s="89">
        <v>11500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125</v>
      </c>
      <c r="B87" s="122"/>
      <c r="C87" s="122"/>
      <c r="D87" s="122"/>
      <c r="E87" s="122"/>
      <c r="F87" s="122"/>
      <c r="G87" s="89">
        <v>2600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129</v>
      </c>
      <c r="B88" s="122"/>
      <c r="C88" s="122"/>
      <c r="D88" s="122"/>
      <c r="E88" s="122"/>
      <c r="F88" s="122"/>
      <c r="G88" s="89">
        <v>8957</v>
      </c>
      <c r="M88" s="121"/>
      <c r="N88" s="121"/>
      <c r="O88" s="121"/>
      <c r="P88" s="121"/>
      <c r="Q88" s="121"/>
      <c r="R88" s="121"/>
    </row>
    <row r="89" spans="1:18" ht="10.5" customHeight="1" x14ac:dyDescent="0.25">
      <c r="A89" s="122" t="s">
        <v>137</v>
      </c>
      <c r="B89" s="122"/>
      <c r="C89" s="122"/>
      <c r="D89" s="122"/>
      <c r="E89" s="122"/>
      <c r="F89" s="122"/>
      <c r="G89" s="89">
        <v>441.6</v>
      </c>
      <c r="M89" s="121"/>
      <c r="N89" s="121"/>
      <c r="O89" s="121"/>
      <c r="P89" s="121"/>
      <c r="Q89" s="121"/>
      <c r="R89" s="121"/>
    </row>
    <row r="90" spans="1:18" ht="10.5" customHeight="1" x14ac:dyDescent="0.25">
      <c r="A90" s="122" t="s">
        <v>132</v>
      </c>
      <c r="B90" s="122"/>
      <c r="C90" s="122"/>
      <c r="D90" s="122"/>
      <c r="E90" s="122"/>
      <c r="F90" s="122"/>
      <c r="G90" s="89">
        <v>821.59</v>
      </c>
      <c r="M90" s="121"/>
      <c r="N90" s="121"/>
      <c r="O90" s="121"/>
      <c r="P90" s="121"/>
      <c r="Q90" s="121"/>
      <c r="R90" s="121"/>
    </row>
    <row r="91" spans="1:18" ht="10.5" customHeight="1" x14ac:dyDescent="0.25">
      <c r="A91" s="122" t="s">
        <v>134</v>
      </c>
      <c r="B91" s="122"/>
      <c r="C91" s="122"/>
      <c r="D91" s="122"/>
      <c r="E91" s="122"/>
      <c r="F91" s="122"/>
      <c r="G91" s="89">
        <v>3700</v>
      </c>
      <c r="M91" s="121"/>
      <c r="N91" s="121"/>
      <c r="O91" s="121"/>
      <c r="P91" s="121"/>
      <c r="Q91" s="121"/>
      <c r="R91" s="121"/>
    </row>
    <row r="92" spans="1:18" ht="10.5" customHeight="1" x14ac:dyDescent="0.25">
      <c r="A92" s="122" t="s">
        <v>135</v>
      </c>
      <c r="B92" s="122"/>
      <c r="C92" s="122"/>
      <c r="D92" s="122"/>
      <c r="E92" s="122"/>
      <c r="F92" s="122"/>
      <c r="G92" s="89">
        <v>1500</v>
      </c>
      <c r="M92" s="121"/>
      <c r="N92" s="121"/>
      <c r="O92" s="121"/>
      <c r="P92" s="121"/>
      <c r="Q92" s="121"/>
      <c r="R92" s="121"/>
    </row>
    <row r="93" spans="1:18" ht="10.5" customHeight="1" x14ac:dyDescent="0.25">
      <c r="A93" s="122" t="s">
        <v>139</v>
      </c>
      <c r="B93" s="122"/>
      <c r="C93" s="122"/>
      <c r="D93" s="122"/>
      <c r="E93" s="122"/>
      <c r="F93" s="122"/>
      <c r="G93" s="89">
        <v>-6120.78</v>
      </c>
      <c r="M93" s="121"/>
      <c r="N93" s="121"/>
      <c r="O93" s="121"/>
      <c r="P93" s="121"/>
      <c r="Q93" s="121"/>
      <c r="R93" s="121"/>
    </row>
    <row r="94" spans="1:18" ht="10.5" customHeight="1" x14ac:dyDescent="0.25">
      <c r="A94" s="122" t="s">
        <v>140</v>
      </c>
      <c r="B94" s="122"/>
      <c r="C94" s="122"/>
      <c r="D94" s="122"/>
      <c r="E94" s="122"/>
      <c r="F94" s="122"/>
      <c r="G94" s="89">
        <v>1400</v>
      </c>
      <c r="M94" s="121"/>
      <c r="N94" s="121"/>
      <c r="O94" s="121"/>
      <c r="P94" s="121"/>
      <c r="Q94" s="121"/>
      <c r="R94" s="121"/>
    </row>
  </sheetData>
  <mergeCells count="54">
    <mergeCell ref="A94:F94"/>
    <mergeCell ref="M94:R94"/>
    <mergeCell ref="A69:B69"/>
    <mergeCell ref="A18:B18"/>
    <mergeCell ref="A24:B24"/>
    <mergeCell ref="A29:B29"/>
    <mergeCell ref="A32:B32"/>
    <mergeCell ref="A60:B6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  <mergeCell ref="A85:F85"/>
    <mergeCell ref="M85:R85"/>
    <mergeCell ref="A86:F86"/>
    <mergeCell ref="M86:R86"/>
    <mergeCell ref="A87:F87"/>
    <mergeCell ref="M87:R87"/>
    <mergeCell ref="A88:F88"/>
    <mergeCell ref="M88:R88"/>
    <mergeCell ref="A93:F93"/>
    <mergeCell ref="M93:R93"/>
    <mergeCell ref="A92:F92"/>
    <mergeCell ref="M92:R92"/>
    <mergeCell ref="A89:F89"/>
    <mergeCell ref="M89:R89"/>
    <mergeCell ref="A90:F90"/>
    <mergeCell ref="M90:R90"/>
    <mergeCell ref="A91:F91"/>
    <mergeCell ref="M91:R91"/>
  </mergeCells>
  <pageMargins left="0.25" right="0" top="0.4" bottom="0" header="0.3" footer="0"/>
  <pageSetup scale="68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4FEE-627C-41C4-AED2-B6C1D9128F9F}">
  <sheetPr>
    <pageSetUpPr fitToPage="1"/>
  </sheetPr>
  <dimension ref="A1:S96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141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380</v>
      </c>
      <c r="E3" s="32">
        <v>4.5599999999999996</v>
      </c>
      <c r="F3" s="32">
        <v>0</v>
      </c>
      <c r="G3" s="32">
        <v>0</v>
      </c>
      <c r="H3" s="8">
        <f>D3+F3+'02-03-22'!H3</f>
        <v>2450</v>
      </c>
      <c r="I3" s="8">
        <f>E3+G3+'02-03-22'!I3</f>
        <v>29.38</v>
      </c>
      <c r="J3" s="8">
        <f>H3+I3</f>
        <v>2479.38</v>
      </c>
      <c r="K3" s="8">
        <f>C3-J3</f>
        <v>842.21</v>
      </c>
      <c r="L3" s="8">
        <f>C3-((J3/17)*26.0714285714285)</f>
        <v>-480.82050420166979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409.38</v>
      </c>
      <c r="E4" s="33">
        <v>4.91</v>
      </c>
      <c r="F4" s="33">
        <v>1596.88</v>
      </c>
      <c r="G4" s="33">
        <v>119.76</v>
      </c>
      <c r="H4" s="8">
        <f>D4+F4+'02-03-22'!H4</f>
        <v>31489.559999999998</v>
      </c>
      <c r="I4" s="8">
        <f>E4+G4+'02-03-22'!I4</f>
        <v>2170.9500000000003</v>
      </c>
      <c r="J4" s="8">
        <f t="shared" ref="J4:J17" si="0">H4+I4</f>
        <v>33660.509999999995</v>
      </c>
      <c r="K4" s="8">
        <f t="shared" ref="K4:K17" si="1">C4-J4</f>
        <v>32339.490000000005</v>
      </c>
      <c r="L4" s="8">
        <f t="shared" ref="L4:L17" si="2">C4-((J4/17)*26.0714285714285)</f>
        <v>14377.78928571444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D5+F5+'02-03-22'!H5</f>
        <v>0</v>
      </c>
      <c r="I5" s="8">
        <f>E5+G5+'02-03-22'!I5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285</v>
      </c>
      <c r="E6" s="8">
        <v>3.42</v>
      </c>
      <c r="F6" s="8">
        <v>0</v>
      </c>
      <c r="G6" s="8">
        <v>0</v>
      </c>
      <c r="H6" s="8">
        <f>D6+F6+'02-03-22'!H6</f>
        <v>4207.5</v>
      </c>
      <c r="I6" s="8">
        <f>E6+G6+'02-03-22'!I6</f>
        <v>50.45000000000001</v>
      </c>
      <c r="J6" s="8">
        <f t="shared" si="0"/>
        <v>4257.95</v>
      </c>
      <c r="K6" s="8">
        <f t="shared" si="1"/>
        <v>2192.0500000000002</v>
      </c>
      <c r="L6" s="8">
        <f t="shared" si="2"/>
        <v>-80.049369747880519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1122.0899999999999</v>
      </c>
      <c r="E7" s="41">
        <v>13.46</v>
      </c>
      <c r="F7" s="41">
        <v>0</v>
      </c>
      <c r="G7" s="41">
        <v>0</v>
      </c>
      <c r="H7" s="8">
        <f>D7+F7+'02-03-22'!H7</f>
        <v>13159.240000000002</v>
      </c>
      <c r="I7" s="8">
        <f>E7+G7+'02-03-22'!I7</f>
        <v>157.76999999999992</v>
      </c>
      <c r="J7" s="8">
        <f t="shared" si="0"/>
        <v>13317.010000000002</v>
      </c>
      <c r="K7" s="8">
        <f t="shared" si="1"/>
        <v>11331.989999999998</v>
      </c>
      <c r="L7" s="8">
        <f t="shared" si="2"/>
        <v>4225.854411764758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666.51</v>
      </c>
      <c r="E8" s="9">
        <v>7.99</v>
      </c>
      <c r="F8" s="9">
        <v>0</v>
      </c>
      <c r="G8" s="9">
        <v>0</v>
      </c>
      <c r="H8" s="8">
        <f>D8+F8+'02-03-22'!H8</f>
        <v>8627</v>
      </c>
      <c r="I8" s="8">
        <f>E8+G8+'02-03-22'!I8</f>
        <v>103.34</v>
      </c>
      <c r="J8" s="8">
        <f t="shared" si="0"/>
        <v>8730.34</v>
      </c>
      <c r="K8" s="8">
        <f t="shared" si="1"/>
        <v>9243.66</v>
      </c>
      <c r="L8" s="8">
        <f t="shared" si="2"/>
        <v>4585.0331932773497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1135.9000000000001</v>
      </c>
      <c r="E9" s="9">
        <v>13.63</v>
      </c>
      <c r="F9" s="9">
        <v>0</v>
      </c>
      <c r="G9" s="9">
        <v>0</v>
      </c>
      <c r="H9" s="8">
        <f>D9+F9+'02-03-22'!H9</f>
        <v>11611.34</v>
      </c>
      <c r="I9" s="8">
        <f>E9+G9+'02-03-22'!I9</f>
        <v>210.61999999999995</v>
      </c>
      <c r="J9" s="8">
        <f t="shared" si="0"/>
        <v>11821.960000000001</v>
      </c>
      <c r="K9" s="8">
        <f t="shared" si="1"/>
        <v>6152.0399999999991</v>
      </c>
      <c r="L9" s="8">
        <f t="shared" si="2"/>
        <v>-156.31680672263974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D10+F10+'02-03-22'!H10</f>
        <v>1375.3999999999999</v>
      </c>
      <c r="I10" s="8">
        <f>E10+G10+'02-03-22'!I10</f>
        <v>16.439999999999998</v>
      </c>
      <c r="J10" s="8">
        <f t="shared" si="0"/>
        <v>1391.84</v>
      </c>
      <c r="K10" s="8">
        <f t="shared" si="1"/>
        <v>717.16000000000008</v>
      </c>
      <c r="L10" s="8">
        <f t="shared" si="2"/>
        <v>-25.544537815120293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1145.6600000000001</v>
      </c>
      <c r="E11" s="9">
        <v>13.74</v>
      </c>
      <c r="F11" s="9">
        <v>0</v>
      </c>
      <c r="G11" s="9">
        <v>0</v>
      </c>
      <c r="H11" s="8">
        <f>D11+F11+'02-03-22'!H11</f>
        <v>12377.929999999998</v>
      </c>
      <c r="I11" s="8">
        <f>E11+G11+'02-03-22'!I11</f>
        <v>241.28000000000003</v>
      </c>
      <c r="J11" s="8">
        <f t="shared" si="0"/>
        <v>12619.21</v>
      </c>
      <c r="K11" s="8">
        <f t="shared" si="1"/>
        <v>11710.79</v>
      </c>
      <c r="L11" s="8">
        <f t="shared" si="2"/>
        <v>4977.0098739496352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1657.09</v>
      </c>
      <c r="E12" s="8">
        <v>19.88</v>
      </c>
      <c r="F12" s="8">
        <v>0</v>
      </c>
      <c r="G12" s="8">
        <v>0</v>
      </c>
      <c r="H12" s="8">
        <f>D12+F12+'02-03-22'!H12</f>
        <v>21277.21</v>
      </c>
      <c r="I12" s="8">
        <f>E12+G12+'02-03-22'!I12</f>
        <v>333.12</v>
      </c>
      <c r="J12" s="8">
        <f t="shared" si="0"/>
        <v>21610.329999999998</v>
      </c>
      <c r="K12" s="8">
        <f t="shared" si="1"/>
        <v>12118.100000000002</v>
      </c>
      <c r="L12" s="8">
        <f t="shared" si="2"/>
        <v>586.53735294127546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2294.4</v>
      </c>
      <c r="E13" s="8">
        <v>27.53</v>
      </c>
      <c r="F13" s="8">
        <v>0</v>
      </c>
      <c r="G13" s="8">
        <v>0</v>
      </c>
      <c r="H13" s="8">
        <f>D13+F13+'02-03-22'!H13</f>
        <v>26898.300000000003</v>
      </c>
      <c r="I13" s="8">
        <f>E13+G13+'02-03-22'!I13</f>
        <v>324.85000000000002</v>
      </c>
      <c r="J13" s="8">
        <f t="shared" si="0"/>
        <v>27223.15</v>
      </c>
      <c r="K13" s="8">
        <f t="shared" si="1"/>
        <v>15517.849999999999</v>
      </c>
      <c r="L13" s="8">
        <f t="shared" si="2"/>
        <v>991.21113445389346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778.35</v>
      </c>
      <c r="E14" s="9">
        <v>9.34</v>
      </c>
      <c r="F14" s="9">
        <v>0</v>
      </c>
      <c r="G14" s="9">
        <v>0</v>
      </c>
      <c r="H14" s="8">
        <f>D14+F14+'02-03-22'!H14</f>
        <v>9030.0300000000007</v>
      </c>
      <c r="I14" s="8">
        <f>E14+G14+'02-03-22'!I14</f>
        <v>108.24</v>
      </c>
      <c r="J14" s="8">
        <f t="shared" si="0"/>
        <v>9138.27</v>
      </c>
      <c r="K14" s="8">
        <f t="shared" si="1"/>
        <v>15034.73</v>
      </c>
      <c r="L14" s="8">
        <f t="shared" si="2"/>
        <v>10158.426260504239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877.5</v>
      </c>
      <c r="G15" s="33">
        <v>65.81</v>
      </c>
      <c r="H15" s="8">
        <f>D15+F15+'02-03-22'!H15</f>
        <v>6825</v>
      </c>
      <c r="I15" s="8">
        <f>E15+G15+'02-03-22'!I15</f>
        <v>511.84000000000003</v>
      </c>
      <c r="J15" s="8">
        <f>H15+I15</f>
        <v>7336.84</v>
      </c>
      <c r="K15" s="8">
        <f>C15-J15</f>
        <v>8218.16</v>
      </c>
      <c r="L15" s="8">
        <f t="shared" si="2"/>
        <v>4303.123529411796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260.83999999999997</v>
      </c>
      <c r="E16" s="9">
        <v>3.13</v>
      </c>
      <c r="F16" s="9">
        <v>0</v>
      </c>
      <c r="G16" s="9">
        <v>0</v>
      </c>
      <c r="H16" s="8">
        <f>D16+F16+'02-03-22'!H16</f>
        <v>2166.4299999999998</v>
      </c>
      <c r="I16" s="8">
        <f>E16+G16+'02-03-22'!I16</f>
        <v>34.869999999999997</v>
      </c>
      <c r="J16" s="8">
        <f t="shared" si="0"/>
        <v>2201.2999999999997</v>
      </c>
      <c r="K16" s="8">
        <f t="shared" si="1"/>
        <v>3798.7000000000003</v>
      </c>
      <c r="L16" s="8">
        <f t="shared" si="2"/>
        <v>2624.0567226890857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32">
        <v>211.25</v>
      </c>
      <c r="E17" s="32">
        <v>2.5299999999999998</v>
      </c>
      <c r="F17" s="32">
        <v>675</v>
      </c>
      <c r="G17" s="32">
        <v>50.62</v>
      </c>
      <c r="H17" s="8">
        <f>D17+F17+'02-03-22'!H17</f>
        <v>7108.25</v>
      </c>
      <c r="I17" s="8">
        <f>E17+G17+'02-03-22'!I17</f>
        <v>127.78</v>
      </c>
      <c r="J17" s="8">
        <f t="shared" si="0"/>
        <v>7236.03</v>
      </c>
      <c r="K17" s="8">
        <f t="shared" si="1"/>
        <v>3563.9700000000003</v>
      </c>
      <c r="L17" s="8">
        <f t="shared" si="2"/>
        <v>-297.27289915963229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287922.02</v>
      </c>
      <c r="D18" s="7">
        <f t="shared" ref="D18:L18" si="4">SUM(D3:D17)</f>
        <v>10346.470000000001</v>
      </c>
      <c r="E18" s="7">
        <f t="shared" si="4"/>
        <v>124.12</v>
      </c>
      <c r="F18" s="7">
        <f t="shared" si="4"/>
        <v>3149.38</v>
      </c>
      <c r="G18" s="7">
        <f t="shared" si="4"/>
        <v>236.19</v>
      </c>
      <c r="H18" s="7">
        <f t="shared" si="4"/>
        <v>158603.18999999997</v>
      </c>
      <c r="I18" s="7">
        <f t="shared" si="4"/>
        <v>4420.9299999999994</v>
      </c>
      <c r="J18" s="35">
        <f t="shared" si="4"/>
        <v>163024.11999999997</v>
      </c>
      <c r="K18" s="35">
        <f t="shared" si="4"/>
        <v>135697.90000000002</v>
      </c>
      <c r="L18" s="7">
        <f t="shared" si="4"/>
        <v>48706.037647059529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153.41</v>
      </c>
      <c r="E22" s="32">
        <v>1.84</v>
      </c>
      <c r="F22" s="32">
        <v>0</v>
      </c>
      <c r="G22" s="32">
        <v>0</v>
      </c>
      <c r="H22" s="8">
        <f>D22+F22+'02-03-22'!H22</f>
        <v>1166.45</v>
      </c>
      <c r="I22" s="8">
        <f>E22+G22+'02-03-22'!I22</f>
        <v>13.95</v>
      </c>
      <c r="J22" s="8">
        <f t="shared" si="6"/>
        <v>1180.4000000000001</v>
      </c>
      <c r="K22" s="8">
        <f t="shared" ref="K22:K23" si="8">C22-J22</f>
        <v>12772.6</v>
      </c>
      <c r="L22" s="8">
        <f t="shared" ref="L22:L23" si="9">C22-((J22/17)*26.0714285714285)</f>
        <v>12142.722689075636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D23+F23+'02-03-22'!H23</f>
        <v>1967.5</v>
      </c>
      <c r="I23" s="8">
        <f>E23+G23+'02-03-22'!I23</f>
        <v>23.580000000000002</v>
      </c>
      <c r="J23" s="8">
        <f t="shared" si="6"/>
        <v>1991.08</v>
      </c>
      <c r="K23" s="8">
        <f t="shared" si="8"/>
        <v>34.920000000000073</v>
      </c>
      <c r="L23" s="8">
        <f t="shared" si="9"/>
        <v>-1027.5470588235207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153.41</v>
      </c>
      <c r="E24" s="7">
        <f t="shared" si="10"/>
        <v>1.84</v>
      </c>
      <c r="F24" s="7">
        <f t="shared" si="10"/>
        <v>0</v>
      </c>
      <c r="G24" s="7">
        <f t="shared" si="10"/>
        <v>0</v>
      </c>
      <c r="H24" s="8">
        <f>D24+F24+'07-22-21'!H23</f>
        <v>153.41</v>
      </c>
      <c r="I24" s="8">
        <f>E24+G24+'07-22-21'!I23</f>
        <v>1.84</v>
      </c>
      <c r="J24" s="35">
        <f t="shared" si="10"/>
        <v>3171.48</v>
      </c>
      <c r="K24" s="7">
        <f t="shared" si="10"/>
        <v>12807.52</v>
      </c>
      <c r="L24" s="7">
        <f t="shared" si="10"/>
        <v>11115.175630252115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142.5</v>
      </c>
      <c r="E27" s="9">
        <v>1.71</v>
      </c>
      <c r="F27" s="9">
        <v>1290</v>
      </c>
      <c r="G27" s="9">
        <v>96.74</v>
      </c>
      <c r="H27" s="8">
        <f>D27+F27+'02-03-22'!H27</f>
        <v>20687.25</v>
      </c>
      <c r="I27" s="8">
        <f>E27+G27+'02-03-22'!I27</f>
        <v>860.11000000000013</v>
      </c>
      <c r="J27" s="8">
        <f t="shared" ref="J27:J28" si="11">H27+I27</f>
        <v>21547.360000000001</v>
      </c>
      <c r="K27" s="8">
        <f>C27-J27</f>
        <v>3452.6399999999994</v>
      </c>
      <c r="L27" s="8">
        <f>C27-((J27/17)*26.0714285714285)</f>
        <v>-8045.3210084032689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142.5</v>
      </c>
      <c r="E29" s="31">
        <f t="shared" si="14"/>
        <v>1.71</v>
      </c>
      <c r="F29" s="31">
        <f t="shared" si="14"/>
        <v>1290</v>
      </c>
      <c r="G29" s="31">
        <f t="shared" si="14"/>
        <v>96.74</v>
      </c>
      <c r="H29" s="31">
        <f t="shared" si="14"/>
        <v>20687.25</v>
      </c>
      <c r="I29" s="31">
        <f t="shared" si="14"/>
        <v>860.11000000000013</v>
      </c>
      <c r="J29" s="31">
        <f t="shared" si="14"/>
        <v>21547.360000000001</v>
      </c>
      <c r="K29" s="31">
        <f t="shared" si="14"/>
        <v>3452.6399999999994</v>
      </c>
      <c r="L29" s="31">
        <f t="shared" si="14"/>
        <v>-8045.3210084032689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328901.02</v>
      </c>
      <c r="D32" s="24">
        <f t="shared" si="15"/>
        <v>10642.380000000001</v>
      </c>
      <c r="E32" s="24">
        <f t="shared" si="15"/>
        <v>127.67</v>
      </c>
      <c r="F32" s="24">
        <f t="shared" si="15"/>
        <v>4439.38</v>
      </c>
      <c r="G32" s="24">
        <f t="shared" si="15"/>
        <v>332.93</v>
      </c>
      <c r="H32" s="24">
        <f t="shared" si="15"/>
        <v>179443.84999999998</v>
      </c>
      <c r="I32" s="24">
        <f t="shared" si="15"/>
        <v>5282.8799999999992</v>
      </c>
      <c r="J32" s="24">
        <f t="shared" si="15"/>
        <v>187742.95999999996</v>
      </c>
      <c r="K32" s="24">
        <f t="shared" si="15"/>
        <v>151958.06</v>
      </c>
      <c r="L32" s="24">
        <f t="shared" si="15"/>
        <v>51775.892268908377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D35+F35+'02-03-22'!H35</f>
        <v>800.94</v>
      </c>
      <c r="I35" s="8">
        <f>E35+G35+'02-03-22'!I35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9" si="16">C35-((J35/17)*26.0714285714285)</f>
        <v>1870.1059915966421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D36+F36+'02-03-22'!H36</f>
        <v>1248</v>
      </c>
      <c r="I36" s="8">
        <f>E36+G36+'02-03-22'!I36</f>
        <v>93.6</v>
      </c>
      <c r="J36" s="8">
        <f t="shared" ref="J36:J59" si="17">H36+I36</f>
        <v>1341.6</v>
      </c>
      <c r="K36" s="8">
        <f t="shared" ref="K36:K59" si="18">C36-J36</f>
        <v>0</v>
      </c>
      <c r="L36" s="8">
        <f t="shared" si="16"/>
        <v>-715.89579831932178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v>0</v>
      </c>
      <c r="E37" s="8">
        <v>0</v>
      </c>
      <c r="F37" s="8">
        <v>1120</v>
      </c>
      <c r="G37" s="8">
        <v>84</v>
      </c>
      <c r="H37" s="8">
        <f>D37+F37+'02-03-22'!H37</f>
        <v>5915</v>
      </c>
      <c r="I37" s="8">
        <f>E37+G37+'02-03-22'!I37</f>
        <v>288.79999999999995</v>
      </c>
      <c r="J37" s="8">
        <f t="shared" si="17"/>
        <v>6203.8</v>
      </c>
      <c r="K37" s="8">
        <f t="shared" si="18"/>
        <v>5354.5999999999995</v>
      </c>
      <c r="L37" s="8">
        <f t="shared" si="16"/>
        <v>2044.1689075630511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D38+F38+'02-03-22'!H38</f>
        <v>0</v>
      </c>
      <c r="I38" s="8">
        <f>E38+G38+'02-03-22'!I38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D39+F39+'02-03-22'!H39</f>
        <v>36.659999999999997</v>
      </c>
      <c r="I39" s="8">
        <f>E39+G39+'02-03-22'!I39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-56.895515394957819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D40+F40+'02-03-22'!H40</f>
        <v>0</v>
      </c>
      <c r="I40" s="8">
        <f>E40+G40+'02-03-22'!I40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D41+F41+'02-03-22'!H41</f>
        <v>0</v>
      </c>
      <c r="I41" s="8">
        <f>E41+G41+'02-03-22'!I41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f>6710-6120.78+1400</f>
        <v>1989.2200000000003</v>
      </c>
      <c r="D42" s="32">
        <v>0</v>
      </c>
      <c r="E42" s="32">
        <v>0</v>
      </c>
      <c r="F42" s="32">
        <v>0</v>
      </c>
      <c r="G42" s="32">
        <v>0</v>
      </c>
      <c r="H42" s="8">
        <f>D42+F42+'02-03-22'!H42</f>
        <v>582.25</v>
      </c>
      <c r="I42" s="8">
        <f>E42+G42+'02-03-22'!I42</f>
        <v>6.97</v>
      </c>
      <c r="J42" s="8">
        <f t="shared" si="17"/>
        <v>589.22</v>
      </c>
      <c r="K42" s="8">
        <f>C42-J42</f>
        <v>1400.0000000000002</v>
      </c>
      <c r="L42" s="8">
        <f t="shared" si="16"/>
        <v>1085.5842857142884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D43+F43+'02-03-22'!H43</f>
        <v>3121.7</v>
      </c>
      <c r="I43" s="8">
        <f>E43+G43+'02-03-22'!I43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-1681.7201260504066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D44+F44+'02-03-22'!H44</f>
        <v>0</v>
      </c>
      <c r="I44" s="8">
        <f>E44+G44+'02-03-22'!I44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223.2</v>
      </c>
      <c r="E45" s="32">
        <v>2.67</v>
      </c>
      <c r="F45" s="32">
        <v>0</v>
      </c>
      <c r="G45" s="32">
        <v>0</v>
      </c>
      <c r="H45" s="8">
        <f>D45+F45+'02-03-22'!H45</f>
        <v>1534.4999999999998</v>
      </c>
      <c r="I45" s="8">
        <f>E45+G45+'02-03-22'!I45</f>
        <v>18.350000000000001</v>
      </c>
      <c r="J45" s="8">
        <f t="shared" si="17"/>
        <v>1552.8499999999997</v>
      </c>
      <c r="K45" s="92">
        <f t="shared" si="19"/>
        <v>3447.1500000000005</v>
      </c>
      <c r="L45" s="8">
        <f t="shared" si="16"/>
        <v>2618.5283613445449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48</v>
      </c>
      <c r="E46" s="32">
        <v>0.56999999999999995</v>
      </c>
      <c r="F46" s="32">
        <v>540</v>
      </c>
      <c r="G46" s="32">
        <v>40.5</v>
      </c>
      <c r="H46" s="8">
        <f>D46+F46+'02-03-22'!H46</f>
        <v>6019.72</v>
      </c>
      <c r="I46" s="8">
        <f>E46+G46+'02-03-22'!I46</f>
        <v>317.65999999999997</v>
      </c>
      <c r="J46" s="8">
        <f t="shared" si="17"/>
        <v>6337.38</v>
      </c>
      <c r="K46" s="8">
        <f>C46-J46</f>
        <v>4353.97</v>
      </c>
      <c r="L46" s="8">
        <f t="shared" si="16"/>
        <v>972.25882352943881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D47+F47+'02-03-22'!H47</f>
        <v>0</v>
      </c>
      <c r="I47" s="8">
        <f>E47+G47+'02-03-22'!I47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506.54</v>
      </c>
      <c r="E48" s="32">
        <v>6.07</v>
      </c>
      <c r="F48" s="32">
        <v>0</v>
      </c>
      <c r="G48" s="32">
        <v>0</v>
      </c>
      <c r="H48" s="8">
        <f>D48+F48+'02-03-22'!H48</f>
        <v>7603.9800000000005</v>
      </c>
      <c r="I48" s="8">
        <f>E48+G48+'02-03-22'!I48</f>
        <v>91.19</v>
      </c>
      <c r="J48" s="8">
        <f t="shared" si="17"/>
        <v>7695.17</v>
      </c>
      <c r="K48" s="8">
        <f>C48-J48</f>
        <v>11504.83</v>
      </c>
      <c r="L48" s="8">
        <f t="shared" si="16"/>
        <v>7398.583823529445</v>
      </c>
      <c r="M48" s="68"/>
    </row>
    <row r="49" spans="1:13" s="54" customFormat="1" ht="11.45" customHeight="1" x14ac:dyDescent="0.2">
      <c r="A49" s="18" t="s">
        <v>6</v>
      </c>
      <c r="B49" s="112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D49+F49+'02-03-22'!H49</f>
        <v>1754.38</v>
      </c>
      <c r="I49" s="8">
        <f>E49+G49+'02-03-22'!I49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1378.5317226890843</v>
      </c>
      <c r="M49" s="88"/>
    </row>
    <row r="50" spans="1:13" s="54" customFormat="1" ht="11.45" customHeight="1" x14ac:dyDescent="0.2">
      <c r="A50" s="18" t="s">
        <v>133</v>
      </c>
      <c r="B50" s="112" t="s">
        <v>5</v>
      </c>
      <c r="C50" s="8">
        <v>3700</v>
      </c>
      <c r="D50" s="32">
        <v>225</v>
      </c>
      <c r="E50" s="32">
        <v>2.7</v>
      </c>
      <c r="F50" s="32">
        <v>0</v>
      </c>
      <c r="G50" s="32">
        <v>0</v>
      </c>
      <c r="H50" s="8">
        <f>D50+F50+'02-03-22'!H50</f>
        <v>225</v>
      </c>
      <c r="I50" s="8">
        <f>E50+G50+'02-03-22'!I50</f>
        <v>2.7</v>
      </c>
      <c r="J50" s="8">
        <f t="shared" si="17"/>
        <v>227.7</v>
      </c>
      <c r="K50" s="8">
        <f>C50-J50</f>
        <v>3472.3</v>
      </c>
      <c r="L50" s="8">
        <f t="shared" si="16"/>
        <v>3350.7962184873959</v>
      </c>
      <c r="M50" s="88"/>
    </row>
    <row r="51" spans="1:13" s="54" customFormat="1" ht="11.45" hidden="1" customHeight="1" x14ac:dyDescent="0.25">
      <c r="A51" s="18" t="s">
        <v>8</v>
      </c>
      <c r="B51" s="61" t="s">
        <v>7</v>
      </c>
      <c r="C51" s="8">
        <v>0</v>
      </c>
      <c r="D51" s="33"/>
      <c r="E51" s="33"/>
      <c r="F51" s="33"/>
      <c r="G51" s="33"/>
      <c r="H51" s="8">
        <f>D51+F51+'02-03-22'!H51</f>
        <v>0</v>
      </c>
      <c r="I51" s="8">
        <f>E51+G51+'02-03-22'!I51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54" customFormat="1" ht="11.45" hidden="1" customHeight="1" x14ac:dyDescent="0.25">
      <c r="A52" s="18" t="s">
        <v>50</v>
      </c>
      <c r="B52" s="61" t="s">
        <v>53</v>
      </c>
      <c r="C52" s="8">
        <v>202.01</v>
      </c>
      <c r="D52" s="33"/>
      <c r="E52" s="33"/>
      <c r="F52" s="33"/>
      <c r="G52" s="33"/>
      <c r="H52" s="8">
        <f>D52+F52+'02-03-22'!H52</f>
        <v>0</v>
      </c>
      <c r="I52" s="8">
        <f>E52+G52+'02-03-22'!I52</f>
        <v>0</v>
      </c>
      <c r="J52" s="8">
        <f t="shared" si="17"/>
        <v>0</v>
      </c>
      <c r="K52" s="8">
        <f t="shared" si="18"/>
        <v>202.01</v>
      </c>
      <c r="L52" s="8">
        <f t="shared" si="16"/>
        <v>202.01</v>
      </c>
      <c r="M52" s="68"/>
    </row>
    <row r="53" spans="1:13" s="54" customFormat="1" ht="11.45" hidden="1" customHeight="1" x14ac:dyDescent="0.25">
      <c r="A53" s="18" t="s">
        <v>51</v>
      </c>
      <c r="B53" s="61" t="s">
        <v>52</v>
      </c>
      <c r="C53" s="8"/>
      <c r="D53" s="33"/>
      <c r="E53" s="33"/>
      <c r="F53" s="33"/>
      <c r="G53" s="33"/>
      <c r="H53" s="8">
        <f>D53+F53+'02-03-22'!H53</f>
        <v>0</v>
      </c>
      <c r="I53" s="8">
        <f>E53+G53+'02-03-22'!I53</f>
        <v>0</v>
      </c>
      <c r="J53" s="8">
        <f t="shared" si="17"/>
        <v>0</v>
      </c>
      <c r="K53" s="8">
        <f t="shared" si="18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45</v>
      </c>
      <c r="B54" s="61" t="s">
        <v>46</v>
      </c>
      <c r="C54" s="62">
        <v>3655.06</v>
      </c>
      <c r="D54" s="33"/>
      <c r="E54" s="33"/>
      <c r="F54" s="33"/>
      <c r="G54" s="33"/>
      <c r="H54" s="8">
        <f>D54+F54+'02-03-22'!H54</f>
        <v>0</v>
      </c>
      <c r="I54" s="8">
        <f>E54+G54+'02-03-22'!I54</f>
        <v>0</v>
      </c>
      <c r="J54" s="8">
        <f t="shared" si="17"/>
        <v>0</v>
      </c>
      <c r="K54" s="8">
        <f t="shared" si="18"/>
        <v>3655.06</v>
      </c>
      <c r="L54" s="8">
        <f t="shared" si="16"/>
        <v>3655.06</v>
      </c>
      <c r="M54" s="67"/>
    </row>
    <row r="55" spans="1:13" s="63" customFormat="1" ht="11.25" hidden="1" customHeight="1" x14ac:dyDescent="0.25">
      <c r="A55" s="18" t="s">
        <v>61</v>
      </c>
      <c r="B55" s="61" t="s">
        <v>60</v>
      </c>
      <c r="C55" s="62">
        <v>0</v>
      </c>
      <c r="D55" s="33"/>
      <c r="E55" s="33"/>
      <c r="F55" s="33"/>
      <c r="G55" s="33"/>
      <c r="H55" s="8">
        <f>D55+F55+'02-03-22'!H55</f>
        <v>0</v>
      </c>
      <c r="I55" s="8">
        <f>E55+G55+'02-03-22'!I55</f>
        <v>0</v>
      </c>
      <c r="J55" s="8">
        <f t="shared" si="17"/>
        <v>0</v>
      </c>
      <c r="K55" s="8">
        <f t="shared" si="18"/>
        <v>0</v>
      </c>
      <c r="L55" s="8">
        <f t="shared" si="16"/>
        <v>0</v>
      </c>
      <c r="M55" s="68"/>
    </row>
    <row r="56" spans="1:13" s="63" customFormat="1" ht="11.25" customHeight="1" x14ac:dyDescent="0.25">
      <c r="A56" s="18" t="s">
        <v>67</v>
      </c>
      <c r="B56" s="61" t="s">
        <v>66</v>
      </c>
      <c r="C56" s="62">
        <v>3313.36</v>
      </c>
      <c r="D56" s="32">
        <v>0</v>
      </c>
      <c r="E56" s="32">
        <v>0</v>
      </c>
      <c r="F56" s="32">
        <v>0</v>
      </c>
      <c r="G56" s="32">
        <v>0</v>
      </c>
      <c r="H56" s="8">
        <f>D56+F56+'02-03-22'!H56</f>
        <v>0</v>
      </c>
      <c r="I56" s="8">
        <f>E56+G56+'02-03-22'!I56</f>
        <v>0</v>
      </c>
      <c r="J56" s="8">
        <f t="shared" si="17"/>
        <v>0</v>
      </c>
      <c r="K56" s="8">
        <f t="shared" si="18"/>
        <v>3313.36</v>
      </c>
      <c r="L56" s="8">
        <f t="shared" si="16"/>
        <v>3313.36</v>
      </c>
      <c r="M56" s="68"/>
    </row>
    <row r="57" spans="1:13" s="63" customFormat="1" ht="11.25" customHeight="1" x14ac:dyDescent="0.25">
      <c r="A57" s="18" t="s">
        <v>68</v>
      </c>
      <c r="B57" s="61" t="s">
        <v>69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D57+F57+'02-03-22'!H57</f>
        <v>2.4</v>
      </c>
      <c r="I57" s="8">
        <f>E57+G57+'02-03-22'!I57</f>
        <v>0.02</v>
      </c>
      <c r="J57" s="8">
        <f t="shared" si="17"/>
        <v>2.42</v>
      </c>
      <c r="K57" s="8">
        <f t="shared" si="18"/>
        <v>4190.72</v>
      </c>
      <c r="L57" s="8">
        <f t="shared" si="16"/>
        <v>4189.4286554621849</v>
      </c>
      <c r="M57" s="68"/>
    </row>
    <row r="58" spans="1:13" s="63" customFormat="1" ht="11.25" customHeight="1" x14ac:dyDescent="0.2">
      <c r="A58" s="18" t="s">
        <v>73</v>
      </c>
      <c r="B58" s="61" t="s">
        <v>72</v>
      </c>
      <c r="C58" s="62">
        <v>4193.1400000000003</v>
      </c>
      <c r="D58" s="32">
        <v>0</v>
      </c>
      <c r="E58" s="32">
        <v>0</v>
      </c>
      <c r="F58" s="32">
        <v>0</v>
      </c>
      <c r="G58" s="32">
        <v>0</v>
      </c>
      <c r="H58" s="8">
        <f>D58+F58+'02-03-22'!H58</f>
        <v>2754</v>
      </c>
      <c r="I58" s="8">
        <f>E58+G58+'02-03-22'!I58</f>
        <v>114.28999999999999</v>
      </c>
      <c r="J58" s="8">
        <f t="shared" si="17"/>
        <v>2868.29</v>
      </c>
      <c r="K58" s="8">
        <f t="shared" si="18"/>
        <v>1324.8500000000004</v>
      </c>
      <c r="L58" s="8">
        <f t="shared" si="16"/>
        <v>-205.7081092436847</v>
      </c>
      <c r="M58" s="88"/>
    </row>
    <row r="59" spans="1:13" s="63" customFormat="1" ht="11.25" customHeight="1" x14ac:dyDescent="0.2">
      <c r="A59" s="18" t="s">
        <v>106</v>
      </c>
      <c r="B59" s="61" t="s">
        <v>107</v>
      </c>
      <c r="C59" s="62">
        <f>2600+2600</f>
        <v>5200</v>
      </c>
      <c r="D59" s="32">
        <v>248.64</v>
      </c>
      <c r="E59" s="32">
        <v>2.98</v>
      </c>
      <c r="F59" s="32">
        <v>0</v>
      </c>
      <c r="G59" s="32">
        <v>0</v>
      </c>
      <c r="H59" s="8">
        <f>D59+F59+'02-03-22'!H59</f>
        <v>3100.8999999999996</v>
      </c>
      <c r="I59" s="8">
        <f>E59+G59+'02-03-22'!I59</f>
        <v>33.450000000000003</v>
      </c>
      <c r="J59" s="8">
        <f t="shared" si="17"/>
        <v>3134.3499999999995</v>
      </c>
      <c r="K59" s="8">
        <f t="shared" si="18"/>
        <v>2065.6500000000005</v>
      </c>
      <c r="L59" s="8">
        <f t="shared" si="16"/>
        <v>393.11869747900619</v>
      </c>
      <c r="M59" s="88"/>
    </row>
    <row r="60" spans="1:13" s="63" customFormat="1" ht="11.25" customHeight="1" x14ac:dyDescent="0.2">
      <c r="A60" s="94" t="s">
        <v>142</v>
      </c>
      <c r="B60" s="61" t="s">
        <v>143</v>
      </c>
      <c r="C60" s="101">
        <v>3749</v>
      </c>
      <c r="D60" s="97">
        <v>0</v>
      </c>
      <c r="E60" s="97">
        <v>0</v>
      </c>
      <c r="F60" s="97">
        <v>0</v>
      </c>
      <c r="G60" s="97">
        <v>0</v>
      </c>
      <c r="H60" s="96">
        <f>D60+F60</f>
        <v>0</v>
      </c>
      <c r="I60" s="96">
        <f>E60+G60</f>
        <v>0</v>
      </c>
      <c r="J60" s="96">
        <f t="shared" ref="J60" si="21">H60+I60</f>
        <v>0</v>
      </c>
      <c r="K60" s="96">
        <f t="shared" ref="K60" si="22">C60-J60</f>
        <v>3749</v>
      </c>
      <c r="L60" s="96">
        <f t="shared" ref="L60" si="23">C60-((J60/17)*26.0714285714285)</f>
        <v>3749</v>
      </c>
      <c r="M60" s="88"/>
    </row>
    <row r="61" spans="1:13" ht="21.6" customHeight="1" x14ac:dyDescent="0.25">
      <c r="A61" s="119" t="s">
        <v>88</v>
      </c>
      <c r="B61" s="120"/>
      <c r="C61" s="7">
        <f>SUM(C35:C54)</f>
        <v>71678.469999999987</v>
      </c>
      <c r="D61" s="7"/>
      <c r="E61" s="7"/>
      <c r="F61" s="7"/>
      <c r="G61" s="7"/>
      <c r="H61" s="7">
        <f>SUM(H35:H55)</f>
        <v>28842.13</v>
      </c>
      <c r="I61" s="7">
        <f>SUM(I35:I55)</f>
        <v>1043.5125935999999</v>
      </c>
      <c r="J61" s="7">
        <f>SUM(J35:J55)</f>
        <v>29885.642593600001</v>
      </c>
      <c r="K61" s="7">
        <f>SUM(K35:K55)</f>
        <v>41792.827406400007</v>
      </c>
      <c r="L61" s="7">
        <f>SUM(L35:L55)</f>
        <v>25845.446694689206</v>
      </c>
      <c r="M61" s="78"/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8"/>
    </row>
    <row r="63" spans="1:13" ht="10.9" customHeight="1" x14ac:dyDescent="0.25">
      <c r="A63" s="13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s="53" customFormat="1" ht="10.9" customHeight="1" x14ac:dyDescent="0.25">
      <c r="A64" s="17" t="s">
        <v>4</v>
      </c>
      <c r="B64" s="21" t="s">
        <v>3</v>
      </c>
      <c r="C64" s="8">
        <v>62583</v>
      </c>
      <c r="D64" s="9">
        <v>1713.36</v>
      </c>
      <c r="E64" s="9">
        <v>20.55</v>
      </c>
      <c r="F64" s="9">
        <v>0</v>
      </c>
      <c r="G64" s="9">
        <v>0</v>
      </c>
      <c r="H64" s="8">
        <f>D64+F64+'02-03-22'!H63</f>
        <v>19209.940000000002</v>
      </c>
      <c r="I64" s="8">
        <f>E64+G64+'02-03-22'!I63</f>
        <v>299.54000000000002</v>
      </c>
      <c r="J64" s="8">
        <f t="shared" ref="J64:J65" si="24">H64+I64</f>
        <v>19509.480000000003</v>
      </c>
      <c r="K64" s="8">
        <f>C64-J64</f>
        <v>43073.52</v>
      </c>
      <c r="L64" s="8">
        <f t="shared" ref="L64:L65" si="25">C64-((J64/17)*26.0714285714285)</f>
        <v>32662.999159663945</v>
      </c>
      <c r="M64" s="67"/>
    </row>
    <row r="65" spans="1:19" s="53" customFormat="1" ht="10.9" customHeight="1" x14ac:dyDescent="0.25">
      <c r="A65" s="17" t="s">
        <v>64</v>
      </c>
      <c r="B65" s="21" t="s">
        <v>63</v>
      </c>
      <c r="C65" s="8">
        <v>0</v>
      </c>
      <c r="D65" s="32">
        <v>0</v>
      </c>
      <c r="E65" s="32">
        <v>0</v>
      </c>
      <c r="F65" s="32">
        <v>0</v>
      </c>
      <c r="G65" s="32">
        <v>0</v>
      </c>
      <c r="H65" s="8">
        <f>D65+F65+'02-03-22'!H64</f>
        <v>0</v>
      </c>
      <c r="I65" s="8">
        <f>E65+G65+'02-03-22'!I64</f>
        <v>0</v>
      </c>
      <c r="J65" s="8">
        <f t="shared" si="24"/>
        <v>0</v>
      </c>
      <c r="K65" s="8">
        <f>C65-J65</f>
        <v>0</v>
      </c>
      <c r="L65" s="8">
        <f t="shared" si="25"/>
        <v>0</v>
      </c>
      <c r="M65" s="67"/>
    </row>
    <row r="66" spans="1:19" ht="21.6" customHeight="1" x14ac:dyDescent="0.25">
      <c r="A66" s="16" t="s">
        <v>2</v>
      </c>
      <c r="B66" s="15"/>
      <c r="C66" s="14">
        <f>C64+C65</f>
        <v>62583</v>
      </c>
      <c r="D66" s="14">
        <f t="shared" ref="D66:L66" si="26">D64+D65</f>
        <v>1713.36</v>
      </c>
      <c r="E66" s="14">
        <f t="shared" si="26"/>
        <v>20.55</v>
      </c>
      <c r="F66" s="14">
        <f t="shared" si="26"/>
        <v>0</v>
      </c>
      <c r="G66" s="14">
        <f t="shared" si="26"/>
        <v>0</v>
      </c>
      <c r="H66" s="14">
        <f t="shared" si="26"/>
        <v>19209.940000000002</v>
      </c>
      <c r="I66" s="14">
        <f t="shared" si="26"/>
        <v>299.54000000000002</v>
      </c>
      <c r="J66" s="14">
        <f t="shared" si="26"/>
        <v>19509.480000000003</v>
      </c>
      <c r="K66" s="14">
        <f t="shared" si="26"/>
        <v>43073.52</v>
      </c>
      <c r="L66" s="14">
        <f t="shared" si="26"/>
        <v>32662.999159663945</v>
      </c>
    </row>
    <row r="67" spans="1:19" ht="10.9" customHeight="1" x14ac:dyDescent="0.25">
      <c r="A67" s="13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 ht="10.9" customHeight="1" x14ac:dyDescent="0.25">
      <c r="A68" s="13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9" s="53" customFormat="1" ht="10.9" customHeight="1" x14ac:dyDescent="0.25">
      <c r="A69" s="17" t="s">
        <v>1</v>
      </c>
      <c r="B69" s="21">
        <v>55180000</v>
      </c>
      <c r="C69" s="8">
        <v>37736</v>
      </c>
      <c r="D69" s="32">
        <v>0</v>
      </c>
      <c r="E69" s="32">
        <v>0</v>
      </c>
      <c r="F69" s="32">
        <v>0</v>
      </c>
      <c r="G69" s="32">
        <v>0</v>
      </c>
      <c r="H69" s="8">
        <f>D69+F69+'02-03-22'!H68</f>
        <v>758.14</v>
      </c>
      <c r="I69" s="8">
        <f>E69+G69+'02-03-22'!I68</f>
        <v>30.26</v>
      </c>
      <c r="J69" s="8">
        <f t="shared" ref="J69" si="27">H69+I69</f>
        <v>788.4</v>
      </c>
      <c r="K69" s="8">
        <f>C69-J69</f>
        <v>36947.599999999999</v>
      </c>
      <c r="L69" s="8">
        <f>C69-((J69/17)*26.0714285714285)</f>
        <v>36526.899159663866</v>
      </c>
      <c r="M69" s="67"/>
    </row>
    <row r="70" spans="1:19" s="3" customFormat="1" ht="21.6" customHeight="1" x14ac:dyDescent="0.25">
      <c r="A70" s="119" t="s">
        <v>0</v>
      </c>
      <c r="B70" s="120"/>
      <c r="C70" s="7">
        <f t="shared" ref="C70:L70" si="28">SUM(C69)</f>
        <v>37736</v>
      </c>
      <c r="D70" s="7">
        <f t="shared" si="28"/>
        <v>0</v>
      </c>
      <c r="E70" s="7">
        <f t="shared" si="28"/>
        <v>0</v>
      </c>
      <c r="F70" s="7">
        <f t="shared" si="28"/>
        <v>0</v>
      </c>
      <c r="G70" s="7">
        <f t="shared" si="28"/>
        <v>0</v>
      </c>
      <c r="H70" s="7">
        <f t="shared" si="28"/>
        <v>758.14</v>
      </c>
      <c r="I70" s="7">
        <f t="shared" si="28"/>
        <v>30.26</v>
      </c>
      <c r="J70" s="7">
        <f t="shared" si="28"/>
        <v>788.4</v>
      </c>
      <c r="K70" s="7">
        <f t="shared" si="28"/>
        <v>36947.599999999999</v>
      </c>
      <c r="L70" s="7">
        <f t="shared" si="28"/>
        <v>36526.899159663866</v>
      </c>
      <c r="M70" s="73"/>
    </row>
    <row r="71" spans="1:19" s="3" customFormat="1" ht="11.25" customHeight="1" x14ac:dyDescent="0.25">
      <c r="A71" s="6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73"/>
    </row>
    <row r="72" spans="1:19" s="2" customFormat="1" ht="10.5" customHeight="1" x14ac:dyDescent="0.25">
      <c r="A72" s="122" t="s">
        <v>83</v>
      </c>
      <c r="B72" s="122"/>
      <c r="C72" s="122"/>
      <c r="D72" s="122"/>
      <c r="E72" s="122"/>
      <c r="F72" s="122"/>
      <c r="G72" s="89">
        <v>5955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90</v>
      </c>
      <c r="B73" s="122"/>
      <c r="C73" s="122"/>
      <c r="D73" s="122"/>
      <c r="E73" s="122"/>
      <c r="F73" s="122"/>
      <c r="G73" s="89">
        <v>1332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86</v>
      </c>
      <c r="B74" s="122"/>
      <c r="C74" s="122"/>
      <c r="D74" s="122"/>
      <c r="E74" s="122"/>
      <c r="F74" s="122"/>
      <c r="G74" s="89">
        <v>6941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85</v>
      </c>
      <c r="B75" s="122"/>
      <c r="C75" s="122"/>
      <c r="D75" s="122"/>
      <c r="E75" s="122"/>
      <c r="F75" s="122"/>
      <c r="G75" s="89">
        <v>10800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84</v>
      </c>
      <c r="B76" s="122"/>
      <c r="C76" s="122"/>
      <c r="D76" s="122"/>
      <c r="E76" s="122"/>
      <c r="F76" s="122"/>
      <c r="G76" s="89">
        <v>2880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87</v>
      </c>
      <c r="B77" s="122"/>
      <c r="C77" s="122"/>
      <c r="D77" s="122"/>
      <c r="E77" s="122"/>
      <c r="F77" s="122"/>
      <c r="G77" s="89">
        <v>6450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92</v>
      </c>
      <c r="B78" s="122"/>
      <c r="C78" s="122"/>
      <c r="D78" s="122"/>
      <c r="E78" s="122"/>
      <c r="F78" s="122"/>
      <c r="G78" s="89">
        <v>7700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103</v>
      </c>
      <c r="B79" s="122"/>
      <c r="C79" s="122"/>
      <c r="D79" s="122"/>
      <c r="E79" s="122"/>
      <c r="F79" s="122"/>
      <c r="G79" s="89">
        <v>7700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104</v>
      </c>
      <c r="B80" s="122"/>
      <c r="C80" s="122"/>
      <c r="D80" s="122"/>
      <c r="E80" s="122"/>
      <c r="F80" s="122"/>
      <c r="G80" s="89">
        <v>66000</v>
      </c>
      <c r="M80" s="121"/>
      <c r="N80" s="121"/>
      <c r="O80" s="121"/>
      <c r="P80" s="121"/>
      <c r="Q80" s="121"/>
      <c r="R80" s="121"/>
      <c r="S80" s="89"/>
    </row>
    <row r="81" spans="1:18" ht="10.5" customHeight="1" x14ac:dyDescent="0.25">
      <c r="A81" s="122" t="s">
        <v>101</v>
      </c>
      <c r="B81" s="122"/>
      <c r="C81" s="122"/>
      <c r="D81" s="122"/>
      <c r="E81" s="122"/>
      <c r="F81" s="122"/>
      <c r="G81" s="89">
        <v>3194.08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110</v>
      </c>
      <c r="B82" s="122"/>
      <c r="C82" s="122"/>
      <c r="D82" s="122"/>
      <c r="E82" s="122"/>
      <c r="F82" s="122"/>
      <c r="G82" s="89">
        <v>2600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111</v>
      </c>
      <c r="B83" s="122"/>
      <c r="C83" s="122"/>
      <c r="D83" s="122"/>
      <c r="E83" s="122"/>
      <c r="F83" s="122"/>
      <c r="G83" s="89">
        <v>5000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113</v>
      </c>
      <c r="B84" s="122"/>
      <c r="C84" s="122"/>
      <c r="D84" s="122"/>
      <c r="E84" s="122"/>
      <c r="F84" s="122"/>
      <c r="G84" s="89">
        <v>1000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116</v>
      </c>
      <c r="B85" s="122"/>
      <c r="C85" s="122"/>
      <c r="D85" s="122"/>
      <c r="E85" s="122"/>
      <c r="F85" s="122"/>
      <c r="G85" s="89">
        <v>12000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123</v>
      </c>
      <c r="B86" s="122"/>
      <c r="C86" s="122"/>
      <c r="D86" s="122"/>
      <c r="E86" s="122"/>
      <c r="F86" s="122"/>
      <c r="G86" s="89">
        <v>900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138</v>
      </c>
      <c r="B87" s="122"/>
      <c r="C87" s="122"/>
      <c r="D87" s="122"/>
      <c r="E87" s="122"/>
      <c r="F87" s="122"/>
      <c r="G87" s="89">
        <v>11500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125</v>
      </c>
      <c r="B88" s="122"/>
      <c r="C88" s="122"/>
      <c r="D88" s="122"/>
      <c r="E88" s="122"/>
      <c r="F88" s="122"/>
      <c r="G88" s="89">
        <v>2600</v>
      </c>
      <c r="M88" s="121"/>
      <c r="N88" s="121"/>
      <c r="O88" s="121"/>
      <c r="P88" s="121"/>
      <c r="Q88" s="121"/>
      <c r="R88" s="121"/>
    </row>
    <row r="89" spans="1:18" ht="10.5" customHeight="1" x14ac:dyDescent="0.25">
      <c r="A89" s="122" t="s">
        <v>145</v>
      </c>
      <c r="B89" s="122"/>
      <c r="C89" s="122"/>
      <c r="D89" s="122"/>
      <c r="E89" s="122"/>
      <c r="F89" s="122"/>
      <c r="G89" s="89">
        <v>8957</v>
      </c>
      <c r="M89" s="121"/>
      <c r="N89" s="121"/>
      <c r="O89" s="121"/>
      <c r="P89" s="121"/>
      <c r="Q89" s="121"/>
      <c r="R89" s="121"/>
    </row>
    <row r="90" spans="1:18" ht="10.5" customHeight="1" x14ac:dyDescent="0.25">
      <c r="A90" s="122" t="s">
        <v>137</v>
      </c>
      <c r="B90" s="122"/>
      <c r="C90" s="122"/>
      <c r="D90" s="122"/>
      <c r="E90" s="122"/>
      <c r="F90" s="122"/>
      <c r="G90" s="89">
        <v>441.6</v>
      </c>
      <c r="M90" s="121"/>
      <c r="N90" s="121"/>
      <c r="O90" s="121"/>
      <c r="P90" s="121"/>
      <c r="Q90" s="121"/>
      <c r="R90" s="121"/>
    </row>
    <row r="91" spans="1:18" ht="10.5" customHeight="1" x14ac:dyDescent="0.25">
      <c r="A91" s="122" t="s">
        <v>132</v>
      </c>
      <c r="B91" s="122"/>
      <c r="C91" s="122"/>
      <c r="D91" s="122"/>
      <c r="E91" s="122"/>
      <c r="F91" s="122"/>
      <c r="G91" s="89">
        <v>821.59</v>
      </c>
      <c r="M91" s="121"/>
      <c r="N91" s="121"/>
      <c r="O91" s="121"/>
      <c r="P91" s="121"/>
      <c r="Q91" s="121"/>
      <c r="R91" s="121"/>
    </row>
    <row r="92" spans="1:18" ht="10.5" customHeight="1" x14ac:dyDescent="0.25">
      <c r="A92" s="122" t="s">
        <v>134</v>
      </c>
      <c r="B92" s="122"/>
      <c r="C92" s="122"/>
      <c r="D92" s="122"/>
      <c r="E92" s="122"/>
      <c r="F92" s="122"/>
      <c r="G92" s="89">
        <v>3700</v>
      </c>
      <c r="M92" s="121"/>
      <c r="N92" s="121"/>
      <c r="O92" s="121"/>
      <c r="P92" s="121"/>
      <c r="Q92" s="121"/>
      <c r="R92" s="121"/>
    </row>
    <row r="93" spans="1:18" ht="10.5" customHeight="1" x14ac:dyDescent="0.25">
      <c r="A93" s="122" t="s">
        <v>135</v>
      </c>
      <c r="B93" s="122"/>
      <c r="C93" s="122"/>
      <c r="D93" s="122"/>
      <c r="E93" s="122"/>
      <c r="F93" s="122"/>
      <c r="G93" s="89">
        <v>1500</v>
      </c>
      <c r="M93" s="121"/>
      <c r="N93" s="121"/>
      <c r="O93" s="121"/>
      <c r="P93" s="121"/>
      <c r="Q93" s="121"/>
      <c r="R93" s="121"/>
    </row>
    <row r="94" spans="1:18" ht="10.5" customHeight="1" x14ac:dyDescent="0.25">
      <c r="A94" s="122" t="s">
        <v>139</v>
      </c>
      <c r="B94" s="122"/>
      <c r="C94" s="122"/>
      <c r="D94" s="122"/>
      <c r="E94" s="122"/>
      <c r="F94" s="122"/>
      <c r="G94" s="89">
        <v>-6120.78</v>
      </c>
      <c r="M94" s="121"/>
      <c r="N94" s="121"/>
      <c r="O94" s="121"/>
      <c r="P94" s="121"/>
      <c r="Q94" s="121"/>
      <c r="R94" s="121"/>
    </row>
    <row r="95" spans="1:18" ht="10.5" customHeight="1" x14ac:dyDescent="0.25">
      <c r="A95" s="122" t="s">
        <v>140</v>
      </c>
      <c r="B95" s="122"/>
      <c r="C95" s="122"/>
      <c r="D95" s="122"/>
      <c r="E95" s="122"/>
      <c r="F95" s="122"/>
      <c r="G95" s="89">
        <v>1400</v>
      </c>
      <c r="M95" s="121"/>
      <c r="N95" s="121"/>
      <c r="O95" s="121"/>
      <c r="P95" s="121"/>
      <c r="Q95" s="121"/>
      <c r="R95" s="121"/>
    </row>
    <row r="96" spans="1:18" ht="10.5" customHeight="1" x14ac:dyDescent="0.25">
      <c r="A96" s="122" t="s">
        <v>144</v>
      </c>
      <c r="B96" s="122"/>
      <c r="C96" s="122"/>
      <c r="D96" s="122"/>
      <c r="E96" s="122"/>
      <c r="F96" s="122"/>
      <c r="G96" s="89">
        <v>3749</v>
      </c>
      <c r="M96" s="121"/>
      <c r="N96" s="121"/>
      <c r="O96" s="121"/>
      <c r="P96" s="121"/>
      <c r="Q96" s="121"/>
      <c r="R96" s="121"/>
    </row>
  </sheetData>
  <mergeCells count="56">
    <mergeCell ref="A96:F96"/>
    <mergeCell ref="M96:R96"/>
    <mergeCell ref="A93:F93"/>
    <mergeCell ref="M93:R93"/>
    <mergeCell ref="A94:F94"/>
    <mergeCell ref="M94:R94"/>
    <mergeCell ref="A95:F95"/>
    <mergeCell ref="M95:R95"/>
    <mergeCell ref="A90:F90"/>
    <mergeCell ref="M90:R90"/>
    <mergeCell ref="A91:F91"/>
    <mergeCell ref="M91:R91"/>
    <mergeCell ref="A92:F92"/>
    <mergeCell ref="M92:R92"/>
    <mergeCell ref="A87:F87"/>
    <mergeCell ref="M87:R87"/>
    <mergeCell ref="A88:F88"/>
    <mergeCell ref="M88:R88"/>
    <mergeCell ref="A89:F89"/>
    <mergeCell ref="M89:R89"/>
    <mergeCell ref="A84:F84"/>
    <mergeCell ref="M84:R84"/>
    <mergeCell ref="A85:F85"/>
    <mergeCell ref="M85:R85"/>
    <mergeCell ref="A86:F86"/>
    <mergeCell ref="M86:R86"/>
    <mergeCell ref="A81:F81"/>
    <mergeCell ref="M81:R81"/>
    <mergeCell ref="A82:F82"/>
    <mergeCell ref="M82:R82"/>
    <mergeCell ref="A83:F83"/>
    <mergeCell ref="M83:R83"/>
    <mergeCell ref="A78:F78"/>
    <mergeCell ref="M78:R78"/>
    <mergeCell ref="A79:F79"/>
    <mergeCell ref="M79:R79"/>
    <mergeCell ref="A80:F80"/>
    <mergeCell ref="M80:R80"/>
    <mergeCell ref="A75:F75"/>
    <mergeCell ref="M75:R75"/>
    <mergeCell ref="A76:F76"/>
    <mergeCell ref="M76:R76"/>
    <mergeCell ref="A77:F77"/>
    <mergeCell ref="M77:R77"/>
    <mergeCell ref="A72:F72"/>
    <mergeCell ref="M72:R72"/>
    <mergeCell ref="A73:F73"/>
    <mergeCell ref="M73:R73"/>
    <mergeCell ref="A74:F74"/>
    <mergeCell ref="M74:R74"/>
    <mergeCell ref="A70:B70"/>
    <mergeCell ref="A18:B18"/>
    <mergeCell ref="A24:B24"/>
    <mergeCell ref="A29:B29"/>
    <mergeCell ref="A32:B32"/>
    <mergeCell ref="A61:B61"/>
  </mergeCells>
  <pageMargins left="0.25" right="0" top="0.4" bottom="0" header="0.3" footer="0"/>
  <pageSetup scale="68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3803-4126-4A24-BC82-40CD2B600CFC}">
  <sheetPr>
    <pageSetUpPr fitToPage="1"/>
  </sheetPr>
  <dimension ref="A1:S96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146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222.5</v>
      </c>
      <c r="E3" s="32">
        <v>2.67</v>
      </c>
      <c r="F3" s="32">
        <v>0</v>
      </c>
      <c r="G3" s="32">
        <v>0</v>
      </c>
      <c r="H3" s="8">
        <f>D3+F3+'02-17-22'!H3</f>
        <v>2672.5</v>
      </c>
      <c r="I3" s="8">
        <f>E3+G3+'02-17-22'!I3</f>
        <v>32.049999999999997</v>
      </c>
      <c r="J3" s="8">
        <f>H3+I3</f>
        <v>2704.55</v>
      </c>
      <c r="K3" s="8">
        <f>C3-J3</f>
        <v>617.04</v>
      </c>
      <c r="L3" s="8">
        <f>C3-((J3/18)*26.0714285714285)</f>
        <v>-595.714563492053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356.25</v>
      </c>
      <c r="E4" s="33">
        <v>4.2699999999999996</v>
      </c>
      <c r="F4" s="33">
        <v>1875</v>
      </c>
      <c r="G4" s="33">
        <v>140.61000000000001</v>
      </c>
      <c r="H4" s="8">
        <f>D4+F4+'02-17-22'!H4</f>
        <v>33720.81</v>
      </c>
      <c r="I4" s="8">
        <f>E4+G4+'02-17-22'!I4</f>
        <v>2315.8300000000004</v>
      </c>
      <c r="J4" s="8">
        <f t="shared" ref="J4:J17" si="0">H4+I4</f>
        <v>36036.639999999999</v>
      </c>
      <c r="K4" s="8">
        <f t="shared" ref="K4:K17" si="1">C4-J4</f>
        <v>29963.360000000001</v>
      </c>
      <c r="L4" s="8">
        <f t="shared" ref="L4:L17" si="2">C4-((J4/18)*26.0714285714285)</f>
        <v>13804.073015873168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D5+F5+'02-17-22'!H5</f>
        <v>0</v>
      </c>
      <c r="I5" s="8">
        <f>E5+G5+'02-17-22'!I5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D6+F6+'02-17-22'!H6</f>
        <v>4207.5</v>
      </c>
      <c r="I6" s="8">
        <f>E6+G6+'02-17-22'!I6</f>
        <v>50.45000000000001</v>
      </c>
      <c r="J6" s="8">
        <f t="shared" si="0"/>
        <v>4257.95</v>
      </c>
      <c r="K6" s="8">
        <f t="shared" si="1"/>
        <v>2192.0500000000002</v>
      </c>
      <c r="L6" s="8">
        <f t="shared" si="2"/>
        <v>282.73115079366835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f>124.96+817.83</f>
        <v>942.79000000000008</v>
      </c>
      <c r="E7" s="41">
        <f>1.49+9.8</f>
        <v>11.290000000000001</v>
      </c>
      <c r="F7" s="41">
        <v>0</v>
      </c>
      <c r="G7" s="41">
        <v>0</v>
      </c>
      <c r="H7" s="8">
        <f>D7+F7+'02-17-22'!H7</f>
        <v>14102.030000000002</v>
      </c>
      <c r="I7" s="8">
        <f>E7+G7+'02-17-22'!I7</f>
        <v>169.05999999999992</v>
      </c>
      <c r="J7" s="8">
        <f t="shared" si="0"/>
        <v>14271.090000000002</v>
      </c>
      <c r="K7" s="8">
        <f t="shared" si="1"/>
        <v>10377.909999999998</v>
      </c>
      <c r="L7" s="8">
        <f t="shared" si="2"/>
        <v>3978.5720238095782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504.57</v>
      </c>
      <c r="E8" s="9">
        <v>6.05</v>
      </c>
      <c r="F8" s="9">
        <v>0</v>
      </c>
      <c r="G8" s="9">
        <v>0</v>
      </c>
      <c r="H8" s="8">
        <f>D8+F8+'02-17-22'!H8</f>
        <v>9131.57</v>
      </c>
      <c r="I8" s="8">
        <f>E8+G8+'02-17-22'!I8</f>
        <v>109.39</v>
      </c>
      <c r="J8" s="8">
        <f t="shared" si="0"/>
        <v>9240.9599999999991</v>
      </c>
      <c r="K8" s="8">
        <f t="shared" si="1"/>
        <v>8733.0400000000009</v>
      </c>
      <c r="L8" s="8">
        <f t="shared" si="2"/>
        <v>4589.2761904762283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569</v>
      </c>
      <c r="E9" s="9">
        <v>6.82</v>
      </c>
      <c r="F9" s="9">
        <v>0</v>
      </c>
      <c r="G9" s="9">
        <v>0</v>
      </c>
      <c r="H9" s="8">
        <f>D9+F9+'02-17-22'!H9</f>
        <v>12180.34</v>
      </c>
      <c r="I9" s="8">
        <f>E9+G9+'02-17-22'!I9</f>
        <v>217.43999999999994</v>
      </c>
      <c r="J9" s="8">
        <f t="shared" si="0"/>
        <v>12397.78</v>
      </c>
      <c r="K9" s="8">
        <f t="shared" si="1"/>
        <v>5576.2199999999993</v>
      </c>
      <c r="L9" s="8">
        <f t="shared" si="2"/>
        <v>16.89801587306647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D10+F10+'02-17-22'!H10</f>
        <v>1375.3999999999999</v>
      </c>
      <c r="I10" s="8">
        <f>E10+G10+'02-17-22'!I10</f>
        <v>16.439999999999998</v>
      </c>
      <c r="J10" s="8">
        <f t="shared" si="0"/>
        <v>1391.84</v>
      </c>
      <c r="K10" s="8">
        <f t="shared" si="1"/>
        <v>717.16000000000008</v>
      </c>
      <c r="L10" s="8">
        <f t="shared" si="2"/>
        <v>93.041269841275607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841.43</v>
      </c>
      <c r="E11" s="9">
        <v>10.09</v>
      </c>
      <c r="F11" s="9">
        <v>0</v>
      </c>
      <c r="G11" s="9">
        <v>0</v>
      </c>
      <c r="H11" s="8">
        <f>D11+F11+'02-17-22'!H11</f>
        <v>13219.359999999999</v>
      </c>
      <c r="I11" s="8">
        <f>E11+G11+'02-17-22'!I11</f>
        <v>251.37000000000003</v>
      </c>
      <c r="J11" s="8">
        <f t="shared" si="0"/>
        <v>13470.73</v>
      </c>
      <c r="K11" s="8">
        <f t="shared" si="1"/>
        <v>10859.27</v>
      </c>
      <c r="L11" s="8">
        <f t="shared" si="2"/>
        <v>4818.8236111111692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704.64</v>
      </c>
      <c r="E12" s="8">
        <v>8.43</v>
      </c>
      <c r="F12" s="8">
        <v>0</v>
      </c>
      <c r="G12" s="8">
        <v>0</v>
      </c>
      <c r="H12" s="8">
        <f>D12+F12+'02-17-22'!H12</f>
        <v>21981.85</v>
      </c>
      <c r="I12" s="8">
        <f>E12+G12+'02-17-22'!I12</f>
        <v>341.55</v>
      </c>
      <c r="J12" s="8">
        <f t="shared" si="0"/>
        <v>22323.399999999998</v>
      </c>
      <c r="K12" s="8">
        <f t="shared" si="1"/>
        <v>11405.030000000002</v>
      </c>
      <c r="L12" s="8">
        <f t="shared" si="2"/>
        <v>1394.9339682540594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1116.95</v>
      </c>
      <c r="E13" s="8">
        <v>13.39</v>
      </c>
      <c r="F13" s="8">
        <v>0</v>
      </c>
      <c r="G13" s="8">
        <v>0</v>
      </c>
      <c r="H13" s="8">
        <f>D13+F13+'02-17-22'!H13</f>
        <v>28015.250000000004</v>
      </c>
      <c r="I13" s="8">
        <f>E13+G13+'02-17-22'!I13</f>
        <v>338.24</v>
      </c>
      <c r="J13" s="8">
        <f t="shared" si="0"/>
        <v>28353.490000000005</v>
      </c>
      <c r="K13" s="8">
        <f t="shared" si="1"/>
        <v>14387.509999999995</v>
      </c>
      <c r="L13" s="8">
        <f t="shared" si="2"/>
        <v>1673.4450396826433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667.36</v>
      </c>
      <c r="E14" s="9">
        <v>8</v>
      </c>
      <c r="F14" s="9">
        <v>0</v>
      </c>
      <c r="G14" s="9">
        <v>0</v>
      </c>
      <c r="H14" s="8">
        <f>D14+F14+'02-17-22'!H14</f>
        <v>9697.3900000000012</v>
      </c>
      <c r="I14" s="8">
        <f>E14+G14+'02-17-22'!I14</f>
        <v>116.24</v>
      </c>
      <c r="J14" s="8">
        <f t="shared" si="0"/>
        <v>9813.630000000001</v>
      </c>
      <c r="K14" s="8">
        <f t="shared" si="1"/>
        <v>14359.369999999999</v>
      </c>
      <c r="L14" s="8">
        <f t="shared" si="2"/>
        <v>9958.8136904762287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2">
        <v>0</v>
      </c>
      <c r="E15" s="32">
        <v>0</v>
      </c>
      <c r="F15" s="32">
        <v>0</v>
      </c>
      <c r="G15" s="32">
        <v>0</v>
      </c>
      <c r="H15" s="8">
        <f>D15+F15+'02-17-22'!H15</f>
        <v>6825</v>
      </c>
      <c r="I15" s="8">
        <f>E15+G15+'02-17-22'!I15</f>
        <v>511.84000000000003</v>
      </c>
      <c r="J15" s="8">
        <f>H15+I15</f>
        <v>7336.84</v>
      </c>
      <c r="K15" s="8">
        <f>C15-J15</f>
        <v>8218.16</v>
      </c>
      <c r="L15" s="8">
        <f t="shared" si="2"/>
        <v>4928.2277777778072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260.85000000000002</v>
      </c>
      <c r="E16" s="9">
        <v>3.12</v>
      </c>
      <c r="F16" s="9">
        <v>0</v>
      </c>
      <c r="G16" s="9">
        <v>0</v>
      </c>
      <c r="H16" s="8">
        <f>D16+F16+'02-17-22'!H16</f>
        <v>2427.2799999999997</v>
      </c>
      <c r="I16" s="8">
        <f>E16+G16+'02-17-22'!I16</f>
        <v>37.989999999999995</v>
      </c>
      <c r="J16" s="8">
        <f t="shared" si="0"/>
        <v>2465.2699999999995</v>
      </c>
      <c r="K16" s="8">
        <f t="shared" si="1"/>
        <v>3534.7300000000005</v>
      </c>
      <c r="L16" s="8">
        <f t="shared" si="2"/>
        <v>2429.2716269841376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32">
        <v>362</v>
      </c>
      <c r="E17" s="32">
        <v>4.33</v>
      </c>
      <c r="F17" s="32">
        <v>300</v>
      </c>
      <c r="G17" s="32">
        <v>22.5</v>
      </c>
      <c r="H17" s="8">
        <f>D17+F17+'02-17-22'!H17</f>
        <v>7770.25</v>
      </c>
      <c r="I17" s="8">
        <f>E17+G17+'02-17-22'!I17</f>
        <v>154.61000000000001</v>
      </c>
      <c r="J17" s="8">
        <f t="shared" si="0"/>
        <v>7924.86</v>
      </c>
      <c r="K17" s="8">
        <f t="shared" si="1"/>
        <v>2875.1400000000003</v>
      </c>
      <c r="L17" s="8">
        <f t="shared" si="2"/>
        <v>-678.46785714282487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287922.02</v>
      </c>
      <c r="D18" s="7">
        <f t="shared" ref="D18:L18" si="4">SUM(D3:D17)</f>
        <v>6548.3399999999992</v>
      </c>
      <c r="E18" s="7">
        <f t="shared" si="4"/>
        <v>78.459999999999994</v>
      </c>
      <c r="F18" s="7">
        <f t="shared" si="4"/>
        <v>2175</v>
      </c>
      <c r="G18" s="7">
        <f t="shared" si="4"/>
        <v>163.11000000000001</v>
      </c>
      <c r="H18" s="7">
        <f t="shared" si="4"/>
        <v>167326.53</v>
      </c>
      <c r="I18" s="7">
        <f t="shared" si="4"/>
        <v>4662.5</v>
      </c>
      <c r="J18" s="35">
        <f t="shared" si="4"/>
        <v>171989.02999999997</v>
      </c>
      <c r="K18" s="35">
        <f t="shared" si="4"/>
        <v>126732.98999999999</v>
      </c>
      <c r="L18" s="7">
        <f t="shared" si="4"/>
        <v>49610.924960318152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84.64</v>
      </c>
      <c r="E22" s="32">
        <v>1</v>
      </c>
      <c r="F22" s="32">
        <v>0</v>
      </c>
      <c r="G22" s="32">
        <v>0</v>
      </c>
      <c r="H22" s="8">
        <f>D22+F22+'02-17-22'!H22</f>
        <v>1251.0900000000001</v>
      </c>
      <c r="I22" s="8">
        <f>E22+G22+'02-17-22'!I22</f>
        <v>14.95</v>
      </c>
      <c r="J22" s="8">
        <f t="shared" si="6"/>
        <v>1266.0400000000002</v>
      </c>
      <c r="K22" s="8">
        <f t="shared" ref="K22:K23" si="8">C22-J22</f>
        <v>12686.96</v>
      </c>
      <c r="L22" s="8">
        <f t="shared" ref="L22:L23" si="9">C22-((J22/18)*26.0714285714285)</f>
        <v>12119.251587301593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D23+F23+'02-17-22'!H23</f>
        <v>1967.5</v>
      </c>
      <c r="I23" s="8">
        <f>E23+G23+'02-17-22'!I23</f>
        <v>23.580000000000002</v>
      </c>
      <c r="J23" s="8">
        <f t="shared" si="6"/>
        <v>1991.08</v>
      </c>
      <c r="K23" s="8">
        <f t="shared" si="8"/>
        <v>34.920000000000073</v>
      </c>
      <c r="L23" s="8">
        <f t="shared" si="9"/>
        <v>-857.90555555554738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84.64</v>
      </c>
      <c r="E24" s="7">
        <f t="shared" si="10"/>
        <v>1</v>
      </c>
      <c r="F24" s="7">
        <f t="shared" si="10"/>
        <v>0</v>
      </c>
      <c r="G24" s="7">
        <f t="shared" si="10"/>
        <v>0</v>
      </c>
      <c r="H24" s="8">
        <f>D24+F24+'07-22-21'!H23</f>
        <v>84.64</v>
      </c>
      <c r="I24" s="8">
        <f>E24+G24+'07-22-21'!I23</f>
        <v>1</v>
      </c>
      <c r="J24" s="35">
        <f t="shared" si="10"/>
        <v>3257.12</v>
      </c>
      <c r="K24" s="7">
        <f t="shared" si="10"/>
        <v>12721.88</v>
      </c>
      <c r="L24" s="7">
        <f t="shared" si="10"/>
        <v>11261.346031746045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135</v>
      </c>
      <c r="E27" s="9">
        <v>1.62</v>
      </c>
      <c r="F27" s="9">
        <v>1395</v>
      </c>
      <c r="G27" s="9">
        <v>104.62</v>
      </c>
      <c r="H27" s="8">
        <f>D27+F27+'02-17-22'!H27</f>
        <v>22217.25</v>
      </c>
      <c r="I27" s="8">
        <f>E27+G27+'02-17-22'!I27</f>
        <v>966.35000000000014</v>
      </c>
      <c r="J27" s="8">
        <f t="shared" ref="J27:J28" si="11">H27+I27</f>
        <v>23183.599999999999</v>
      </c>
      <c r="K27" s="8">
        <f>C27-J27</f>
        <v>1816.4000000000015</v>
      </c>
      <c r="L27" s="8">
        <f>C27-((J27/18)*26.0714285714285)</f>
        <v>-8579.4206349205342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135</v>
      </c>
      <c r="E29" s="31">
        <f t="shared" si="14"/>
        <v>1.62</v>
      </c>
      <c r="F29" s="31">
        <f t="shared" si="14"/>
        <v>1395</v>
      </c>
      <c r="G29" s="31">
        <f t="shared" si="14"/>
        <v>104.62</v>
      </c>
      <c r="H29" s="31">
        <f t="shared" si="14"/>
        <v>22217.25</v>
      </c>
      <c r="I29" s="31">
        <f t="shared" si="14"/>
        <v>966.35000000000014</v>
      </c>
      <c r="J29" s="31">
        <f t="shared" si="14"/>
        <v>23183.599999999999</v>
      </c>
      <c r="K29" s="31">
        <f t="shared" si="14"/>
        <v>1816.4000000000015</v>
      </c>
      <c r="L29" s="31">
        <f t="shared" si="14"/>
        <v>-8579.4206349205342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328901.02</v>
      </c>
      <c r="D32" s="24">
        <f t="shared" si="15"/>
        <v>6767.98</v>
      </c>
      <c r="E32" s="24">
        <f t="shared" si="15"/>
        <v>81.08</v>
      </c>
      <c r="F32" s="24">
        <f t="shared" si="15"/>
        <v>3570</v>
      </c>
      <c r="G32" s="24">
        <f t="shared" si="15"/>
        <v>267.73</v>
      </c>
      <c r="H32" s="24">
        <f t="shared" si="15"/>
        <v>189628.42</v>
      </c>
      <c r="I32" s="24">
        <f t="shared" si="15"/>
        <v>5629.85</v>
      </c>
      <c r="J32" s="24">
        <f t="shared" si="15"/>
        <v>198429.74999999997</v>
      </c>
      <c r="K32" s="24">
        <f t="shared" si="15"/>
        <v>141271.26999999999</v>
      </c>
      <c r="L32" s="24">
        <f t="shared" si="15"/>
        <v>52292.850357143659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D35+F35+'02-17-22'!H35</f>
        <v>800.94</v>
      </c>
      <c r="I35" s="8">
        <f>E35+G35+'02-17-22'!I35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60" si="16">C35-((J35/18)*26.0714285714285)</f>
        <v>1943.6601031746065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D36+F36+'02-17-22'!H36</f>
        <v>1248</v>
      </c>
      <c r="I36" s="8">
        <f>E36+G36+'02-17-22'!I36</f>
        <v>93.6</v>
      </c>
      <c r="J36" s="8">
        <f t="shared" ref="J36:J60" si="17">H36+I36</f>
        <v>1341.6</v>
      </c>
      <c r="K36" s="8">
        <f t="shared" ref="K36:K60" si="18">C36-J36</f>
        <v>0</v>
      </c>
      <c r="L36" s="8">
        <f t="shared" si="16"/>
        <v>-601.59047619047078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v>0</v>
      </c>
      <c r="E37" s="8">
        <v>0</v>
      </c>
      <c r="F37" s="8">
        <v>1120</v>
      </c>
      <c r="G37" s="8">
        <v>84</v>
      </c>
      <c r="H37" s="8">
        <f>D37+F37+'02-17-22'!H37</f>
        <v>7035</v>
      </c>
      <c r="I37" s="8">
        <f>E37+G37+'02-17-22'!I37</f>
        <v>372.79999999999995</v>
      </c>
      <c r="J37" s="8">
        <f t="shared" si="17"/>
        <v>7407.8</v>
      </c>
      <c r="K37" s="8">
        <f t="shared" si="18"/>
        <v>4150.5999999999995</v>
      </c>
      <c r="L37" s="8">
        <f t="shared" si="16"/>
        <v>828.84841269844219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D38+F38+'02-17-22'!H38</f>
        <v>0</v>
      </c>
      <c r="I38" s="8">
        <f>E38+G38+'02-17-22'!I38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D39+F39+'02-17-22'!H39</f>
        <v>36.659999999999997</v>
      </c>
      <c r="I39" s="8">
        <f>E39+G39+'02-17-22'!I39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-53.734653428571285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D40+F40+'02-17-22'!H40</f>
        <v>0</v>
      </c>
      <c r="I40" s="8">
        <f>E40+G40+'02-17-22'!I40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D41+F41+'02-17-22'!H41</f>
        <v>0</v>
      </c>
      <c r="I41" s="8">
        <f>E41+G41+'02-17-22'!I41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f>6710-6120.78+1400</f>
        <v>1989.2200000000003</v>
      </c>
      <c r="D42" s="32">
        <v>36.75</v>
      </c>
      <c r="E42" s="32">
        <v>0.43</v>
      </c>
      <c r="F42" s="32">
        <v>0</v>
      </c>
      <c r="G42" s="32">
        <v>0</v>
      </c>
      <c r="H42" s="8">
        <f>D42+F42+'02-17-22'!H42</f>
        <v>619</v>
      </c>
      <c r="I42" s="8">
        <f>E42+G42+'02-17-22'!I42</f>
        <v>7.3999999999999995</v>
      </c>
      <c r="J42" s="8">
        <f t="shared" si="17"/>
        <v>626.4</v>
      </c>
      <c r="K42" s="8">
        <f>C42-J42</f>
        <v>1362.8200000000002</v>
      </c>
      <c r="L42" s="8">
        <f t="shared" si="16"/>
        <v>1081.9342857142885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D43+F43+'02-17-22'!H43</f>
        <v>3121.7</v>
      </c>
      <c r="I43" s="8">
        <f>E43+G43+'02-17-22'!I43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-1413.2040079364947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D44+F44+'02-17-22'!H44</f>
        <v>0</v>
      </c>
      <c r="I44" s="8">
        <f>E44+G44+'02-17-22'!I44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189.72</v>
      </c>
      <c r="E45" s="32">
        <v>2.27</v>
      </c>
      <c r="F45" s="32">
        <v>0</v>
      </c>
      <c r="G45" s="32">
        <v>0</v>
      </c>
      <c r="H45" s="8">
        <f>D45+F45+'02-17-22'!H45</f>
        <v>1724.2199999999998</v>
      </c>
      <c r="I45" s="8">
        <f>E45+G45+'02-17-22'!I45</f>
        <v>20.62</v>
      </c>
      <c r="J45" s="8">
        <f t="shared" si="17"/>
        <v>1744.8399999999997</v>
      </c>
      <c r="K45" s="92">
        <f t="shared" si="19"/>
        <v>3255.1600000000003</v>
      </c>
      <c r="L45" s="8">
        <f t="shared" si="16"/>
        <v>2472.751587301595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219</v>
      </c>
      <c r="E46" s="32">
        <v>2.61</v>
      </c>
      <c r="F46" s="32">
        <v>495</v>
      </c>
      <c r="G46" s="32">
        <v>37.119999999999997</v>
      </c>
      <c r="H46" s="8">
        <f>D46+F46+'02-17-22'!H46</f>
        <v>6733.72</v>
      </c>
      <c r="I46" s="8">
        <f>E46+G46+'02-17-22'!I46</f>
        <v>357.39</v>
      </c>
      <c r="J46" s="8">
        <f t="shared" si="17"/>
        <v>7091.1100000000006</v>
      </c>
      <c r="K46" s="8">
        <f>C46-J46</f>
        <v>3600.24</v>
      </c>
      <c r="L46" s="8">
        <f t="shared" si="16"/>
        <v>420.49623015875841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D47+F47+'02-17-22'!H47</f>
        <v>0</v>
      </c>
      <c r="I47" s="8">
        <f>E47+G47+'02-17-22'!I47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848.16</v>
      </c>
      <c r="E48" s="32">
        <v>10.17</v>
      </c>
      <c r="F48" s="32">
        <v>0</v>
      </c>
      <c r="G48" s="32">
        <v>0</v>
      </c>
      <c r="H48" s="8">
        <f>D48+F48+'02-17-22'!H48</f>
        <v>8452.1400000000012</v>
      </c>
      <c r="I48" s="8">
        <f>E48+G48+'02-17-22'!I48</f>
        <v>101.36</v>
      </c>
      <c r="J48" s="8">
        <f t="shared" si="17"/>
        <v>8553.5000000000018</v>
      </c>
      <c r="K48" s="8">
        <f>C48-J48</f>
        <v>10646.499999999998</v>
      </c>
      <c r="L48" s="8">
        <f t="shared" si="16"/>
        <v>6811.001984127015</v>
      </c>
      <c r="M48" s="68"/>
    </row>
    <row r="49" spans="1:13" s="54" customFormat="1" ht="11.45" customHeight="1" x14ac:dyDescent="0.2">
      <c r="A49" s="18" t="s">
        <v>6</v>
      </c>
      <c r="B49" s="112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D49+F49+'02-17-22'!H49</f>
        <v>1754.38</v>
      </c>
      <c r="I49" s="8">
        <f>E49+G49+'02-17-22'!I49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1539.2160714285792</v>
      </c>
      <c r="M49" s="88"/>
    </row>
    <row r="50" spans="1:13" s="54" customFormat="1" ht="11.45" customHeight="1" x14ac:dyDescent="0.2">
      <c r="A50" s="18" t="s">
        <v>133</v>
      </c>
      <c r="B50" s="112" t="s">
        <v>5</v>
      </c>
      <c r="C50" s="8">
        <v>3700</v>
      </c>
      <c r="D50" s="32">
        <v>300</v>
      </c>
      <c r="E50" s="32">
        <v>3.6</v>
      </c>
      <c r="F50" s="32">
        <v>0</v>
      </c>
      <c r="G50" s="32">
        <v>0</v>
      </c>
      <c r="H50" s="8">
        <f>D50+F50+'02-17-22'!H50</f>
        <v>525</v>
      </c>
      <c r="I50" s="8">
        <f>E50+G50+'02-17-22'!I50</f>
        <v>6.3000000000000007</v>
      </c>
      <c r="J50" s="8">
        <f t="shared" si="17"/>
        <v>531.29999999999995</v>
      </c>
      <c r="K50" s="8">
        <f>C50-J50</f>
        <v>3168.7</v>
      </c>
      <c r="L50" s="8">
        <f t="shared" si="16"/>
        <v>2930.4583333333358</v>
      </c>
      <c r="M50" s="88"/>
    </row>
    <row r="51" spans="1:13" s="54" customFormat="1" ht="11.45" hidden="1" customHeight="1" x14ac:dyDescent="0.25">
      <c r="A51" s="18" t="s">
        <v>8</v>
      </c>
      <c r="B51" s="61" t="s">
        <v>7</v>
      </c>
      <c r="C51" s="8">
        <v>0</v>
      </c>
      <c r="D51" s="33"/>
      <c r="E51" s="33"/>
      <c r="F51" s="33"/>
      <c r="G51" s="33"/>
      <c r="H51" s="8">
        <f>D51+F51+'02-17-22'!H51</f>
        <v>0</v>
      </c>
      <c r="I51" s="8">
        <f>E51+G51+'02-17-22'!I51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54" customFormat="1" ht="11.45" hidden="1" customHeight="1" x14ac:dyDescent="0.25">
      <c r="A52" s="18" t="s">
        <v>50</v>
      </c>
      <c r="B52" s="61" t="s">
        <v>53</v>
      </c>
      <c r="C52" s="8">
        <v>202.01</v>
      </c>
      <c r="D52" s="33"/>
      <c r="E52" s="33"/>
      <c r="F52" s="33"/>
      <c r="G52" s="33"/>
      <c r="H52" s="8">
        <f>D52+F52+'02-17-22'!H52</f>
        <v>0</v>
      </c>
      <c r="I52" s="8">
        <f>E52+G52+'02-17-22'!I52</f>
        <v>0</v>
      </c>
      <c r="J52" s="8">
        <f t="shared" si="17"/>
        <v>0</v>
      </c>
      <c r="K52" s="8">
        <f t="shared" si="18"/>
        <v>202.01</v>
      </c>
      <c r="L52" s="8">
        <f t="shared" si="16"/>
        <v>202.01</v>
      </c>
      <c r="M52" s="68"/>
    </row>
    <row r="53" spans="1:13" s="54" customFormat="1" ht="11.45" hidden="1" customHeight="1" x14ac:dyDescent="0.25">
      <c r="A53" s="18" t="s">
        <v>51</v>
      </c>
      <c r="B53" s="61" t="s">
        <v>52</v>
      </c>
      <c r="C53" s="8"/>
      <c r="D53" s="33"/>
      <c r="E53" s="33"/>
      <c r="F53" s="33"/>
      <c r="G53" s="33"/>
      <c r="H53" s="8">
        <f>D53+F53+'02-17-22'!H53</f>
        <v>0</v>
      </c>
      <c r="I53" s="8">
        <f>E53+G53+'02-17-22'!I53</f>
        <v>0</v>
      </c>
      <c r="J53" s="8">
        <f t="shared" si="17"/>
        <v>0</v>
      </c>
      <c r="K53" s="8">
        <f t="shared" si="18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45</v>
      </c>
      <c r="B54" s="61" t="s">
        <v>46</v>
      </c>
      <c r="C54" s="62">
        <v>3655.06</v>
      </c>
      <c r="D54" s="33"/>
      <c r="E54" s="33"/>
      <c r="F54" s="33"/>
      <c r="G54" s="33"/>
      <c r="H54" s="8">
        <f>D54+F54+'02-17-22'!H54</f>
        <v>0</v>
      </c>
      <c r="I54" s="8">
        <f>E54+G54+'02-17-22'!I54</f>
        <v>0</v>
      </c>
      <c r="J54" s="8">
        <f t="shared" si="17"/>
        <v>0</v>
      </c>
      <c r="K54" s="8">
        <f t="shared" si="18"/>
        <v>3655.06</v>
      </c>
      <c r="L54" s="8">
        <f t="shared" si="16"/>
        <v>3655.06</v>
      </c>
      <c r="M54" s="67"/>
    </row>
    <row r="55" spans="1:13" s="63" customFormat="1" ht="11.25" hidden="1" customHeight="1" x14ac:dyDescent="0.25">
      <c r="A55" s="18" t="s">
        <v>61</v>
      </c>
      <c r="B55" s="61" t="s">
        <v>60</v>
      </c>
      <c r="C55" s="62">
        <v>0</v>
      </c>
      <c r="D55" s="33"/>
      <c r="E55" s="33"/>
      <c r="F55" s="33"/>
      <c r="G55" s="33"/>
      <c r="H55" s="8">
        <f>D55+F55+'02-17-22'!H55</f>
        <v>0</v>
      </c>
      <c r="I55" s="8">
        <f>E55+G55+'02-17-22'!I55</f>
        <v>0</v>
      </c>
      <c r="J55" s="8">
        <f t="shared" si="17"/>
        <v>0</v>
      </c>
      <c r="K55" s="8">
        <f t="shared" si="18"/>
        <v>0</v>
      </c>
      <c r="L55" s="8">
        <f t="shared" si="16"/>
        <v>0</v>
      </c>
      <c r="M55" s="68"/>
    </row>
    <row r="56" spans="1:13" s="63" customFormat="1" ht="11.25" customHeight="1" x14ac:dyDescent="0.25">
      <c r="A56" s="18" t="s">
        <v>67</v>
      </c>
      <c r="B56" s="61" t="s">
        <v>66</v>
      </c>
      <c r="C56" s="62">
        <v>3313.36</v>
      </c>
      <c r="D56" s="32">
        <v>0</v>
      </c>
      <c r="E56" s="32">
        <v>0</v>
      </c>
      <c r="F56" s="32">
        <v>0</v>
      </c>
      <c r="G56" s="32">
        <v>0</v>
      </c>
      <c r="H56" s="8">
        <f>D56+F56+'02-17-22'!H56</f>
        <v>0</v>
      </c>
      <c r="I56" s="8">
        <f>E56+G56+'02-17-22'!I56</f>
        <v>0</v>
      </c>
      <c r="J56" s="8">
        <f t="shared" si="17"/>
        <v>0</v>
      </c>
      <c r="K56" s="8">
        <f t="shared" si="18"/>
        <v>3313.36</v>
      </c>
      <c r="L56" s="8">
        <f t="shared" si="16"/>
        <v>3313.36</v>
      </c>
      <c r="M56" s="68"/>
    </row>
    <row r="57" spans="1:13" s="63" customFormat="1" ht="11.25" customHeight="1" x14ac:dyDescent="0.25">
      <c r="A57" s="18" t="s">
        <v>68</v>
      </c>
      <c r="B57" s="61" t="s">
        <v>69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D57+F57+'02-17-22'!H57</f>
        <v>2.4</v>
      </c>
      <c r="I57" s="8">
        <f>E57+G57+'02-17-22'!I57</f>
        <v>0.02</v>
      </c>
      <c r="J57" s="8">
        <f t="shared" si="17"/>
        <v>2.42</v>
      </c>
      <c r="K57" s="8">
        <f t="shared" si="18"/>
        <v>4190.72</v>
      </c>
      <c r="L57" s="8">
        <f t="shared" si="16"/>
        <v>4189.6348412698417</v>
      </c>
      <c r="M57" s="68"/>
    </row>
    <row r="58" spans="1:13" s="63" customFormat="1" ht="11.25" customHeight="1" x14ac:dyDescent="0.2">
      <c r="A58" s="18" t="s">
        <v>73</v>
      </c>
      <c r="B58" s="61" t="s">
        <v>72</v>
      </c>
      <c r="C58" s="62">
        <v>4193.1400000000003</v>
      </c>
      <c r="D58" s="32">
        <v>0</v>
      </c>
      <c r="E58" s="32">
        <v>0</v>
      </c>
      <c r="F58" s="32">
        <v>0</v>
      </c>
      <c r="G58" s="32">
        <v>0</v>
      </c>
      <c r="H58" s="8">
        <f>D58+F58+'02-17-22'!H58</f>
        <v>2754</v>
      </c>
      <c r="I58" s="8">
        <f>E58+G58+'02-17-22'!I58</f>
        <v>114.28999999999999</v>
      </c>
      <c r="J58" s="8">
        <f t="shared" si="17"/>
        <v>2868.29</v>
      </c>
      <c r="K58" s="8">
        <f t="shared" si="18"/>
        <v>1324.8500000000004</v>
      </c>
      <c r="L58" s="8">
        <f t="shared" si="16"/>
        <v>38.67234126985386</v>
      </c>
      <c r="M58" s="88"/>
    </row>
    <row r="59" spans="1:13" s="63" customFormat="1" ht="11.25" customHeight="1" x14ac:dyDescent="0.2">
      <c r="A59" s="18" t="s">
        <v>106</v>
      </c>
      <c r="B59" s="61" t="s">
        <v>107</v>
      </c>
      <c r="C59" s="62">
        <f>2600+2600</f>
        <v>5200</v>
      </c>
      <c r="D59" s="32">
        <v>307.83999999999997</v>
      </c>
      <c r="E59" s="32">
        <v>3.68</v>
      </c>
      <c r="F59" s="32">
        <v>0</v>
      </c>
      <c r="G59" s="32">
        <v>0</v>
      </c>
      <c r="H59" s="8">
        <f>D59+F59+'02-17-22'!H59</f>
        <v>3408.74</v>
      </c>
      <c r="I59" s="8">
        <f>E59+G59+'02-17-22'!I59</f>
        <v>37.130000000000003</v>
      </c>
      <c r="J59" s="8">
        <f t="shared" si="17"/>
        <v>3445.87</v>
      </c>
      <c r="K59" s="8">
        <f t="shared" si="18"/>
        <v>1754.13</v>
      </c>
      <c r="L59" s="8">
        <f t="shared" si="16"/>
        <v>208.95813492064917</v>
      </c>
      <c r="M59" s="88"/>
    </row>
    <row r="60" spans="1:13" s="63" customFormat="1" ht="11.25" customHeight="1" x14ac:dyDescent="0.2">
      <c r="A60" s="18" t="s">
        <v>142</v>
      </c>
      <c r="B60" s="61" t="s">
        <v>143</v>
      </c>
      <c r="C60" s="62">
        <v>3749</v>
      </c>
      <c r="D60" s="33">
        <v>0</v>
      </c>
      <c r="E60" s="33">
        <v>0</v>
      </c>
      <c r="F60" s="33">
        <v>75</v>
      </c>
      <c r="G60" s="33">
        <v>5.62</v>
      </c>
      <c r="H60" s="8">
        <f>D60+F60+'02-17-22'!H60</f>
        <v>75</v>
      </c>
      <c r="I60" s="8">
        <f>E60+G60+'02-17-22'!I60</f>
        <v>5.62</v>
      </c>
      <c r="J60" s="8">
        <f t="shared" si="17"/>
        <v>80.62</v>
      </c>
      <c r="K60" s="8">
        <f t="shared" si="18"/>
        <v>3668.38</v>
      </c>
      <c r="L60" s="8">
        <f t="shared" si="16"/>
        <v>3632.2289682539686</v>
      </c>
      <c r="M60" s="88"/>
    </row>
    <row r="61" spans="1:13" ht="21.6" customHeight="1" x14ac:dyDescent="0.25">
      <c r="A61" s="119" t="s">
        <v>88</v>
      </c>
      <c r="B61" s="120"/>
      <c r="C61" s="7">
        <f>SUM(C35:C54)</f>
        <v>71678.469999999987</v>
      </c>
      <c r="D61" s="7"/>
      <c r="E61" s="7"/>
      <c r="F61" s="7"/>
      <c r="G61" s="7"/>
      <c r="H61" s="7">
        <f>SUM(H35:H55)</f>
        <v>32050.76</v>
      </c>
      <c r="I61" s="7">
        <f>SUM(I35:I55)</f>
        <v>1183.7125935999998</v>
      </c>
      <c r="J61" s="7">
        <f>SUM(J35:J55)</f>
        <v>33234.472593600003</v>
      </c>
      <c r="K61" s="7">
        <f>SUM(K35:K55)</f>
        <v>38443.997406399998</v>
      </c>
      <c r="L61" s="7">
        <f>SUM(L35:L55)</f>
        <v>23541.237870381083</v>
      </c>
      <c r="M61" s="78"/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8"/>
    </row>
    <row r="63" spans="1:13" ht="10.9" customHeight="1" x14ac:dyDescent="0.25">
      <c r="A63" s="13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s="53" customFormat="1" ht="10.9" customHeight="1" x14ac:dyDescent="0.25">
      <c r="A64" s="17" t="s">
        <v>4</v>
      </c>
      <c r="B64" s="21" t="s">
        <v>3</v>
      </c>
      <c r="C64" s="8">
        <v>62583</v>
      </c>
      <c r="D64" s="9">
        <v>1363.19</v>
      </c>
      <c r="E64" s="9">
        <v>16.350000000000001</v>
      </c>
      <c r="F64" s="9">
        <v>0</v>
      </c>
      <c r="G64" s="9">
        <v>0</v>
      </c>
      <c r="H64" s="8">
        <f>D64+F64+'02-17-22'!H64</f>
        <v>20573.13</v>
      </c>
      <c r="I64" s="8">
        <f>E64+G64+'02-17-22'!I64</f>
        <v>315.89000000000004</v>
      </c>
      <c r="J64" s="8">
        <f t="shared" ref="J64:J65" si="21">H64+I64</f>
        <v>20889.02</v>
      </c>
      <c r="K64" s="8">
        <f>C64-J64</f>
        <v>41693.979999999996</v>
      </c>
      <c r="L64" s="8">
        <f t="shared" ref="L64:L65" si="22">C64-((J64/18)*26.0714285714285)</f>
        <v>32327.078174603259</v>
      </c>
      <c r="M64" s="67"/>
    </row>
    <row r="65" spans="1:19" s="53" customFormat="1" ht="10.9" customHeight="1" x14ac:dyDescent="0.25">
      <c r="A65" s="17" t="s">
        <v>64</v>
      </c>
      <c r="B65" s="21" t="s">
        <v>63</v>
      </c>
      <c r="C65" s="8">
        <v>0</v>
      </c>
      <c r="D65" s="32">
        <v>0</v>
      </c>
      <c r="E65" s="32">
        <v>0</v>
      </c>
      <c r="F65" s="32">
        <v>0</v>
      </c>
      <c r="G65" s="32">
        <v>0</v>
      </c>
      <c r="H65" s="8">
        <f>D65+F65+'02-17-22'!H65</f>
        <v>0</v>
      </c>
      <c r="I65" s="8">
        <f>E65+G65+'02-17-22'!I65</f>
        <v>0</v>
      </c>
      <c r="J65" s="8">
        <f t="shared" si="21"/>
        <v>0</v>
      </c>
      <c r="K65" s="8">
        <f>C65-J65</f>
        <v>0</v>
      </c>
      <c r="L65" s="8">
        <f t="shared" si="22"/>
        <v>0</v>
      </c>
      <c r="M65" s="67"/>
    </row>
    <row r="66" spans="1:19" ht="21.6" customHeight="1" x14ac:dyDescent="0.25">
      <c r="A66" s="16" t="s">
        <v>2</v>
      </c>
      <c r="B66" s="15"/>
      <c r="C66" s="14">
        <f>C64+C65</f>
        <v>62583</v>
      </c>
      <c r="D66" s="14">
        <f t="shared" ref="D66:L66" si="23">D64+D65</f>
        <v>1363.19</v>
      </c>
      <c r="E66" s="14">
        <f t="shared" si="23"/>
        <v>16.350000000000001</v>
      </c>
      <c r="F66" s="14">
        <f t="shared" si="23"/>
        <v>0</v>
      </c>
      <c r="G66" s="14">
        <f t="shared" si="23"/>
        <v>0</v>
      </c>
      <c r="H66" s="14">
        <f t="shared" si="23"/>
        <v>20573.13</v>
      </c>
      <c r="I66" s="14">
        <f t="shared" si="23"/>
        <v>315.89000000000004</v>
      </c>
      <c r="J66" s="14">
        <f t="shared" si="23"/>
        <v>20889.02</v>
      </c>
      <c r="K66" s="14">
        <f t="shared" si="23"/>
        <v>41693.979999999996</v>
      </c>
      <c r="L66" s="14">
        <f t="shared" si="23"/>
        <v>32327.078174603259</v>
      </c>
    </row>
    <row r="67" spans="1:19" ht="10.9" customHeight="1" x14ac:dyDescent="0.25">
      <c r="A67" s="13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 ht="10.9" customHeight="1" x14ac:dyDescent="0.25">
      <c r="A68" s="13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9" s="53" customFormat="1" ht="10.9" customHeight="1" x14ac:dyDescent="0.25">
      <c r="A69" s="17" t="s">
        <v>1</v>
      </c>
      <c r="B69" s="21">
        <v>55180000</v>
      </c>
      <c r="C69" s="8">
        <v>37736</v>
      </c>
      <c r="D69" s="32">
        <v>0</v>
      </c>
      <c r="E69" s="32">
        <v>0</v>
      </c>
      <c r="F69" s="32">
        <v>0</v>
      </c>
      <c r="G69" s="32">
        <v>0</v>
      </c>
      <c r="H69" s="8">
        <f>D69+F69+'02-17-22'!H69</f>
        <v>758.14</v>
      </c>
      <c r="I69" s="8">
        <f>E69+G69+'02-17-22'!I69</f>
        <v>30.26</v>
      </c>
      <c r="J69" s="8">
        <f t="shared" ref="J69" si="24">H69+I69</f>
        <v>788.4</v>
      </c>
      <c r="K69" s="8">
        <f>C69-J69</f>
        <v>36947.599999999999</v>
      </c>
      <c r="L69" s="8">
        <f>C69-((J69/18)*26.0714285714285)</f>
        <v>36594.071428571435</v>
      </c>
      <c r="M69" s="67"/>
    </row>
    <row r="70" spans="1:19" s="3" customFormat="1" ht="21.6" customHeight="1" x14ac:dyDescent="0.25">
      <c r="A70" s="119" t="s">
        <v>0</v>
      </c>
      <c r="B70" s="120"/>
      <c r="C70" s="7">
        <f t="shared" ref="C70:L70" si="25">SUM(C69)</f>
        <v>37736</v>
      </c>
      <c r="D70" s="7">
        <f t="shared" si="25"/>
        <v>0</v>
      </c>
      <c r="E70" s="7">
        <f t="shared" si="25"/>
        <v>0</v>
      </c>
      <c r="F70" s="7">
        <f t="shared" si="25"/>
        <v>0</v>
      </c>
      <c r="G70" s="7">
        <f t="shared" si="25"/>
        <v>0</v>
      </c>
      <c r="H70" s="7">
        <f t="shared" si="25"/>
        <v>758.14</v>
      </c>
      <c r="I70" s="7">
        <f t="shared" si="25"/>
        <v>30.26</v>
      </c>
      <c r="J70" s="7">
        <f t="shared" si="25"/>
        <v>788.4</v>
      </c>
      <c r="K70" s="7">
        <f t="shared" si="25"/>
        <v>36947.599999999999</v>
      </c>
      <c r="L70" s="7">
        <f t="shared" si="25"/>
        <v>36594.071428571435</v>
      </c>
      <c r="M70" s="73"/>
    </row>
    <row r="71" spans="1:19" s="3" customFormat="1" ht="11.25" customHeight="1" x14ac:dyDescent="0.25">
      <c r="A71" s="6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73"/>
    </row>
    <row r="72" spans="1:19" s="2" customFormat="1" ht="10.5" customHeight="1" x14ac:dyDescent="0.25">
      <c r="A72" s="122" t="s">
        <v>83</v>
      </c>
      <c r="B72" s="122"/>
      <c r="C72" s="122"/>
      <c r="D72" s="122"/>
      <c r="E72" s="122"/>
      <c r="F72" s="122"/>
      <c r="G72" s="89">
        <v>5955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90</v>
      </c>
      <c r="B73" s="122"/>
      <c r="C73" s="122"/>
      <c r="D73" s="122"/>
      <c r="E73" s="122"/>
      <c r="F73" s="122"/>
      <c r="G73" s="89">
        <v>1332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86</v>
      </c>
      <c r="B74" s="122"/>
      <c r="C74" s="122"/>
      <c r="D74" s="122"/>
      <c r="E74" s="122"/>
      <c r="F74" s="122"/>
      <c r="G74" s="89">
        <v>6941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85</v>
      </c>
      <c r="B75" s="122"/>
      <c r="C75" s="122"/>
      <c r="D75" s="122"/>
      <c r="E75" s="122"/>
      <c r="F75" s="122"/>
      <c r="G75" s="89">
        <v>10800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84</v>
      </c>
      <c r="B76" s="122"/>
      <c r="C76" s="122"/>
      <c r="D76" s="122"/>
      <c r="E76" s="122"/>
      <c r="F76" s="122"/>
      <c r="G76" s="89">
        <v>2880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87</v>
      </c>
      <c r="B77" s="122"/>
      <c r="C77" s="122"/>
      <c r="D77" s="122"/>
      <c r="E77" s="122"/>
      <c r="F77" s="122"/>
      <c r="G77" s="89">
        <v>6450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92</v>
      </c>
      <c r="B78" s="122"/>
      <c r="C78" s="122"/>
      <c r="D78" s="122"/>
      <c r="E78" s="122"/>
      <c r="F78" s="122"/>
      <c r="G78" s="89">
        <v>7700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103</v>
      </c>
      <c r="B79" s="122"/>
      <c r="C79" s="122"/>
      <c r="D79" s="122"/>
      <c r="E79" s="122"/>
      <c r="F79" s="122"/>
      <c r="G79" s="89">
        <v>7700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104</v>
      </c>
      <c r="B80" s="122"/>
      <c r="C80" s="122"/>
      <c r="D80" s="122"/>
      <c r="E80" s="122"/>
      <c r="F80" s="122"/>
      <c r="G80" s="89">
        <v>66000</v>
      </c>
      <c r="M80" s="121"/>
      <c r="N80" s="121"/>
      <c r="O80" s="121"/>
      <c r="P80" s="121"/>
      <c r="Q80" s="121"/>
      <c r="R80" s="121"/>
      <c r="S80" s="89"/>
    </row>
    <row r="81" spans="1:18" ht="10.5" customHeight="1" x14ac:dyDescent="0.25">
      <c r="A81" s="122" t="s">
        <v>101</v>
      </c>
      <c r="B81" s="122"/>
      <c r="C81" s="122"/>
      <c r="D81" s="122"/>
      <c r="E81" s="122"/>
      <c r="F81" s="122"/>
      <c r="G81" s="89">
        <v>3194.08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110</v>
      </c>
      <c r="B82" s="122"/>
      <c r="C82" s="122"/>
      <c r="D82" s="122"/>
      <c r="E82" s="122"/>
      <c r="F82" s="122"/>
      <c r="G82" s="89">
        <v>2600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111</v>
      </c>
      <c r="B83" s="122"/>
      <c r="C83" s="122"/>
      <c r="D83" s="122"/>
      <c r="E83" s="122"/>
      <c r="F83" s="122"/>
      <c r="G83" s="89">
        <v>5000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113</v>
      </c>
      <c r="B84" s="122"/>
      <c r="C84" s="122"/>
      <c r="D84" s="122"/>
      <c r="E84" s="122"/>
      <c r="F84" s="122"/>
      <c r="G84" s="89">
        <v>1000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116</v>
      </c>
      <c r="B85" s="122"/>
      <c r="C85" s="122"/>
      <c r="D85" s="122"/>
      <c r="E85" s="122"/>
      <c r="F85" s="122"/>
      <c r="G85" s="89">
        <v>12000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123</v>
      </c>
      <c r="B86" s="122"/>
      <c r="C86" s="122"/>
      <c r="D86" s="122"/>
      <c r="E86" s="122"/>
      <c r="F86" s="122"/>
      <c r="G86" s="89">
        <v>900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138</v>
      </c>
      <c r="B87" s="122"/>
      <c r="C87" s="122"/>
      <c r="D87" s="122"/>
      <c r="E87" s="122"/>
      <c r="F87" s="122"/>
      <c r="G87" s="89">
        <v>11500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125</v>
      </c>
      <c r="B88" s="122"/>
      <c r="C88" s="122"/>
      <c r="D88" s="122"/>
      <c r="E88" s="122"/>
      <c r="F88" s="122"/>
      <c r="G88" s="89">
        <v>2600</v>
      </c>
      <c r="M88" s="121"/>
      <c r="N88" s="121"/>
      <c r="O88" s="121"/>
      <c r="P88" s="121"/>
      <c r="Q88" s="121"/>
      <c r="R88" s="121"/>
    </row>
    <row r="89" spans="1:18" ht="10.5" customHeight="1" x14ac:dyDescent="0.25">
      <c r="A89" s="122" t="s">
        <v>145</v>
      </c>
      <c r="B89" s="122"/>
      <c r="C89" s="122"/>
      <c r="D89" s="122"/>
      <c r="E89" s="122"/>
      <c r="F89" s="122"/>
      <c r="G89" s="89">
        <v>8957</v>
      </c>
      <c r="M89" s="121"/>
      <c r="N89" s="121"/>
      <c r="O89" s="121"/>
      <c r="P89" s="121"/>
      <c r="Q89" s="121"/>
      <c r="R89" s="121"/>
    </row>
    <row r="90" spans="1:18" ht="10.5" customHeight="1" x14ac:dyDescent="0.25">
      <c r="A90" s="122" t="s">
        <v>137</v>
      </c>
      <c r="B90" s="122"/>
      <c r="C90" s="122"/>
      <c r="D90" s="122"/>
      <c r="E90" s="122"/>
      <c r="F90" s="122"/>
      <c r="G90" s="89">
        <v>441.6</v>
      </c>
      <c r="M90" s="121"/>
      <c r="N90" s="121"/>
      <c r="O90" s="121"/>
      <c r="P90" s="121"/>
      <c r="Q90" s="121"/>
      <c r="R90" s="121"/>
    </row>
    <row r="91" spans="1:18" ht="10.5" customHeight="1" x14ac:dyDescent="0.25">
      <c r="A91" s="122" t="s">
        <v>132</v>
      </c>
      <c r="B91" s="122"/>
      <c r="C91" s="122"/>
      <c r="D91" s="122"/>
      <c r="E91" s="122"/>
      <c r="F91" s="122"/>
      <c r="G91" s="89">
        <v>821.59</v>
      </c>
      <c r="M91" s="121"/>
      <c r="N91" s="121"/>
      <c r="O91" s="121"/>
      <c r="P91" s="121"/>
      <c r="Q91" s="121"/>
      <c r="R91" s="121"/>
    </row>
    <row r="92" spans="1:18" ht="10.5" customHeight="1" x14ac:dyDescent="0.25">
      <c r="A92" s="122" t="s">
        <v>134</v>
      </c>
      <c r="B92" s="122"/>
      <c r="C92" s="122"/>
      <c r="D92" s="122"/>
      <c r="E92" s="122"/>
      <c r="F92" s="122"/>
      <c r="G92" s="89">
        <v>3700</v>
      </c>
      <c r="M92" s="121"/>
      <c r="N92" s="121"/>
      <c r="O92" s="121"/>
      <c r="P92" s="121"/>
      <c r="Q92" s="121"/>
      <c r="R92" s="121"/>
    </row>
    <row r="93" spans="1:18" ht="10.5" customHeight="1" x14ac:dyDescent="0.25">
      <c r="A93" s="122" t="s">
        <v>135</v>
      </c>
      <c r="B93" s="122"/>
      <c r="C93" s="122"/>
      <c r="D93" s="122"/>
      <c r="E93" s="122"/>
      <c r="F93" s="122"/>
      <c r="G93" s="89">
        <v>1500</v>
      </c>
      <c r="M93" s="121"/>
      <c r="N93" s="121"/>
      <c r="O93" s="121"/>
      <c r="P93" s="121"/>
      <c r="Q93" s="121"/>
      <c r="R93" s="121"/>
    </row>
    <row r="94" spans="1:18" ht="10.5" customHeight="1" x14ac:dyDescent="0.25">
      <c r="A94" s="122" t="s">
        <v>139</v>
      </c>
      <c r="B94" s="122"/>
      <c r="C94" s="122"/>
      <c r="D94" s="122"/>
      <c r="E94" s="122"/>
      <c r="F94" s="122"/>
      <c r="G94" s="89">
        <v>-6120.78</v>
      </c>
      <c r="M94" s="121"/>
      <c r="N94" s="121"/>
      <c r="O94" s="121"/>
      <c r="P94" s="121"/>
      <c r="Q94" s="121"/>
      <c r="R94" s="121"/>
    </row>
    <row r="95" spans="1:18" ht="10.5" customHeight="1" x14ac:dyDescent="0.25">
      <c r="A95" s="122" t="s">
        <v>140</v>
      </c>
      <c r="B95" s="122"/>
      <c r="C95" s="122"/>
      <c r="D95" s="122"/>
      <c r="E95" s="122"/>
      <c r="F95" s="122"/>
      <c r="G95" s="89">
        <v>1400</v>
      </c>
      <c r="M95" s="121"/>
      <c r="N95" s="121"/>
      <c r="O95" s="121"/>
      <c r="P95" s="121"/>
      <c r="Q95" s="121"/>
      <c r="R95" s="121"/>
    </row>
    <row r="96" spans="1:18" ht="10.5" customHeight="1" x14ac:dyDescent="0.25">
      <c r="A96" s="122" t="s">
        <v>144</v>
      </c>
      <c r="B96" s="122"/>
      <c r="C96" s="122"/>
      <c r="D96" s="122"/>
      <c r="E96" s="122"/>
      <c r="F96" s="122"/>
      <c r="G96" s="89">
        <v>3749</v>
      </c>
      <c r="M96" s="121"/>
      <c r="N96" s="121"/>
      <c r="O96" s="121"/>
      <c r="P96" s="121"/>
      <c r="Q96" s="121"/>
      <c r="R96" s="121"/>
    </row>
  </sheetData>
  <mergeCells count="56">
    <mergeCell ref="A70:B70"/>
    <mergeCell ref="A18:B18"/>
    <mergeCell ref="A24:B24"/>
    <mergeCell ref="A29:B29"/>
    <mergeCell ref="A32:B32"/>
    <mergeCell ref="A61:B6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  <mergeCell ref="A85:F85"/>
    <mergeCell ref="M85:R85"/>
    <mergeCell ref="A86:F86"/>
    <mergeCell ref="M86:R86"/>
    <mergeCell ref="A87:F87"/>
    <mergeCell ref="M87:R87"/>
    <mergeCell ref="A88:F88"/>
    <mergeCell ref="M88:R88"/>
    <mergeCell ref="A89:F89"/>
    <mergeCell ref="M89:R89"/>
    <mergeCell ref="A90:F90"/>
    <mergeCell ref="M90:R90"/>
    <mergeCell ref="A91:F91"/>
    <mergeCell ref="M91:R91"/>
    <mergeCell ref="A92:F92"/>
    <mergeCell ref="M92:R92"/>
    <mergeCell ref="A96:F96"/>
    <mergeCell ref="M96:R96"/>
    <mergeCell ref="A93:F93"/>
    <mergeCell ref="M93:R93"/>
    <mergeCell ref="A94:F94"/>
    <mergeCell ref="M94:R94"/>
    <mergeCell ref="A95:F95"/>
    <mergeCell ref="M95:R95"/>
  </mergeCells>
  <pageMargins left="0.25" right="0" top="0.4" bottom="0" header="0.3" footer="0"/>
  <pageSetup scale="68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6C57-61FF-45F1-AA0B-D0F62497AF14}">
  <sheetPr>
    <pageSetUpPr fitToPage="1"/>
  </sheetPr>
  <dimension ref="A1:S96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147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62.5</v>
      </c>
      <c r="E3" s="32">
        <v>0.75</v>
      </c>
      <c r="F3" s="32">
        <v>0</v>
      </c>
      <c r="G3" s="32">
        <v>0</v>
      </c>
      <c r="H3" s="8">
        <f>D3+F3+'03-03-22'!H3</f>
        <v>2735</v>
      </c>
      <c r="I3" s="8">
        <f>E3+G3+'03-03-22'!I3</f>
        <v>32.799999999999997</v>
      </c>
      <c r="J3" s="8">
        <f>H3+I3</f>
        <v>2767.8</v>
      </c>
      <c r="K3" s="8">
        <f>C3-J3</f>
        <v>553.79</v>
      </c>
      <c r="L3" s="8">
        <f>C3-((J3/19)*26.0714285714285)</f>
        <v>-476.33105263156813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0</v>
      </c>
      <c r="E4" s="33">
        <v>0</v>
      </c>
      <c r="F4" s="33">
        <v>525</v>
      </c>
      <c r="G4" s="33">
        <v>39.369999999999997</v>
      </c>
      <c r="H4" s="8">
        <f>D4+F4+'03-03-22'!H4</f>
        <v>34245.81</v>
      </c>
      <c r="I4" s="8">
        <f>E4+G4+'03-03-22'!I4</f>
        <v>2355.2000000000003</v>
      </c>
      <c r="J4" s="8">
        <f t="shared" ref="J4:J17" si="0">H4+I4</f>
        <v>36601.009999999995</v>
      </c>
      <c r="K4" s="8">
        <f t="shared" ref="K4:K17" si="1">C4-J4</f>
        <v>29398.990000000005</v>
      </c>
      <c r="L4" s="8">
        <f t="shared" ref="L4:L17" si="2">C4-((J4/19)*26.0714285714285)</f>
        <v>15776.809586466312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D5+F5+'03-03-22'!H5</f>
        <v>0</v>
      </c>
      <c r="I5" s="8">
        <f>E5+G5+'03-03-22'!I5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D6+F6+'03-03-22'!H6</f>
        <v>4207.5</v>
      </c>
      <c r="I6" s="8">
        <f>E6+G6+'03-03-22'!I6</f>
        <v>50.45000000000001</v>
      </c>
      <c r="J6" s="8">
        <f t="shared" si="0"/>
        <v>4257.95</v>
      </c>
      <c r="K6" s="8">
        <f t="shared" si="1"/>
        <v>2192.0500000000002</v>
      </c>
      <c r="L6" s="8">
        <f t="shared" si="2"/>
        <v>607.32424812031786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9">
        <v>446.28</v>
      </c>
      <c r="E7" s="9">
        <v>5.35</v>
      </c>
      <c r="F7" s="9">
        <v>0</v>
      </c>
      <c r="G7" s="9">
        <v>0</v>
      </c>
      <c r="H7" s="8">
        <f>D7+F7+'03-03-22'!H7</f>
        <v>14548.310000000003</v>
      </c>
      <c r="I7" s="8">
        <f>E7+G7+'03-03-22'!I7</f>
        <v>174.40999999999991</v>
      </c>
      <c r="J7" s="8">
        <f t="shared" si="0"/>
        <v>14722.720000000003</v>
      </c>
      <c r="K7" s="8">
        <f t="shared" si="1"/>
        <v>9926.279999999997</v>
      </c>
      <c r="L7" s="8">
        <f t="shared" si="2"/>
        <v>4446.7714285714828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f>166.64+719.31</f>
        <v>885.94999999999993</v>
      </c>
      <c r="E8" s="9">
        <f>1.99+8.63</f>
        <v>10.620000000000001</v>
      </c>
      <c r="F8" s="9">
        <v>0</v>
      </c>
      <c r="G8" s="9">
        <v>0</v>
      </c>
      <c r="H8" s="8">
        <f>D8+F8+'03-03-22'!H8</f>
        <v>10017.52</v>
      </c>
      <c r="I8" s="8">
        <f>E8+G8+'03-03-22'!I8</f>
        <v>120.01</v>
      </c>
      <c r="J8" s="8">
        <f t="shared" si="0"/>
        <v>10137.530000000001</v>
      </c>
      <c r="K8" s="8">
        <f t="shared" si="1"/>
        <v>7836.4699999999993</v>
      </c>
      <c r="L8" s="8">
        <f t="shared" si="2"/>
        <v>4063.479511278234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668.84</v>
      </c>
      <c r="E9" s="9">
        <v>8.02</v>
      </c>
      <c r="F9" s="9">
        <v>0</v>
      </c>
      <c r="G9" s="9">
        <v>0</v>
      </c>
      <c r="H9" s="8">
        <f>D9+F9+'03-03-22'!H9</f>
        <v>12849.18</v>
      </c>
      <c r="I9" s="8">
        <f>E9+G9+'03-03-22'!I9</f>
        <v>225.45999999999995</v>
      </c>
      <c r="J9" s="8">
        <f t="shared" si="0"/>
        <v>13074.64</v>
      </c>
      <c r="K9" s="8">
        <f t="shared" si="1"/>
        <v>4899.3600000000006</v>
      </c>
      <c r="L9" s="8">
        <f t="shared" si="2"/>
        <v>33.23458646621657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D10+F10+'03-03-22'!H10</f>
        <v>1375.3999999999999</v>
      </c>
      <c r="I10" s="8">
        <f>E10+G10+'03-03-22'!I10</f>
        <v>16.439999999999998</v>
      </c>
      <c r="J10" s="8">
        <f t="shared" si="0"/>
        <v>1391.84</v>
      </c>
      <c r="K10" s="8">
        <f t="shared" si="1"/>
        <v>717.16000000000008</v>
      </c>
      <c r="L10" s="8">
        <f t="shared" si="2"/>
        <v>199.14436090226104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547.30999999999995</v>
      </c>
      <c r="E11" s="9">
        <v>6.56</v>
      </c>
      <c r="F11" s="9">
        <v>0</v>
      </c>
      <c r="G11" s="9">
        <v>0</v>
      </c>
      <c r="H11" s="8">
        <f>D11+F11+'03-03-22'!H11</f>
        <v>13766.669999999998</v>
      </c>
      <c r="I11" s="8">
        <f>E11+G11+'03-03-22'!I11</f>
        <v>257.93</v>
      </c>
      <c r="J11" s="8">
        <f t="shared" si="0"/>
        <v>14024.599999999999</v>
      </c>
      <c r="K11" s="8">
        <f t="shared" si="1"/>
        <v>10305.400000000001</v>
      </c>
      <c r="L11" s="8">
        <f t="shared" si="2"/>
        <v>5085.718045112837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260.61</v>
      </c>
      <c r="E12" s="8">
        <v>3.12</v>
      </c>
      <c r="F12" s="8">
        <v>0</v>
      </c>
      <c r="G12" s="8">
        <v>0</v>
      </c>
      <c r="H12" s="8">
        <f>D12+F12+'03-03-22'!H12</f>
        <v>22242.46</v>
      </c>
      <c r="I12" s="8">
        <f>E12+G12+'03-03-22'!I12</f>
        <v>344.67</v>
      </c>
      <c r="J12" s="8">
        <f t="shared" si="0"/>
        <v>22587.129999999997</v>
      </c>
      <c r="K12" s="8">
        <f t="shared" si="1"/>
        <v>11141.300000000003</v>
      </c>
      <c r="L12" s="8">
        <f t="shared" si="2"/>
        <v>2734.8117669173844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f>65.28+952.86</f>
        <v>1018.14</v>
      </c>
      <c r="E13" s="8">
        <f>0.78+11.43</f>
        <v>12.209999999999999</v>
      </c>
      <c r="F13" s="8">
        <v>0</v>
      </c>
      <c r="G13" s="8">
        <v>0</v>
      </c>
      <c r="H13" s="8">
        <f>D13+F13+'03-03-22'!H13</f>
        <v>29033.390000000003</v>
      </c>
      <c r="I13" s="8">
        <f>E13+G13+'03-03-22'!I13</f>
        <v>350.45</v>
      </c>
      <c r="J13" s="8">
        <f t="shared" si="0"/>
        <v>29383.840000000004</v>
      </c>
      <c r="K13" s="8">
        <f t="shared" si="1"/>
        <v>13357.159999999996</v>
      </c>
      <c r="L13" s="8">
        <f t="shared" si="2"/>
        <v>2421.069172932439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340.16</v>
      </c>
      <c r="E14" s="9">
        <v>4.08</v>
      </c>
      <c r="F14" s="9">
        <v>0</v>
      </c>
      <c r="G14" s="9">
        <v>0</v>
      </c>
      <c r="H14" s="8">
        <f>D14+F14+'03-03-22'!H14</f>
        <v>10037.550000000001</v>
      </c>
      <c r="I14" s="8">
        <f>E14+G14+'03-03-22'!I14</f>
        <v>120.32</v>
      </c>
      <c r="J14" s="8">
        <f t="shared" si="0"/>
        <v>10157.870000000001</v>
      </c>
      <c r="K14" s="8">
        <f t="shared" si="1"/>
        <v>14015.13</v>
      </c>
      <c r="L14" s="8">
        <f t="shared" si="2"/>
        <v>10234.569360902293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2">
        <v>0</v>
      </c>
      <c r="E15" s="32">
        <v>0</v>
      </c>
      <c r="F15" s="32">
        <v>0</v>
      </c>
      <c r="G15" s="32">
        <v>0</v>
      </c>
      <c r="H15" s="8">
        <f>D15+F15+'03-03-22'!H15</f>
        <v>6825</v>
      </c>
      <c r="I15" s="8">
        <f>E15+G15+'03-03-22'!I15</f>
        <v>511.84000000000003</v>
      </c>
      <c r="J15" s="8">
        <f>H15+I15</f>
        <v>7336.84</v>
      </c>
      <c r="K15" s="8">
        <f>C15-J15</f>
        <v>8218.16</v>
      </c>
      <c r="L15" s="8">
        <f t="shared" si="2"/>
        <v>5487.5315789473971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238.6</v>
      </c>
      <c r="E16" s="9">
        <v>2.86</v>
      </c>
      <c r="F16" s="9">
        <v>0</v>
      </c>
      <c r="G16" s="9">
        <v>0</v>
      </c>
      <c r="H16" s="8">
        <f>D16+F16+'03-03-22'!H16</f>
        <v>2665.8799999999997</v>
      </c>
      <c r="I16" s="8">
        <f>E16+G16+'03-03-22'!I16</f>
        <v>40.849999999999994</v>
      </c>
      <c r="J16" s="8">
        <f t="shared" si="0"/>
        <v>2706.7299999999996</v>
      </c>
      <c r="K16" s="8">
        <f t="shared" si="1"/>
        <v>3293.2700000000004</v>
      </c>
      <c r="L16" s="8">
        <f t="shared" si="2"/>
        <v>2285.8780075188079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32">
        <v>312</v>
      </c>
      <c r="E17" s="32">
        <v>3.74</v>
      </c>
      <c r="F17" s="32">
        <v>300</v>
      </c>
      <c r="G17" s="32">
        <v>22.5</v>
      </c>
      <c r="H17" s="8">
        <f>D17+F17+'03-03-22'!H17</f>
        <v>8382.25</v>
      </c>
      <c r="I17" s="8">
        <f>E17+G17+'03-03-22'!I17</f>
        <v>180.85000000000002</v>
      </c>
      <c r="J17" s="8">
        <f t="shared" si="0"/>
        <v>8563.1</v>
      </c>
      <c r="K17" s="8">
        <f t="shared" si="1"/>
        <v>2236.8999999999996</v>
      </c>
      <c r="L17" s="8">
        <f t="shared" si="2"/>
        <v>-950.11842105259893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287922.02</v>
      </c>
      <c r="D18" s="7">
        <f t="shared" ref="D18:L18" si="4">SUM(D3:D17)</f>
        <v>4780.3900000000003</v>
      </c>
      <c r="E18" s="7">
        <f t="shared" si="4"/>
        <v>57.309999999999995</v>
      </c>
      <c r="F18" s="7">
        <f t="shared" si="4"/>
        <v>825</v>
      </c>
      <c r="G18" s="7">
        <f t="shared" si="4"/>
        <v>61.87</v>
      </c>
      <c r="H18" s="7">
        <f t="shared" si="4"/>
        <v>172931.92</v>
      </c>
      <c r="I18" s="7">
        <f t="shared" si="4"/>
        <v>4781.6800000000012</v>
      </c>
      <c r="J18" s="35">
        <f t="shared" si="4"/>
        <v>177713.6</v>
      </c>
      <c r="K18" s="35">
        <f t="shared" si="4"/>
        <v>121008.42000000003</v>
      </c>
      <c r="L18" s="7">
        <f t="shared" si="4"/>
        <v>54866.892180451818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211.6</v>
      </c>
      <c r="E22" s="32">
        <v>2.5299999999999998</v>
      </c>
      <c r="F22" s="32">
        <v>0</v>
      </c>
      <c r="G22" s="32">
        <v>0</v>
      </c>
      <c r="H22" s="8">
        <f>D22+F22+'03-03-22'!H22</f>
        <v>1462.69</v>
      </c>
      <c r="I22" s="8">
        <f>E22+G22+'03-03-22'!I22</f>
        <v>17.48</v>
      </c>
      <c r="J22" s="8">
        <f t="shared" si="6"/>
        <v>1480.17</v>
      </c>
      <c r="K22" s="8">
        <f t="shared" ref="K22:K23" si="8">C22-J22</f>
        <v>12472.83</v>
      </c>
      <c r="L22" s="8">
        <f t="shared" ref="L22:L23" si="9">C22-((J22/19)*26.0714285714285)</f>
        <v>11921.939661654142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D23+F23+'03-03-22'!H23</f>
        <v>1967.5</v>
      </c>
      <c r="I23" s="8">
        <f>E23+G23+'03-03-22'!I23</f>
        <v>23.580000000000002</v>
      </c>
      <c r="J23" s="8">
        <f t="shared" si="6"/>
        <v>1991.08</v>
      </c>
      <c r="K23" s="8">
        <f t="shared" si="8"/>
        <v>34.920000000000073</v>
      </c>
      <c r="L23" s="8">
        <f t="shared" si="9"/>
        <v>-706.12105263157127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211.6</v>
      </c>
      <c r="E24" s="7">
        <f t="shared" si="10"/>
        <v>2.5299999999999998</v>
      </c>
      <c r="F24" s="7">
        <f t="shared" si="10"/>
        <v>0</v>
      </c>
      <c r="G24" s="7">
        <f t="shared" si="10"/>
        <v>0</v>
      </c>
      <c r="H24" s="8">
        <f>D24+F24+'07-22-21'!H23</f>
        <v>211.6</v>
      </c>
      <c r="I24" s="8">
        <f>E24+G24+'07-22-21'!I23</f>
        <v>2.5299999999999998</v>
      </c>
      <c r="J24" s="35">
        <f t="shared" si="10"/>
        <v>3471.25</v>
      </c>
      <c r="K24" s="7">
        <f t="shared" si="10"/>
        <v>12507.75</v>
      </c>
      <c r="L24" s="7">
        <f t="shared" si="10"/>
        <v>11215.81860902257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401.25</v>
      </c>
      <c r="E27" s="9">
        <v>4.8099999999999996</v>
      </c>
      <c r="F27" s="9">
        <v>1185</v>
      </c>
      <c r="G27" s="9">
        <v>88.87</v>
      </c>
      <c r="H27" s="8">
        <f>D27+F27+'03-03-22'!H27</f>
        <v>23803.5</v>
      </c>
      <c r="I27" s="8">
        <f>E27+G27+'03-03-22'!I27</f>
        <v>1060.0300000000002</v>
      </c>
      <c r="J27" s="8">
        <f t="shared" ref="J27:J28" si="11">H27+I27</f>
        <v>24863.53</v>
      </c>
      <c r="K27" s="8">
        <f>C27-J27</f>
        <v>136.47000000000116</v>
      </c>
      <c r="L27" s="8">
        <f>C27-((J27/19)*26.0714285714285)</f>
        <v>-9117.2498120299788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401.25</v>
      </c>
      <c r="E29" s="31">
        <f t="shared" si="14"/>
        <v>4.8099999999999996</v>
      </c>
      <c r="F29" s="31">
        <f t="shared" si="14"/>
        <v>1185</v>
      </c>
      <c r="G29" s="31">
        <f t="shared" si="14"/>
        <v>88.87</v>
      </c>
      <c r="H29" s="31">
        <f t="shared" si="14"/>
        <v>23803.5</v>
      </c>
      <c r="I29" s="31">
        <f t="shared" si="14"/>
        <v>1060.0300000000002</v>
      </c>
      <c r="J29" s="31">
        <f t="shared" si="14"/>
        <v>24863.53</v>
      </c>
      <c r="K29" s="31">
        <f t="shared" si="14"/>
        <v>136.47000000000116</v>
      </c>
      <c r="L29" s="31">
        <f t="shared" si="14"/>
        <v>-9117.2498120299788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328901.02</v>
      </c>
      <c r="D32" s="24">
        <f t="shared" si="15"/>
        <v>5393.2400000000007</v>
      </c>
      <c r="E32" s="24">
        <f t="shared" si="15"/>
        <v>64.649999999999991</v>
      </c>
      <c r="F32" s="24">
        <f t="shared" si="15"/>
        <v>2010</v>
      </c>
      <c r="G32" s="24">
        <f t="shared" si="15"/>
        <v>150.74</v>
      </c>
      <c r="H32" s="24">
        <f t="shared" si="15"/>
        <v>196947.02000000002</v>
      </c>
      <c r="I32" s="24">
        <f t="shared" si="15"/>
        <v>5844.2400000000016</v>
      </c>
      <c r="J32" s="24">
        <f t="shared" si="15"/>
        <v>206048.38</v>
      </c>
      <c r="K32" s="24">
        <f t="shared" si="15"/>
        <v>133652.64000000004</v>
      </c>
      <c r="L32" s="24">
        <f t="shared" si="15"/>
        <v>56965.460977444403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D35+F35+'03-03-22'!H35</f>
        <v>800.94</v>
      </c>
      <c r="I35" s="8">
        <f>E35+G35+'03-03-22'!I35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60" si="16">C35-((J35/19)*26.0714285714285)</f>
        <v>2009.4716766917325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D36+F36+'03-03-22'!H36</f>
        <v>1248</v>
      </c>
      <c r="I36" s="8">
        <f>E36+G36+'03-03-22'!I36</f>
        <v>93.6</v>
      </c>
      <c r="J36" s="8">
        <f t="shared" ref="J36:J60" si="17">H36+I36</f>
        <v>1341.6</v>
      </c>
      <c r="K36" s="8">
        <f t="shared" ref="K36:K60" si="18">C36-J36</f>
        <v>0</v>
      </c>
      <c r="L36" s="8">
        <f t="shared" si="16"/>
        <v>-499.31729323307763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v>0</v>
      </c>
      <c r="E37" s="8">
        <v>0</v>
      </c>
      <c r="F37" s="8">
        <v>1120</v>
      </c>
      <c r="G37" s="8">
        <v>84</v>
      </c>
      <c r="H37" s="8">
        <f>D37+F37+'03-03-22'!H37</f>
        <v>8155</v>
      </c>
      <c r="I37" s="8">
        <f>E37+G37+'03-03-22'!I37</f>
        <v>456.79999999999995</v>
      </c>
      <c r="J37" s="8">
        <f t="shared" si="17"/>
        <v>8611.7999999999993</v>
      </c>
      <c r="K37" s="8">
        <f t="shared" si="18"/>
        <v>2946.6000000000004</v>
      </c>
      <c r="L37" s="8">
        <f t="shared" si="16"/>
        <v>-258.54360902252301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D38+F38+'03-03-22'!H38</f>
        <v>0</v>
      </c>
      <c r="I38" s="8">
        <f>E38+G38+'03-03-22'!I38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D39+F39+'03-03-22'!H39</f>
        <v>36.659999999999997</v>
      </c>
      <c r="I39" s="8">
        <f>E39+G39+'03-03-22'!I39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-50.90651377443595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D40+F40+'03-03-22'!H40</f>
        <v>0</v>
      </c>
      <c r="I40" s="8">
        <f>E40+G40+'03-03-22'!I40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D41+F41+'03-03-22'!H41</f>
        <v>0</v>
      </c>
      <c r="I41" s="8">
        <f>E41+G41+'03-03-22'!I41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f>6710-6120.78+1400</f>
        <v>1989.2200000000003</v>
      </c>
      <c r="D42" s="32">
        <v>157.5</v>
      </c>
      <c r="E42" s="32">
        <v>1.89</v>
      </c>
      <c r="F42" s="32">
        <v>0</v>
      </c>
      <c r="G42" s="32">
        <v>0</v>
      </c>
      <c r="H42" s="8">
        <f>D42+F42+'03-03-22'!H42</f>
        <v>776.5</v>
      </c>
      <c r="I42" s="8">
        <f>E42+G42+'03-03-22'!I42</f>
        <v>9.2899999999999991</v>
      </c>
      <c r="J42" s="8">
        <f t="shared" si="17"/>
        <v>785.79</v>
      </c>
      <c r="K42" s="8">
        <f>C42-J42</f>
        <v>1203.4300000000003</v>
      </c>
      <c r="L42" s="8">
        <f t="shared" si="16"/>
        <v>910.97432330827405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D43+F43+'03-03-22'!H43</f>
        <v>3121.7</v>
      </c>
      <c r="I43" s="8">
        <f>E43+G43+'03-03-22'!I43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-1172.9527443608899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D44+F44+'03-03-22'!H44</f>
        <v>0</v>
      </c>
      <c r="I44" s="8">
        <f>E44+G44+'03-03-22'!I44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267.83999999999997</v>
      </c>
      <c r="E45" s="32">
        <v>3.21</v>
      </c>
      <c r="F45" s="32">
        <v>0</v>
      </c>
      <c r="G45" s="32">
        <v>0</v>
      </c>
      <c r="H45" s="8">
        <f>D45+F45+'03-03-22'!H45</f>
        <v>1992.0599999999997</v>
      </c>
      <c r="I45" s="8">
        <f>E45+G45+'03-03-22'!I45</f>
        <v>23.830000000000002</v>
      </c>
      <c r="J45" s="8">
        <f t="shared" si="17"/>
        <v>2015.8899999999996</v>
      </c>
      <c r="K45" s="92">
        <f t="shared" si="19"/>
        <v>2984.1100000000006</v>
      </c>
      <c r="L45" s="8">
        <f t="shared" si="16"/>
        <v>2233.8351503759482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18</v>
      </c>
      <c r="E46" s="32">
        <v>0.21</v>
      </c>
      <c r="F46" s="32">
        <v>324</v>
      </c>
      <c r="G46" s="32">
        <v>24.3</v>
      </c>
      <c r="H46" s="8">
        <f>D46+F46+'03-03-22'!H46</f>
        <v>7075.72</v>
      </c>
      <c r="I46" s="8">
        <f>E46+G46+'03-03-22'!I46</f>
        <v>381.9</v>
      </c>
      <c r="J46" s="8">
        <f t="shared" si="17"/>
        <v>7457.62</v>
      </c>
      <c r="K46" s="8">
        <f>C46-J46</f>
        <v>3233.7300000000005</v>
      </c>
      <c r="L46" s="8">
        <f t="shared" si="16"/>
        <v>458.14962406018094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D47+F47+'03-03-22'!H47</f>
        <v>0</v>
      </c>
      <c r="I47" s="8">
        <f>E47+G47+'03-03-22'!I47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294.5</v>
      </c>
      <c r="E48" s="32">
        <v>3.53</v>
      </c>
      <c r="F48" s="32">
        <v>0</v>
      </c>
      <c r="G48" s="32">
        <v>0</v>
      </c>
      <c r="H48" s="8">
        <f>D48+F48+'03-03-22'!H48</f>
        <v>8746.6400000000012</v>
      </c>
      <c r="I48" s="8">
        <f>E48+G48+'03-03-22'!I48</f>
        <v>104.89</v>
      </c>
      <c r="J48" s="8">
        <f t="shared" si="17"/>
        <v>8851.5300000000007</v>
      </c>
      <c r="K48" s="8">
        <f>C48-J48</f>
        <v>10348.469999999999</v>
      </c>
      <c r="L48" s="8">
        <f t="shared" si="16"/>
        <v>7054.1035714286045</v>
      </c>
      <c r="M48" s="68"/>
    </row>
    <row r="49" spans="1:13" s="54" customFormat="1" ht="11.45" customHeight="1" x14ac:dyDescent="0.2">
      <c r="A49" s="18" t="s">
        <v>6</v>
      </c>
      <c r="B49" s="112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D49+F49+'03-03-22'!H49</f>
        <v>1754.38</v>
      </c>
      <c r="I49" s="8">
        <f>E49+G49+'03-03-22'!I49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1682.9862781954962</v>
      </c>
      <c r="M49" s="88"/>
    </row>
    <row r="50" spans="1:13" s="54" customFormat="1" ht="11.45" customHeight="1" x14ac:dyDescent="0.2">
      <c r="A50" s="18" t="s">
        <v>133</v>
      </c>
      <c r="B50" s="112" t="s">
        <v>5</v>
      </c>
      <c r="C50" s="8">
        <v>3700</v>
      </c>
      <c r="D50" s="32">
        <v>180</v>
      </c>
      <c r="E50" s="32">
        <v>2.16</v>
      </c>
      <c r="F50" s="32">
        <v>0</v>
      </c>
      <c r="G50" s="32">
        <v>0</v>
      </c>
      <c r="H50" s="8">
        <f>D50+F50+'03-03-22'!H50</f>
        <v>705</v>
      </c>
      <c r="I50" s="8">
        <f>E50+G50+'03-03-22'!I50</f>
        <v>8.4600000000000009</v>
      </c>
      <c r="J50" s="8">
        <f t="shared" si="17"/>
        <v>713.46</v>
      </c>
      <c r="K50" s="8">
        <f>C50-J50</f>
        <v>2986.54</v>
      </c>
      <c r="L50" s="8">
        <f t="shared" si="16"/>
        <v>2721.0041353383485</v>
      </c>
      <c r="M50" s="88"/>
    </row>
    <row r="51" spans="1:13" s="54" customFormat="1" ht="11.45" hidden="1" customHeight="1" x14ac:dyDescent="0.25">
      <c r="A51" s="18" t="s">
        <v>8</v>
      </c>
      <c r="B51" s="61" t="s">
        <v>7</v>
      </c>
      <c r="C51" s="8">
        <v>0</v>
      </c>
      <c r="D51" s="33"/>
      <c r="E51" s="33"/>
      <c r="F51" s="33"/>
      <c r="G51" s="33"/>
      <c r="H51" s="8">
        <f>D51+F51+'03-03-22'!H51</f>
        <v>0</v>
      </c>
      <c r="I51" s="8">
        <f>E51+G51+'03-03-22'!I51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54" customFormat="1" ht="11.45" hidden="1" customHeight="1" x14ac:dyDescent="0.25">
      <c r="A52" s="18" t="s">
        <v>50</v>
      </c>
      <c r="B52" s="61" t="s">
        <v>53</v>
      </c>
      <c r="C52" s="8">
        <v>202.01</v>
      </c>
      <c r="D52" s="33"/>
      <c r="E52" s="33"/>
      <c r="F52" s="33"/>
      <c r="G52" s="33"/>
      <c r="H52" s="8">
        <f>D52+F52+'03-03-22'!H52</f>
        <v>0</v>
      </c>
      <c r="I52" s="8">
        <f>E52+G52+'03-03-22'!I52</f>
        <v>0</v>
      </c>
      <c r="J52" s="8">
        <f t="shared" si="17"/>
        <v>0</v>
      </c>
      <c r="K52" s="8">
        <f t="shared" si="18"/>
        <v>202.01</v>
      </c>
      <c r="L52" s="8">
        <f t="shared" si="16"/>
        <v>202.01</v>
      </c>
      <c r="M52" s="68"/>
    </row>
    <row r="53" spans="1:13" s="54" customFormat="1" ht="11.45" hidden="1" customHeight="1" x14ac:dyDescent="0.25">
      <c r="A53" s="18" t="s">
        <v>51</v>
      </c>
      <c r="B53" s="61" t="s">
        <v>52</v>
      </c>
      <c r="C53" s="8"/>
      <c r="D53" s="33"/>
      <c r="E53" s="33"/>
      <c r="F53" s="33"/>
      <c r="G53" s="33"/>
      <c r="H53" s="8">
        <f>D53+F53+'03-03-22'!H53</f>
        <v>0</v>
      </c>
      <c r="I53" s="8">
        <f>E53+G53+'03-03-22'!I53</f>
        <v>0</v>
      </c>
      <c r="J53" s="8">
        <f t="shared" si="17"/>
        <v>0</v>
      </c>
      <c r="K53" s="8">
        <f t="shared" si="18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45</v>
      </c>
      <c r="B54" s="61" t="s">
        <v>46</v>
      </c>
      <c r="C54" s="62">
        <v>3655.06</v>
      </c>
      <c r="D54" s="33"/>
      <c r="E54" s="33"/>
      <c r="F54" s="33"/>
      <c r="G54" s="33"/>
      <c r="H54" s="8">
        <f>D54+F54+'03-03-22'!H54</f>
        <v>0</v>
      </c>
      <c r="I54" s="8">
        <f>E54+G54+'03-03-22'!I54</f>
        <v>0</v>
      </c>
      <c r="J54" s="8">
        <f t="shared" si="17"/>
        <v>0</v>
      </c>
      <c r="K54" s="8">
        <f t="shared" si="18"/>
        <v>3655.06</v>
      </c>
      <c r="L54" s="8">
        <f t="shared" si="16"/>
        <v>3655.06</v>
      </c>
      <c r="M54" s="67"/>
    </row>
    <row r="55" spans="1:13" s="63" customFormat="1" ht="11.25" hidden="1" customHeight="1" x14ac:dyDescent="0.25">
      <c r="A55" s="18" t="s">
        <v>61</v>
      </c>
      <c r="B55" s="61" t="s">
        <v>60</v>
      </c>
      <c r="C55" s="62">
        <v>0</v>
      </c>
      <c r="D55" s="33"/>
      <c r="E55" s="33"/>
      <c r="F55" s="33"/>
      <c r="G55" s="33"/>
      <c r="H55" s="8">
        <f>D55+F55+'03-03-22'!H55</f>
        <v>0</v>
      </c>
      <c r="I55" s="8">
        <f>E55+G55+'03-03-22'!I55</f>
        <v>0</v>
      </c>
      <c r="J55" s="8">
        <f t="shared" si="17"/>
        <v>0</v>
      </c>
      <c r="K55" s="8">
        <f t="shared" si="18"/>
        <v>0</v>
      </c>
      <c r="L55" s="8">
        <f t="shared" si="16"/>
        <v>0</v>
      </c>
      <c r="M55" s="68"/>
    </row>
    <row r="56" spans="1:13" s="63" customFormat="1" ht="11.25" customHeight="1" x14ac:dyDescent="0.25">
      <c r="A56" s="18" t="s">
        <v>67</v>
      </c>
      <c r="B56" s="61" t="s">
        <v>66</v>
      </c>
      <c r="C56" s="62">
        <v>3313.36</v>
      </c>
      <c r="D56" s="32">
        <v>0</v>
      </c>
      <c r="E56" s="32">
        <v>0</v>
      </c>
      <c r="F56" s="32">
        <v>0</v>
      </c>
      <c r="G56" s="32">
        <v>0</v>
      </c>
      <c r="H56" s="8">
        <f>D56+F56+'03-03-22'!H56</f>
        <v>0</v>
      </c>
      <c r="I56" s="8">
        <f>E56+G56+'03-03-22'!I56</f>
        <v>0</v>
      </c>
      <c r="J56" s="8">
        <f t="shared" si="17"/>
        <v>0</v>
      </c>
      <c r="K56" s="8">
        <f t="shared" si="18"/>
        <v>3313.36</v>
      </c>
      <c r="L56" s="8">
        <f t="shared" si="16"/>
        <v>3313.36</v>
      </c>
      <c r="M56" s="68"/>
    </row>
    <row r="57" spans="1:13" s="63" customFormat="1" ht="11.25" customHeight="1" x14ac:dyDescent="0.25">
      <c r="A57" s="18" t="s">
        <v>68</v>
      </c>
      <c r="B57" s="61" t="s">
        <v>69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D57+F57+'03-03-22'!H57</f>
        <v>2.4</v>
      </c>
      <c r="I57" s="8">
        <f>E57+G57+'03-03-22'!I57</f>
        <v>0.02</v>
      </c>
      <c r="J57" s="8">
        <f t="shared" si="17"/>
        <v>2.42</v>
      </c>
      <c r="K57" s="8">
        <f t="shared" si="18"/>
        <v>4190.72</v>
      </c>
      <c r="L57" s="8">
        <f t="shared" si="16"/>
        <v>4189.8193233082711</v>
      </c>
      <c r="M57" s="68"/>
    </row>
    <row r="58" spans="1:13" s="63" customFormat="1" ht="11.25" customHeight="1" x14ac:dyDescent="0.2">
      <c r="A58" s="18" t="s">
        <v>73</v>
      </c>
      <c r="B58" s="61" t="s">
        <v>72</v>
      </c>
      <c r="C58" s="62">
        <v>4193.1400000000003</v>
      </c>
      <c r="D58" s="32">
        <v>0</v>
      </c>
      <c r="E58" s="32">
        <v>0</v>
      </c>
      <c r="F58" s="32">
        <v>0</v>
      </c>
      <c r="G58" s="32">
        <v>0</v>
      </c>
      <c r="H58" s="8">
        <f>D58+F58+'03-03-22'!H58</f>
        <v>2754</v>
      </c>
      <c r="I58" s="8">
        <f>E58+G58+'03-03-22'!I58</f>
        <v>114.28999999999999</v>
      </c>
      <c r="J58" s="8">
        <f t="shared" si="17"/>
        <v>2868.29</v>
      </c>
      <c r="K58" s="8">
        <f t="shared" si="18"/>
        <v>1324.8500000000004</v>
      </c>
      <c r="L58" s="8">
        <f t="shared" si="16"/>
        <v>257.32853383459769</v>
      </c>
      <c r="M58" s="88"/>
    </row>
    <row r="59" spans="1:13" s="63" customFormat="1" ht="11.25" customHeight="1" x14ac:dyDescent="0.2">
      <c r="A59" s="18" t="s">
        <v>106</v>
      </c>
      <c r="B59" s="61" t="s">
        <v>107</v>
      </c>
      <c r="C59" s="62">
        <f>2600+2600</f>
        <v>5200</v>
      </c>
      <c r="D59" s="32">
        <v>153.91999999999999</v>
      </c>
      <c r="E59" s="32">
        <v>1.84</v>
      </c>
      <c r="F59" s="32">
        <v>0</v>
      </c>
      <c r="G59" s="32">
        <v>0</v>
      </c>
      <c r="H59" s="8">
        <f>D59+F59+'03-03-22'!H59</f>
        <v>3562.66</v>
      </c>
      <c r="I59" s="8">
        <f>E59+G59+'03-03-22'!I59</f>
        <v>38.970000000000006</v>
      </c>
      <c r="J59" s="8">
        <f t="shared" si="17"/>
        <v>3601.6299999999997</v>
      </c>
      <c r="K59" s="8">
        <f t="shared" si="18"/>
        <v>1598.3700000000003</v>
      </c>
      <c r="L59" s="8">
        <f t="shared" si="16"/>
        <v>257.91372180452618</v>
      </c>
      <c r="M59" s="88"/>
    </row>
    <row r="60" spans="1:13" s="63" customFormat="1" ht="11.25" customHeight="1" x14ac:dyDescent="0.2">
      <c r="A60" s="18" t="s">
        <v>142</v>
      </c>
      <c r="B60" s="61" t="s">
        <v>143</v>
      </c>
      <c r="C60" s="62">
        <v>3749</v>
      </c>
      <c r="D60" s="33">
        <v>0</v>
      </c>
      <c r="E60" s="33">
        <v>0</v>
      </c>
      <c r="F60" s="33">
        <v>225</v>
      </c>
      <c r="G60" s="33">
        <v>16.87</v>
      </c>
      <c r="H60" s="8">
        <f>D60+F60+'03-03-22'!H60</f>
        <v>300</v>
      </c>
      <c r="I60" s="8">
        <f>E60+G60+'03-03-22'!I60</f>
        <v>22.490000000000002</v>
      </c>
      <c r="J60" s="8">
        <f t="shared" si="17"/>
        <v>322.49</v>
      </c>
      <c r="K60" s="8">
        <f t="shared" si="18"/>
        <v>3426.51</v>
      </c>
      <c r="L60" s="8">
        <f t="shared" si="16"/>
        <v>3306.4855263157906</v>
      </c>
      <c r="M60" s="88"/>
    </row>
    <row r="61" spans="1:13" ht="21.6" customHeight="1" x14ac:dyDescent="0.25">
      <c r="A61" s="119" t="s">
        <v>88</v>
      </c>
      <c r="B61" s="120"/>
      <c r="C61" s="7">
        <f>SUM(C35:C54)</f>
        <v>71678.469999999987</v>
      </c>
      <c r="D61" s="7"/>
      <c r="E61" s="7"/>
      <c r="F61" s="7"/>
      <c r="G61" s="7"/>
      <c r="H61" s="7">
        <f>SUM(H35:H55)</f>
        <v>34412.6</v>
      </c>
      <c r="I61" s="7">
        <f>SUM(I35:I55)</f>
        <v>1303.0125935999999</v>
      </c>
      <c r="J61" s="7">
        <f>SUM(J35:J55)</f>
        <v>35715.612593599995</v>
      </c>
      <c r="K61" s="7">
        <f>SUM(K35:K55)</f>
        <v>35962.857406400006</v>
      </c>
      <c r="L61" s="7">
        <f>SUM(L35:L55)</f>
        <v>22670.204599007659</v>
      </c>
      <c r="M61" s="78"/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8"/>
    </row>
    <row r="63" spans="1:13" ht="10.9" customHeight="1" x14ac:dyDescent="0.25">
      <c r="A63" s="13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s="53" customFormat="1" ht="10.9" customHeight="1" x14ac:dyDescent="0.25">
      <c r="A64" s="17" t="s">
        <v>4</v>
      </c>
      <c r="B64" s="21" t="s">
        <v>3</v>
      </c>
      <c r="C64" s="8">
        <v>62583</v>
      </c>
      <c r="D64" s="9">
        <f>344.38+967.47</f>
        <v>1311.85</v>
      </c>
      <c r="E64" s="9">
        <f>4.12+11.6</f>
        <v>15.719999999999999</v>
      </c>
      <c r="F64" s="9">
        <v>0</v>
      </c>
      <c r="G64" s="9">
        <v>0</v>
      </c>
      <c r="H64" s="8">
        <f>D64+F64+'03-03-22'!H64</f>
        <v>21884.98</v>
      </c>
      <c r="I64" s="8">
        <f>E64+G64+'03-03-22'!I64</f>
        <v>331.61</v>
      </c>
      <c r="J64" s="8">
        <f t="shared" ref="J64:J65" si="21">H64+I64</f>
        <v>22216.59</v>
      </c>
      <c r="K64" s="8">
        <f>C64-J64</f>
        <v>40366.410000000003</v>
      </c>
      <c r="L64" s="8">
        <f t="shared" ref="L64:L65" si="22">C64-((J64/19)*26.0714285714285)</f>
        <v>32097.829511278283</v>
      </c>
      <c r="M64" s="67"/>
    </row>
    <row r="65" spans="1:19" s="53" customFormat="1" ht="10.9" customHeight="1" x14ac:dyDescent="0.25">
      <c r="A65" s="17" t="s">
        <v>64</v>
      </c>
      <c r="B65" s="21" t="s">
        <v>63</v>
      </c>
      <c r="C65" s="8">
        <v>0</v>
      </c>
      <c r="D65" s="32">
        <v>0</v>
      </c>
      <c r="E65" s="32">
        <v>0</v>
      </c>
      <c r="F65" s="32">
        <v>0</v>
      </c>
      <c r="G65" s="32">
        <v>0</v>
      </c>
      <c r="H65" s="8">
        <f>D65+F65+'03-03-22'!H65</f>
        <v>0</v>
      </c>
      <c r="I65" s="8">
        <f>E65+G65+'03-03-22'!I65</f>
        <v>0</v>
      </c>
      <c r="J65" s="8">
        <f t="shared" si="21"/>
        <v>0</v>
      </c>
      <c r="K65" s="8">
        <f>C65-J65</f>
        <v>0</v>
      </c>
      <c r="L65" s="8">
        <f t="shared" si="22"/>
        <v>0</v>
      </c>
      <c r="M65" s="67"/>
    </row>
    <row r="66" spans="1:19" ht="21.6" customHeight="1" x14ac:dyDescent="0.25">
      <c r="A66" s="16" t="s">
        <v>2</v>
      </c>
      <c r="B66" s="15"/>
      <c r="C66" s="14">
        <f>C64+C65</f>
        <v>62583</v>
      </c>
      <c r="D66" s="14">
        <f t="shared" ref="D66:L66" si="23">D64+D65</f>
        <v>1311.85</v>
      </c>
      <c r="E66" s="14">
        <f t="shared" si="23"/>
        <v>15.719999999999999</v>
      </c>
      <c r="F66" s="14">
        <f t="shared" si="23"/>
        <v>0</v>
      </c>
      <c r="G66" s="14">
        <f t="shared" si="23"/>
        <v>0</v>
      </c>
      <c r="H66" s="14">
        <f t="shared" si="23"/>
        <v>21884.98</v>
      </c>
      <c r="I66" s="14">
        <f t="shared" si="23"/>
        <v>331.61</v>
      </c>
      <c r="J66" s="14">
        <f t="shared" si="23"/>
        <v>22216.59</v>
      </c>
      <c r="K66" s="14">
        <f t="shared" si="23"/>
        <v>40366.410000000003</v>
      </c>
      <c r="L66" s="14">
        <f t="shared" si="23"/>
        <v>32097.829511278283</v>
      </c>
    </row>
    <row r="67" spans="1:19" ht="10.9" customHeight="1" x14ac:dyDescent="0.25">
      <c r="A67" s="13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 ht="10.9" customHeight="1" x14ac:dyDescent="0.25">
      <c r="A68" s="13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9" s="53" customFormat="1" ht="10.9" customHeight="1" x14ac:dyDescent="0.25">
      <c r="A69" s="17" t="s">
        <v>1</v>
      </c>
      <c r="B69" s="21">
        <v>55180000</v>
      </c>
      <c r="C69" s="8">
        <v>37736</v>
      </c>
      <c r="D69" s="32">
        <v>0</v>
      </c>
      <c r="E69" s="32">
        <v>0</v>
      </c>
      <c r="F69" s="32">
        <v>0</v>
      </c>
      <c r="G69" s="32">
        <v>0</v>
      </c>
      <c r="H69" s="8">
        <f>D69+F69+'03-03-22'!H69</f>
        <v>758.14</v>
      </c>
      <c r="I69" s="8">
        <f>E69+G69+'03-03-22'!I69</f>
        <v>30.26</v>
      </c>
      <c r="J69" s="8">
        <f t="shared" ref="J69" si="24">H69+I69</f>
        <v>788.4</v>
      </c>
      <c r="K69" s="8">
        <f>C69-J69</f>
        <v>36947.599999999999</v>
      </c>
      <c r="L69" s="8">
        <f>C69-((J69/19)*26.0714285714285)</f>
        <v>36654.172932330832</v>
      </c>
      <c r="M69" s="67"/>
    </row>
    <row r="70" spans="1:19" s="3" customFormat="1" ht="21.6" customHeight="1" x14ac:dyDescent="0.25">
      <c r="A70" s="119" t="s">
        <v>0</v>
      </c>
      <c r="B70" s="120"/>
      <c r="C70" s="7">
        <f t="shared" ref="C70:L70" si="25">SUM(C69)</f>
        <v>37736</v>
      </c>
      <c r="D70" s="7">
        <f t="shared" si="25"/>
        <v>0</v>
      </c>
      <c r="E70" s="7">
        <f t="shared" si="25"/>
        <v>0</v>
      </c>
      <c r="F70" s="7">
        <f t="shared" si="25"/>
        <v>0</v>
      </c>
      <c r="G70" s="7">
        <f t="shared" si="25"/>
        <v>0</v>
      </c>
      <c r="H70" s="7">
        <f t="shared" si="25"/>
        <v>758.14</v>
      </c>
      <c r="I70" s="7">
        <f t="shared" si="25"/>
        <v>30.26</v>
      </c>
      <c r="J70" s="7">
        <f t="shared" si="25"/>
        <v>788.4</v>
      </c>
      <c r="K70" s="7">
        <f t="shared" si="25"/>
        <v>36947.599999999999</v>
      </c>
      <c r="L70" s="7">
        <f t="shared" si="25"/>
        <v>36654.172932330832</v>
      </c>
      <c r="M70" s="73"/>
    </row>
    <row r="71" spans="1:19" s="3" customFormat="1" ht="11.25" customHeight="1" x14ac:dyDescent="0.25">
      <c r="A71" s="6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73"/>
    </row>
    <row r="72" spans="1:19" s="2" customFormat="1" ht="10.5" customHeight="1" x14ac:dyDescent="0.25">
      <c r="A72" s="122" t="s">
        <v>83</v>
      </c>
      <c r="B72" s="122"/>
      <c r="C72" s="122"/>
      <c r="D72" s="122"/>
      <c r="E72" s="122"/>
      <c r="F72" s="122"/>
      <c r="G72" s="89">
        <v>5955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90</v>
      </c>
      <c r="B73" s="122"/>
      <c r="C73" s="122"/>
      <c r="D73" s="122"/>
      <c r="E73" s="122"/>
      <c r="F73" s="122"/>
      <c r="G73" s="89">
        <v>1332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86</v>
      </c>
      <c r="B74" s="122"/>
      <c r="C74" s="122"/>
      <c r="D74" s="122"/>
      <c r="E74" s="122"/>
      <c r="F74" s="122"/>
      <c r="G74" s="89">
        <v>6941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85</v>
      </c>
      <c r="B75" s="122"/>
      <c r="C75" s="122"/>
      <c r="D75" s="122"/>
      <c r="E75" s="122"/>
      <c r="F75" s="122"/>
      <c r="G75" s="89">
        <v>10800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84</v>
      </c>
      <c r="B76" s="122"/>
      <c r="C76" s="122"/>
      <c r="D76" s="122"/>
      <c r="E76" s="122"/>
      <c r="F76" s="122"/>
      <c r="G76" s="89">
        <v>2880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87</v>
      </c>
      <c r="B77" s="122"/>
      <c r="C77" s="122"/>
      <c r="D77" s="122"/>
      <c r="E77" s="122"/>
      <c r="F77" s="122"/>
      <c r="G77" s="89">
        <v>6450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92</v>
      </c>
      <c r="B78" s="122"/>
      <c r="C78" s="122"/>
      <c r="D78" s="122"/>
      <c r="E78" s="122"/>
      <c r="F78" s="122"/>
      <c r="G78" s="89">
        <v>7700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103</v>
      </c>
      <c r="B79" s="122"/>
      <c r="C79" s="122"/>
      <c r="D79" s="122"/>
      <c r="E79" s="122"/>
      <c r="F79" s="122"/>
      <c r="G79" s="89">
        <v>7700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104</v>
      </c>
      <c r="B80" s="122"/>
      <c r="C80" s="122"/>
      <c r="D80" s="122"/>
      <c r="E80" s="122"/>
      <c r="F80" s="122"/>
      <c r="G80" s="89">
        <v>66000</v>
      </c>
      <c r="M80" s="121"/>
      <c r="N80" s="121"/>
      <c r="O80" s="121"/>
      <c r="P80" s="121"/>
      <c r="Q80" s="121"/>
      <c r="R80" s="121"/>
      <c r="S80" s="89"/>
    </row>
    <row r="81" spans="1:18" ht="10.5" customHeight="1" x14ac:dyDescent="0.25">
      <c r="A81" s="122" t="s">
        <v>101</v>
      </c>
      <c r="B81" s="122"/>
      <c r="C81" s="122"/>
      <c r="D81" s="122"/>
      <c r="E81" s="122"/>
      <c r="F81" s="122"/>
      <c r="G81" s="89">
        <v>3194.08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110</v>
      </c>
      <c r="B82" s="122"/>
      <c r="C82" s="122"/>
      <c r="D82" s="122"/>
      <c r="E82" s="122"/>
      <c r="F82" s="122"/>
      <c r="G82" s="89">
        <v>2600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111</v>
      </c>
      <c r="B83" s="122"/>
      <c r="C83" s="122"/>
      <c r="D83" s="122"/>
      <c r="E83" s="122"/>
      <c r="F83" s="122"/>
      <c r="G83" s="89">
        <v>5000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113</v>
      </c>
      <c r="B84" s="122"/>
      <c r="C84" s="122"/>
      <c r="D84" s="122"/>
      <c r="E84" s="122"/>
      <c r="F84" s="122"/>
      <c r="G84" s="89">
        <v>1000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116</v>
      </c>
      <c r="B85" s="122"/>
      <c r="C85" s="122"/>
      <c r="D85" s="122"/>
      <c r="E85" s="122"/>
      <c r="F85" s="122"/>
      <c r="G85" s="89">
        <v>12000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123</v>
      </c>
      <c r="B86" s="122"/>
      <c r="C86" s="122"/>
      <c r="D86" s="122"/>
      <c r="E86" s="122"/>
      <c r="F86" s="122"/>
      <c r="G86" s="89">
        <v>900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138</v>
      </c>
      <c r="B87" s="122"/>
      <c r="C87" s="122"/>
      <c r="D87" s="122"/>
      <c r="E87" s="122"/>
      <c r="F87" s="122"/>
      <c r="G87" s="89">
        <v>11500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125</v>
      </c>
      <c r="B88" s="122"/>
      <c r="C88" s="122"/>
      <c r="D88" s="122"/>
      <c r="E88" s="122"/>
      <c r="F88" s="122"/>
      <c r="G88" s="89">
        <v>2600</v>
      </c>
      <c r="M88" s="121"/>
      <c r="N88" s="121"/>
      <c r="O88" s="121"/>
      <c r="P88" s="121"/>
      <c r="Q88" s="121"/>
      <c r="R88" s="121"/>
    </row>
    <row r="89" spans="1:18" ht="10.5" customHeight="1" x14ac:dyDescent="0.25">
      <c r="A89" s="122" t="s">
        <v>145</v>
      </c>
      <c r="B89" s="122"/>
      <c r="C89" s="122"/>
      <c r="D89" s="122"/>
      <c r="E89" s="122"/>
      <c r="F89" s="122"/>
      <c r="G89" s="89">
        <v>8957</v>
      </c>
      <c r="M89" s="121"/>
      <c r="N89" s="121"/>
      <c r="O89" s="121"/>
      <c r="P89" s="121"/>
      <c r="Q89" s="121"/>
      <c r="R89" s="121"/>
    </row>
    <row r="90" spans="1:18" ht="10.5" customHeight="1" x14ac:dyDescent="0.25">
      <c r="A90" s="122" t="s">
        <v>137</v>
      </c>
      <c r="B90" s="122"/>
      <c r="C90" s="122"/>
      <c r="D90" s="122"/>
      <c r="E90" s="122"/>
      <c r="F90" s="122"/>
      <c r="G90" s="89">
        <v>441.6</v>
      </c>
      <c r="M90" s="121"/>
      <c r="N90" s="121"/>
      <c r="O90" s="121"/>
      <c r="P90" s="121"/>
      <c r="Q90" s="121"/>
      <c r="R90" s="121"/>
    </row>
    <row r="91" spans="1:18" ht="10.5" customHeight="1" x14ac:dyDescent="0.25">
      <c r="A91" s="122" t="s">
        <v>132</v>
      </c>
      <c r="B91" s="122"/>
      <c r="C91" s="122"/>
      <c r="D91" s="122"/>
      <c r="E91" s="122"/>
      <c r="F91" s="122"/>
      <c r="G91" s="89">
        <v>821.59</v>
      </c>
      <c r="M91" s="121"/>
      <c r="N91" s="121"/>
      <c r="O91" s="121"/>
      <c r="P91" s="121"/>
      <c r="Q91" s="121"/>
      <c r="R91" s="121"/>
    </row>
    <row r="92" spans="1:18" ht="10.5" customHeight="1" x14ac:dyDescent="0.25">
      <c r="A92" s="122" t="s">
        <v>134</v>
      </c>
      <c r="B92" s="122"/>
      <c r="C92" s="122"/>
      <c r="D92" s="122"/>
      <c r="E92" s="122"/>
      <c r="F92" s="122"/>
      <c r="G92" s="89">
        <v>3700</v>
      </c>
      <c r="M92" s="121"/>
      <c r="N92" s="121"/>
      <c r="O92" s="121"/>
      <c r="P92" s="121"/>
      <c r="Q92" s="121"/>
      <c r="R92" s="121"/>
    </row>
    <row r="93" spans="1:18" ht="10.5" customHeight="1" x14ac:dyDescent="0.25">
      <c r="A93" s="122" t="s">
        <v>135</v>
      </c>
      <c r="B93" s="122"/>
      <c r="C93" s="122"/>
      <c r="D93" s="122"/>
      <c r="E93" s="122"/>
      <c r="F93" s="122"/>
      <c r="G93" s="89">
        <v>1500</v>
      </c>
      <c r="M93" s="121"/>
      <c r="N93" s="121"/>
      <c r="O93" s="121"/>
      <c r="P93" s="121"/>
      <c r="Q93" s="121"/>
      <c r="R93" s="121"/>
    </row>
    <row r="94" spans="1:18" ht="10.5" customHeight="1" x14ac:dyDescent="0.25">
      <c r="A94" s="122" t="s">
        <v>139</v>
      </c>
      <c r="B94" s="122"/>
      <c r="C94" s="122"/>
      <c r="D94" s="122"/>
      <c r="E94" s="122"/>
      <c r="F94" s="122"/>
      <c r="G94" s="89">
        <v>-6120.78</v>
      </c>
      <c r="M94" s="121"/>
      <c r="N94" s="121"/>
      <c r="O94" s="121"/>
      <c r="P94" s="121"/>
      <c r="Q94" s="121"/>
      <c r="R94" s="121"/>
    </row>
    <row r="95" spans="1:18" ht="10.5" customHeight="1" x14ac:dyDescent="0.25">
      <c r="A95" s="122" t="s">
        <v>140</v>
      </c>
      <c r="B95" s="122"/>
      <c r="C95" s="122"/>
      <c r="D95" s="122"/>
      <c r="E95" s="122"/>
      <c r="F95" s="122"/>
      <c r="G95" s="89">
        <v>1400</v>
      </c>
      <c r="M95" s="121"/>
      <c r="N95" s="121"/>
      <c r="O95" s="121"/>
      <c r="P95" s="121"/>
      <c r="Q95" s="121"/>
      <c r="R95" s="121"/>
    </row>
    <row r="96" spans="1:18" ht="10.5" customHeight="1" x14ac:dyDescent="0.25">
      <c r="A96" s="122" t="s">
        <v>144</v>
      </c>
      <c r="B96" s="122"/>
      <c r="C96" s="122"/>
      <c r="D96" s="122"/>
      <c r="E96" s="122"/>
      <c r="F96" s="122"/>
      <c r="G96" s="89">
        <v>3749</v>
      </c>
      <c r="M96" s="121"/>
      <c r="N96" s="121"/>
      <c r="O96" s="121"/>
      <c r="P96" s="121"/>
      <c r="Q96" s="121"/>
      <c r="R96" s="121"/>
    </row>
  </sheetData>
  <mergeCells count="56">
    <mergeCell ref="A96:F96"/>
    <mergeCell ref="M96:R96"/>
    <mergeCell ref="A93:F93"/>
    <mergeCell ref="M93:R93"/>
    <mergeCell ref="A94:F94"/>
    <mergeCell ref="M94:R94"/>
    <mergeCell ref="A95:F95"/>
    <mergeCell ref="M95:R95"/>
    <mergeCell ref="A90:F90"/>
    <mergeCell ref="M90:R90"/>
    <mergeCell ref="A91:F91"/>
    <mergeCell ref="M91:R91"/>
    <mergeCell ref="A92:F92"/>
    <mergeCell ref="M92:R92"/>
    <mergeCell ref="A87:F87"/>
    <mergeCell ref="M87:R87"/>
    <mergeCell ref="A88:F88"/>
    <mergeCell ref="M88:R88"/>
    <mergeCell ref="A89:F89"/>
    <mergeCell ref="M89:R89"/>
    <mergeCell ref="A84:F84"/>
    <mergeCell ref="M84:R84"/>
    <mergeCell ref="A85:F85"/>
    <mergeCell ref="M85:R85"/>
    <mergeCell ref="A86:F86"/>
    <mergeCell ref="M86:R86"/>
    <mergeCell ref="A81:F81"/>
    <mergeCell ref="M81:R81"/>
    <mergeCell ref="A82:F82"/>
    <mergeCell ref="M82:R82"/>
    <mergeCell ref="A83:F83"/>
    <mergeCell ref="M83:R83"/>
    <mergeCell ref="A78:F78"/>
    <mergeCell ref="M78:R78"/>
    <mergeCell ref="A79:F79"/>
    <mergeCell ref="M79:R79"/>
    <mergeCell ref="A80:F80"/>
    <mergeCell ref="M80:R80"/>
    <mergeCell ref="A75:F75"/>
    <mergeCell ref="M75:R75"/>
    <mergeCell ref="A76:F76"/>
    <mergeCell ref="M76:R76"/>
    <mergeCell ref="A77:F77"/>
    <mergeCell ref="M77:R77"/>
    <mergeCell ref="A72:F72"/>
    <mergeCell ref="M72:R72"/>
    <mergeCell ref="A73:F73"/>
    <mergeCell ref="M73:R73"/>
    <mergeCell ref="A74:F74"/>
    <mergeCell ref="M74:R74"/>
    <mergeCell ref="A70:B70"/>
    <mergeCell ref="A18:B18"/>
    <mergeCell ref="A24:B24"/>
    <mergeCell ref="A29:B29"/>
    <mergeCell ref="A32:B32"/>
    <mergeCell ref="A61:B61"/>
  </mergeCells>
  <pageMargins left="0.25" right="0" top="0.4" bottom="0" header="0.3" footer="0"/>
  <pageSetup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541C-B272-424B-B214-A2DCE1A4F4B9}">
  <sheetPr>
    <pageSetUpPr fitToPage="1"/>
  </sheetPr>
  <dimension ref="A1:Q73"/>
  <sheetViews>
    <sheetView zoomScale="160" zoomScaleNormal="160" workbookViewId="0">
      <pane ySplit="2" topLeftCell="A12" activePane="bottomLeft" state="frozen"/>
      <selection pane="bottomLeft" activeCell="D26" sqref="D26:E26"/>
    </sheetView>
  </sheetViews>
  <sheetFormatPr defaultColWidth="28" defaultRowHeight="15" x14ac:dyDescent="0.25"/>
  <cols>
    <col min="1" max="1" width="35.85546875" style="1" bestFit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6384" width="28" style="1"/>
  </cols>
  <sheetData>
    <row r="1" spans="1:12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78</v>
      </c>
    </row>
    <row r="2" spans="1:12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</row>
    <row r="3" spans="1:12" s="56" customFormat="1" ht="11.25" hidden="1" customHeight="1" x14ac:dyDescent="0.25">
      <c r="A3" s="17" t="s">
        <v>32</v>
      </c>
      <c r="B3" s="21">
        <v>55010300</v>
      </c>
      <c r="C3" s="8">
        <v>0</v>
      </c>
      <c r="D3" s="32">
        <v>0</v>
      </c>
      <c r="E3" s="32">
        <v>0</v>
      </c>
      <c r="F3" s="32">
        <v>0</v>
      </c>
      <c r="G3" s="32">
        <v>0</v>
      </c>
      <c r="H3" s="8">
        <f>D3+F3</f>
        <v>0</v>
      </c>
      <c r="I3" s="8">
        <f>E3+G3</f>
        <v>0</v>
      </c>
      <c r="J3" s="8">
        <f>H3+I3</f>
        <v>0</v>
      </c>
      <c r="K3" s="8">
        <f>C3-J3</f>
        <v>0</v>
      </c>
      <c r="L3" s="8">
        <f>C3-((J3/1)*26.0714285714285)</f>
        <v>0</v>
      </c>
    </row>
    <row r="4" spans="1:12" s="56" customFormat="1" ht="11.25" customHeight="1" x14ac:dyDescent="0.25">
      <c r="A4" s="91" t="s">
        <v>80</v>
      </c>
      <c r="B4" s="21">
        <v>55010500</v>
      </c>
      <c r="C4" s="103">
        <f>2229+688</f>
        <v>2917</v>
      </c>
      <c r="D4" s="32">
        <v>0</v>
      </c>
      <c r="E4" s="32">
        <v>0</v>
      </c>
      <c r="F4" s="32">
        <v>0</v>
      </c>
      <c r="G4" s="32">
        <v>0</v>
      </c>
      <c r="H4" s="8">
        <f>D4+F4+'07-08-21'!H4</f>
        <v>0</v>
      </c>
      <c r="I4" s="8">
        <f>E4+G4+'07-08-21'!I4</f>
        <v>0</v>
      </c>
      <c r="J4" s="103">
        <f t="shared" ref="J4:J16" si="0">H4+I4</f>
        <v>0</v>
      </c>
      <c r="K4" s="8">
        <f t="shared" ref="K4:K16" si="1">C4-J4</f>
        <v>2917</v>
      </c>
      <c r="L4" s="8">
        <f>C4-((J4/2)*26.0714285714285)</f>
        <v>2917</v>
      </c>
    </row>
    <row r="5" spans="1:12" s="56" customFormat="1" ht="11.25" customHeight="1" x14ac:dyDescent="0.25">
      <c r="A5" s="42" t="s">
        <v>70</v>
      </c>
      <c r="B5" s="57">
        <v>55010601</v>
      </c>
      <c r="C5" s="103">
        <v>6450</v>
      </c>
      <c r="D5" s="8">
        <v>330</v>
      </c>
      <c r="E5" s="8">
        <v>3.96</v>
      </c>
      <c r="F5" s="8">
        <v>0</v>
      </c>
      <c r="G5" s="8">
        <v>0</v>
      </c>
      <c r="H5" s="8">
        <f>D5+F5+'07-08-21'!H5</f>
        <v>450</v>
      </c>
      <c r="I5" s="8">
        <f>E5+G5+'07-08-21'!I5</f>
        <v>5.4</v>
      </c>
      <c r="J5" s="103">
        <f t="shared" si="0"/>
        <v>455.4</v>
      </c>
      <c r="K5" s="8">
        <f t="shared" si="1"/>
        <v>5994.6</v>
      </c>
      <c r="L5" s="8">
        <f t="shared" ref="L5:L16" si="2">C5-((J5/2)*26.0714285714285)</f>
        <v>513.53571428573105</v>
      </c>
    </row>
    <row r="6" spans="1:12" s="53" customFormat="1" ht="11.25" customHeight="1" x14ac:dyDescent="0.25">
      <c r="A6" s="42" t="s">
        <v>31</v>
      </c>
      <c r="B6" s="57">
        <v>55020200</v>
      </c>
      <c r="C6" s="104">
        <v>24649</v>
      </c>
      <c r="D6" s="41">
        <v>1202.18</v>
      </c>
      <c r="E6" s="41">
        <v>14.42</v>
      </c>
      <c r="F6" s="41">
        <v>1650.01</v>
      </c>
      <c r="G6" s="41">
        <v>123.75</v>
      </c>
      <c r="H6" s="8">
        <f>D6+F6+'07-08-21'!H6</f>
        <v>3833.52</v>
      </c>
      <c r="I6" s="8">
        <f>E6+G6+'07-08-21'!I6</f>
        <v>171.85999999999999</v>
      </c>
      <c r="J6" s="103">
        <f t="shared" si="0"/>
        <v>4005.38</v>
      </c>
      <c r="K6" s="8">
        <f t="shared" si="1"/>
        <v>20643.62</v>
      </c>
      <c r="L6" s="8">
        <f t="shared" si="2"/>
        <v>-27563.989285714139</v>
      </c>
    </row>
    <row r="7" spans="1:12" s="53" customFormat="1" ht="11.25" customHeight="1" x14ac:dyDescent="0.25">
      <c r="A7" s="17" t="s">
        <v>30</v>
      </c>
      <c r="B7" s="21">
        <v>55020300</v>
      </c>
      <c r="C7" s="103">
        <v>17974</v>
      </c>
      <c r="D7" s="9">
        <v>953.9</v>
      </c>
      <c r="E7" s="9">
        <v>11.44</v>
      </c>
      <c r="F7" s="9">
        <v>0</v>
      </c>
      <c r="G7" s="9">
        <v>0</v>
      </c>
      <c r="H7" s="8">
        <f>D7+F7+'07-08-21'!H7</f>
        <v>1290.92</v>
      </c>
      <c r="I7" s="8">
        <f>E7+G7+'07-08-21'!I7</f>
        <v>15.459999999999999</v>
      </c>
      <c r="J7" s="103">
        <f t="shared" si="0"/>
        <v>1306.3800000000001</v>
      </c>
      <c r="K7" s="8">
        <f t="shared" si="1"/>
        <v>16667.62</v>
      </c>
      <c r="L7" s="8">
        <f t="shared" si="2"/>
        <v>944.40357142861831</v>
      </c>
    </row>
    <row r="8" spans="1:12" s="53" customFormat="1" ht="11.25" customHeight="1" x14ac:dyDescent="0.25">
      <c r="A8" s="17" t="s">
        <v>29</v>
      </c>
      <c r="B8" s="21">
        <v>55020400</v>
      </c>
      <c r="C8" s="103">
        <v>17974</v>
      </c>
      <c r="D8" s="9">
        <f>202.65+545.6</f>
        <v>748.25</v>
      </c>
      <c r="E8" s="9">
        <f>2.43+6.54</f>
        <v>8.9700000000000006</v>
      </c>
      <c r="F8" s="9">
        <v>560.25</v>
      </c>
      <c r="G8" s="9">
        <v>42.01</v>
      </c>
      <c r="H8" s="8">
        <f>D8+F8+'07-08-21'!H8</f>
        <v>1679.06</v>
      </c>
      <c r="I8" s="8">
        <f>E8+G8+'07-08-21'!I8</f>
        <v>71.150000000000006</v>
      </c>
      <c r="J8" s="103">
        <f t="shared" si="0"/>
        <v>1750.21</v>
      </c>
      <c r="K8" s="8">
        <f t="shared" si="1"/>
        <v>16223.79</v>
      </c>
      <c r="L8" s="8">
        <f t="shared" si="2"/>
        <v>-4841.2374999999374</v>
      </c>
    </row>
    <row r="9" spans="1:12" s="53" customFormat="1" ht="11.25" customHeight="1" x14ac:dyDescent="0.25">
      <c r="A9" s="17" t="s">
        <v>59</v>
      </c>
      <c r="B9" s="21">
        <v>55030100</v>
      </c>
      <c r="C9" s="103">
        <v>2109</v>
      </c>
      <c r="D9" s="32">
        <v>0</v>
      </c>
      <c r="E9" s="32">
        <v>0</v>
      </c>
      <c r="F9" s="32">
        <v>0</v>
      </c>
      <c r="G9" s="32">
        <v>0</v>
      </c>
      <c r="H9" s="8">
        <f>D9+F9+'07-08-21'!H9</f>
        <v>0</v>
      </c>
      <c r="I9" s="8">
        <f>E9+G9+'07-08-21'!I9</f>
        <v>0</v>
      </c>
      <c r="J9" s="103">
        <f t="shared" si="0"/>
        <v>0</v>
      </c>
      <c r="K9" s="8">
        <f t="shared" si="1"/>
        <v>2109</v>
      </c>
      <c r="L9" s="8">
        <f t="shared" si="2"/>
        <v>2109</v>
      </c>
    </row>
    <row r="10" spans="1:12" s="53" customFormat="1" ht="11.25" customHeight="1" x14ac:dyDescent="0.25">
      <c r="A10" s="40" t="s">
        <v>28</v>
      </c>
      <c r="B10" s="21">
        <v>55030200</v>
      </c>
      <c r="C10" s="103">
        <v>24330</v>
      </c>
      <c r="D10" s="9">
        <f>164.16+1065.95</f>
        <v>1230.1100000000001</v>
      </c>
      <c r="E10" s="9">
        <f>1.96+12.79</f>
        <v>14.75</v>
      </c>
      <c r="F10" s="9">
        <v>712.26</v>
      </c>
      <c r="G10" s="9">
        <v>53.41</v>
      </c>
      <c r="H10" s="8">
        <f>D10+F10+'07-08-21'!H10</f>
        <v>2671.45</v>
      </c>
      <c r="I10" s="8">
        <f>E10+G10+'07-08-21'!I10</f>
        <v>102.75999999999999</v>
      </c>
      <c r="J10" s="103">
        <f t="shared" si="0"/>
        <v>2774.21</v>
      </c>
      <c r="K10" s="8">
        <f t="shared" si="1"/>
        <v>21555.79</v>
      </c>
      <c r="L10" s="8">
        <f t="shared" si="2"/>
        <v>-11833.808928571329</v>
      </c>
    </row>
    <row r="11" spans="1:12" s="53" customFormat="1" ht="11.25" customHeight="1" x14ac:dyDescent="0.25">
      <c r="A11" s="17" t="s">
        <v>27</v>
      </c>
      <c r="B11" s="105">
        <v>55050200</v>
      </c>
      <c r="C11" s="103">
        <f>34000</f>
        <v>34000</v>
      </c>
      <c r="D11" s="8">
        <v>1151.07</v>
      </c>
      <c r="E11" s="8">
        <v>13.8</v>
      </c>
      <c r="F11" s="8">
        <v>1467.43</v>
      </c>
      <c r="G11" s="8">
        <v>110.05</v>
      </c>
      <c r="H11" s="8">
        <f>D11+F11+'07-08-21'!H11</f>
        <v>4187.9799999999996</v>
      </c>
      <c r="I11" s="8">
        <f>E11+G11+'07-08-21'!I11</f>
        <v>200.62</v>
      </c>
      <c r="J11" s="103">
        <f t="shared" si="0"/>
        <v>4388.5999999999995</v>
      </c>
      <c r="K11" s="8">
        <f t="shared" si="1"/>
        <v>29611.4</v>
      </c>
      <c r="L11" s="8">
        <f t="shared" si="2"/>
        <v>-23208.53571428555</v>
      </c>
    </row>
    <row r="12" spans="1:12" s="54" customFormat="1" ht="11.25" customHeight="1" x14ac:dyDescent="0.25">
      <c r="A12" s="17" t="s">
        <v>26</v>
      </c>
      <c r="B12" s="21">
        <v>55070100</v>
      </c>
      <c r="C12" s="103">
        <v>42741</v>
      </c>
      <c r="D12" s="8">
        <f>527.63+1441.56</f>
        <v>1969.19</v>
      </c>
      <c r="E12" s="8">
        <f>6.32+17.29</f>
        <v>23.61</v>
      </c>
      <c r="F12" s="8">
        <v>0</v>
      </c>
      <c r="G12" s="8">
        <v>0</v>
      </c>
      <c r="H12" s="8">
        <f>D12+F12+'07-08-21'!H12</f>
        <v>2514.88</v>
      </c>
      <c r="I12" s="8">
        <f>E12+G12+'07-08-21'!I12</f>
        <v>32.450000000000003</v>
      </c>
      <c r="J12" s="96">
        <f t="shared" si="0"/>
        <v>2547.33</v>
      </c>
      <c r="K12" s="8">
        <f t="shared" si="1"/>
        <v>40193.67</v>
      </c>
      <c r="L12" s="8">
        <f t="shared" si="2"/>
        <v>9534.7339285715207</v>
      </c>
    </row>
    <row r="13" spans="1:12" s="53" customFormat="1" ht="11.25" customHeight="1" x14ac:dyDescent="0.25">
      <c r="A13" s="17" t="s">
        <v>25</v>
      </c>
      <c r="B13" s="21">
        <v>55080100</v>
      </c>
      <c r="C13" s="103">
        <v>24173</v>
      </c>
      <c r="D13" s="9">
        <v>409.23</v>
      </c>
      <c r="E13" s="9">
        <v>4.91</v>
      </c>
      <c r="F13" s="9">
        <v>0</v>
      </c>
      <c r="G13" s="9">
        <v>0</v>
      </c>
      <c r="H13" s="8">
        <f>D13+F13+'07-08-21'!H13</f>
        <v>586.65</v>
      </c>
      <c r="I13" s="8">
        <f>E13+G13+'07-08-21'!I13</f>
        <v>7.03</v>
      </c>
      <c r="J13" s="103">
        <f t="shared" si="0"/>
        <v>593.67999999999995</v>
      </c>
      <c r="K13" s="8">
        <f t="shared" si="1"/>
        <v>23579.32</v>
      </c>
      <c r="L13" s="8">
        <f t="shared" si="2"/>
        <v>16433.957142857165</v>
      </c>
    </row>
    <row r="14" spans="1:12" s="55" customFormat="1" ht="10.9" customHeight="1" x14ac:dyDescent="0.25">
      <c r="A14" s="79" t="s">
        <v>76</v>
      </c>
      <c r="B14" s="106">
        <v>55110100</v>
      </c>
      <c r="C14" s="107">
        <f>2659+6941+5955</f>
        <v>15555</v>
      </c>
      <c r="D14" s="33">
        <v>0</v>
      </c>
      <c r="E14" s="33">
        <v>0</v>
      </c>
      <c r="F14" s="33">
        <v>0</v>
      </c>
      <c r="G14" s="33">
        <v>0</v>
      </c>
      <c r="H14" s="8">
        <f>D14+F14+'07-08-21'!H14</f>
        <v>0</v>
      </c>
      <c r="I14" s="8">
        <f>E14+G14+'07-08-21'!I14</f>
        <v>0</v>
      </c>
      <c r="J14" s="103">
        <f>H14+I14</f>
        <v>0</v>
      </c>
      <c r="K14" s="8">
        <f>C14-J14</f>
        <v>15555</v>
      </c>
      <c r="L14" s="8">
        <f>C14-((J14/2)*26.0714285714285)</f>
        <v>15555</v>
      </c>
    </row>
    <row r="15" spans="1:12" s="55" customFormat="1" ht="11.25" customHeight="1" x14ac:dyDescent="0.25">
      <c r="A15" s="39" t="s">
        <v>24</v>
      </c>
      <c r="B15" s="23">
        <v>55190000</v>
      </c>
      <c r="C15" s="103">
        <v>6000</v>
      </c>
      <c r="D15" s="9">
        <v>143</v>
      </c>
      <c r="E15" s="9">
        <v>1.71</v>
      </c>
      <c r="F15" s="9">
        <v>0</v>
      </c>
      <c r="G15" s="9">
        <v>0</v>
      </c>
      <c r="H15" s="8">
        <f>D15+F15+'07-08-21'!H15</f>
        <v>349.98</v>
      </c>
      <c r="I15" s="8">
        <f>E15+G15+'07-08-21'!I15</f>
        <v>13.16</v>
      </c>
      <c r="J15" s="103">
        <f t="shared" si="0"/>
        <v>363.14000000000004</v>
      </c>
      <c r="K15" s="8">
        <f t="shared" si="1"/>
        <v>5636.86</v>
      </c>
      <c r="L15" s="8">
        <f t="shared" si="2"/>
        <v>1266.2107142857267</v>
      </c>
    </row>
    <row r="16" spans="1:12" s="55" customFormat="1" ht="11.25" customHeight="1" x14ac:dyDescent="0.25">
      <c r="A16" s="39" t="s">
        <v>75</v>
      </c>
      <c r="B16" s="23">
        <v>55400000</v>
      </c>
      <c r="C16" s="103">
        <v>10800</v>
      </c>
      <c r="D16" s="9">
        <f>-252+600</f>
        <v>348</v>
      </c>
      <c r="E16" s="9">
        <f>-3.02+7.2</f>
        <v>4.18</v>
      </c>
      <c r="F16" s="9">
        <v>0</v>
      </c>
      <c r="G16" s="9">
        <v>0</v>
      </c>
      <c r="H16" s="8">
        <f>D16+F16+'07-08-21'!H16</f>
        <v>600</v>
      </c>
      <c r="I16" s="8">
        <f>E16+G16+'07-08-21'!I16</f>
        <v>7.1999999999999993</v>
      </c>
      <c r="J16" s="103">
        <f t="shared" si="0"/>
        <v>607.20000000000005</v>
      </c>
      <c r="K16" s="8">
        <f t="shared" si="1"/>
        <v>10192.799999999999</v>
      </c>
      <c r="L16" s="8">
        <f t="shared" si="2"/>
        <v>2884.7142857143072</v>
      </c>
    </row>
    <row r="17" spans="1:12" ht="21.6" customHeight="1" thickBot="1" x14ac:dyDescent="0.3">
      <c r="A17" s="114" t="s">
        <v>23</v>
      </c>
      <c r="B17" s="115"/>
      <c r="C17" s="35">
        <f t="shared" ref="C17" si="3">SUM(C3:C15)</f>
        <v>218872</v>
      </c>
      <c r="D17" s="7">
        <f t="shared" ref="D17:L17" si="4">SUM(D3:D16)</f>
        <v>8484.93</v>
      </c>
      <c r="E17" s="7">
        <f t="shared" si="4"/>
        <v>101.75</v>
      </c>
      <c r="F17" s="7">
        <f t="shared" si="4"/>
        <v>4389.9500000000007</v>
      </c>
      <c r="G17" s="7">
        <f t="shared" si="4"/>
        <v>329.21999999999997</v>
      </c>
      <c r="H17" s="7">
        <f t="shared" si="4"/>
        <v>18164.440000000002</v>
      </c>
      <c r="I17" s="7">
        <f t="shared" si="4"/>
        <v>627.09</v>
      </c>
      <c r="J17" s="35">
        <f t="shared" si="4"/>
        <v>18791.530000000002</v>
      </c>
      <c r="K17" s="35">
        <f t="shared" si="4"/>
        <v>210880.46999999997</v>
      </c>
      <c r="L17" s="7">
        <f t="shared" si="4"/>
        <v>-15289.016071427879</v>
      </c>
    </row>
    <row r="18" spans="1:12" ht="11.25" customHeight="1" x14ac:dyDescent="0.25">
      <c r="A18" s="3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37"/>
    </row>
    <row r="19" spans="1:12" ht="11.25" customHeight="1" thickBot="1" x14ac:dyDescent="0.3">
      <c r="A19" s="27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6"/>
    </row>
    <row r="20" spans="1:12" s="53" customFormat="1" ht="11.45" hidden="1" customHeight="1" x14ac:dyDescent="0.25">
      <c r="A20" s="10" t="s">
        <v>22</v>
      </c>
      <c r="B20" s="23">
        <v>55090100</v>
      </c>
      <c r="C20" s="82"/>
      <c r="D20" s="32">
        <v>0</v>
      </c>
      <c r="E20" s="32">
        <v>0</v>
      </c>
      <c r="F20" s="32">
        <v>0</v>
      </c>
      <c r="G20" s="32">
        <v>0</v>
      </c>
      <c r="H20" s="8">
        <f t="shared" ref="H20:I20" si="5">D20+F20</f>
        <v>0</v>
      </c>
      <c r="I20" s="8">
        <f t="shared" si="5"/>
        <v>0</v>
      </c>
      <c r="J20" s="8">
        <f t="shared" ref="J20:J22" si="6">H20+I20</f>
        <v>0</v>
      </c>
      <c r="K20" s="8">
        <f>C20-J20</f>
        <v>0</v>
      </c>
      <c r="L20" s="8">
        <f t="shared" ref="L20" si="7">C20-((J20/1)*26.0714285714285)</f>
        <v>0</v>
      </c>
    </row>
    <row r="21" spans="1:12" s="53" customFormat="1" ht="11.45" customHeight="1" x14ac:dyDescent="0.25">
      <c r="A21" s="17" t="s">
        <v>21</v>
      </c>
      <c r="B21" s="21">
        <v>55160100</v>
      </c>
      <c r="C21" s="103">
        <v>13953</v>
      </c>
      <c r="D21" s="32">
        <v>0</v>
      </c>
      <c r="E21" s="32">
        <v>0</v>
      </c>
      <c r="F21" s="32">
        <v>0</v>
      </c>
      <c r="G21" s="32">
        <v>0</v>
      </c>
      <c r="H21" s="8">
        <f>D21+F21+'07-08-21'!H21</f>
        <v>0</v>
      </c>
      <c r="I21" s="8">
        <f>E21+G21+'07-08-21'!I21</f>
        <v>0</v>
      </c>
      <c r="J21" s="103">
        <f t="shared" si="6"/>
        <v>0</v>
      </c>
      <c r="K21" s="8">
        <f t="shared" ref="K21:K22" si="8">C21-J21</f>
        <v>13953</v>
      </c>
      <c r="L21" s="8">
        <f t="shared" ref="L21:L22" si="9">C21-((J21/2)*26.0714285714285)</f>
        <v>13953</v>
      </c>
    </row>
    <row r="22" spans="1:12" s="53" customFormat="1" ht="11.45" customHeight="1" x14ac:dyDescent="0.25">
      <c r="A22" s="10" t="s">
        <v>20</v>
      </c>
      <c r="B22" s="23">
        <v>55100100</v>
      </c>
      <c r="C22" s="103">
        <v>2026</v>
      </c>
      <c r="D22" s="32">
        <v>0</v>
      </c>
      <c r="E22" s="32">
        <v>0</v>
      </c>
      <c r="F22" s="32">
        <v>0</v>
      </c>
      <c r="G22" s="32">
        <v>0</v>
      </c>
      <c r="H22" s="8">
        <f>D22+F22+'07-08-21'!H22</f>
        <v>0</v>
      </c>
      <c r="I22" s="8">
        <f>E22+G22+'07-08-21'!I22</f>
        <v>0</v>
      </c>
      <c r="J22" s="103">
        <f t="shared" si="6"/>
        <v>0</v>
      </c>
      <c r="K22" s="8">
        <f t="shared" si="8"/>
        <v>2026</v>
      </c>
      <c r="L22" s="8">
        <f t="shared" si="9"/>
        <v>2026</v>
      </c>
    </row>
    <row r="23" spans="1:12" ht="21.6" customHeight="1" thickBot="1" x14ac:dyDescent="0.3">
      <c r="A23" s="114" t="s">
        <v>19</v>
      </c>
      <c r="B23" s="115"/>
      <c r="C23" s="7">
        <f t="shared" ref="C23:L23" si="10">SUM(C20:C22)</f>
        <v>15979</v>
      </c>
      <c r="D23" s="7">
        <f t="shared" si="10"/>
        <v>0</v>
      </c>
      <c r="E23" s="7">
        <f t="shared" si="10"/>
        <v>0</v>
      </c>
      <c r="F23" s="7">
        <f t="shared" si="10"/>
        <v>0</v>
      </c>
      <c r="G23" s="7">
        <f t="shared" si="10"/>
        <v>0</v>
      </c>
      <c r="H23" s="7">
        <f t="shared" si="10"/>
        <v>0</v>
      </c>
      <c r="I23" s="7">
        <f t="shared" si="10"/>
        <v>0</v>
      </c>
      <c r="J23" s="35">
        <f t="shared" si="10"/>
        <v>0</v>
      </c>
      <c r="K23" s="7">
        <f t="shared" si="10"/>
        <v>15979</v>
      </c>
      <c r="L23" s="7">
        <f t="shared" si="10"/>
        <v>15979</v>
      </c>
    </row>
    <row r="24" spans="1:12" ht="11.25" customHeight="1" x14ac:dyDescent="0.25">
      <c r="A24" s="30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37"/>
    </row>
    <row r="25" spans="1:12" ht="11.25" customHeight="1" thickBot="1" x14ac:dyDescent="0.3">
      <c r="A25" s="27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6"/>
    </row>
    <row r="26" spans="1:12" s="55" customFormat="1" ht="11.45" customHeight="1" x14ac:dyDescent="0.25">
      <c r="A26" s="10" t="s">
        <v>18</v>
      </c>
      <c r="B26" s="23">
        <v>55200000</v>
      </c>
      <c r="C26" s="103">
        <v>25000</v>
      </c>
      <c r="D26" s="9">
        <v>180</v>
      </c>
      <c r="E26" s="9">
        <v>2.16</v>
      </c>
      <c r="F26" s="9">
        <v>315</v>
      </c>
      <c r="G26" s="9">
        <v>23.62</v>
      </c>
      <c r="H26" s="8">
        <f>D26+F26+'07-08-21'!H26</f>
        <v>876</v>
      </c>
      <c r="I26" s="8">
        <f>E26+G26+'07-08-21'!I26</f>
        <v>36.400000000000006</v>
      </c>
      <c r="J26" s="103">
        <f t="shared" ref="J26:J27" si="11">H26+I26</f>
        <v>912.4</v>
      </c>
      <c r="K26" s="8">
        <f>C26-J26</f>
        <v>24087.599999999999</v>
      </c>
      <c r="L26" s="8">
        <f t="shared" ref="L26:L27" si="12">C26-((J26/2)*26.0714285714285)</f>
        <v>13106.214285714319</v>
      </c>
    </row>
    <row r="27" spans="1:12" s="55" customFormat="1" ht="10.9" hidden="1" customHeight="1" x14ac:dyDescent="0.25">
      <c r="A27" s="20" t="s">
        <v>17</v>
      </c>
      <c r="B27" s="34" t="s">
        <v>16</v>
      </c>
      <c r="C27" s="33">
        <v>0</v>
      </c>
      <c r="D27" s="32"/>
      <c r="E27" s="32"/>
      <c r="F27" s="32"/>
      <c r="G27" s="32"/>
      <c r="H27" s="8">
        <f>D27+F27+'07-08-21'!H27</f>
        <v>0</v>
      </c>
      <c r="I27" s="8">
        <f>E27+G27+'07-08-21'!I27</f>
        <v>0</v>
      </c>
      <c r="J27" s="8">
        <f t="shared" si="11"/>
        <v>0</v>
      </c>
      <c r="K27" s="8">
        <f t="shared" ref="K27" si="13">C27-J27</f>
        <v>0</v>
      </c>
      <c r="L27" s="8">
        <f t="shared" si="12"/>
        <v>0</v>
      </c>
    </row>
    <row r="28" spans="1:12" ht="24.75" customHeight="1" thickBot="1" x14ac:dyDescent="0.3">
      <c r="A28" s="116" t="s">
        <v>15</v>
      </c>
      <c r="B28" s="117"/>
      <c r="C28" s="31">
        <f t="shared" ref="C28:L28" si="14">SUM(C26:C27)</f>
        <v>25000</v>
      </c>
      <c r="D28" s="31">
        <f t="shared" si="14"/>
        <v>180</v>
      </c>
      <c r="E28" s="31">
        <f t="shared" si="14"/>
        <v>2.16</v>
      </c>
      <c r="F28" s="31">
        <f t="shared" si="14"/>
        <v>315</v>
      </c>
      <c r="G28" s="31">
        <f t="shared" si="14"/>
        <v>23.62</v>
      </c>
      <c r="H28" s="31">
        <f t="shared" si="14"/>
        <v>876</v>
      </c>
      <c r="I28" s="31">
        <f t="shared" si="14"/>
        <v>36.400000000000006</v>
      </c>
      <c r="J28" s="31">
        <f t="shared" si="14"/>
        <v>912.4</v>
      </c>
      <c r="K28" s="31">
        <f t="shared" si="14"/>
        <v>24087.599999999999</v>
      </c>
      <c r="L28" s="31">
        <f t="shared" si="14"/>
        <v>13106.214285714319</v>
      </c>
    </row>
    <row r="29" spans="1:12" ht="11.25" customHeight="1" x14ac:dyDescent="0.25">
      <c r="A29" s="30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1.25" customHeight="1" thickBot="1" x14ac:dyDescent="0.3">
      <c r="A30" s="27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21.6" customHeight="1" x14ac:dyDescent="0.25">
      <c r="A31" s="118" t="s">
        <v>14</v>
      </c>
      <c r="B31" s="118"/>
      <c r="C31" s="24">
        <f t="shared" ref="C31:L31" si="15">C17+C23+C28</f>
        <v>259851</v>
      </c>
      <c r="D31" s="24">
        <f t="shared" si="15"/>
        <v>8664.93</v>
      </c>
      <c r="E31" s="24">
        <f t="shared" si="15"/>
        <v>103.91</v>
      </c>
      <c r="F31" s="24">
        <f t="shared" si="15"/>
        <v>4704.9500000000007</v>
      </c>
      <c r="G31" s="24">
        <f t="shared" si="15"/>
        <v>352.84</v>
      </c>
      <c r="H31" s="24">
        <f t="shared" si="15"/>
        <v>19040.440000000002</v>
      </c>
      <c r="I31" s="24">
        <f t="shared" si="15"/>
        <v>663.49</v>
      </c>
      <c r="J31" s="24">
        <f t="shared" si="15"/>
        <v>19703.930000000004</v>
      </c>
      <c r="K31" s="24">
        <f t="shared" si="15"/>
        <v>250947.06999999998</v>
      </c>
      <c r="L31" s="24">
        <f t="shared" si="15"/>
        <v>13796.19821428644</v>
      </c>
    </row>
    <row r="32" spans="1:12" ht="10.9" customHeight="1" x14ac:dyDescent="0.25">
      <c r="A32" s="13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1.25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s="59" customFormat="1" ht="11.25" customHeight="1" x14ac:dyDescent="0.25">
      <c r="A34" s="86" t="s">
        <v>65</v>
      </c>
      <c r="B34" s="77" t="s">
        <v>44</v>
      </c>
      <c r="C34" s="82"/>
      <c r="D34" s="9">
        <v>200</v>
      </c>
      <c r="E34" s="9">
        <f>D34*0.011968</f>
        <v>2.3935999999999997</v>
      </c>
      <c r="F34" s="9">
        <v>0</v>
      </c>
      <c r="G34" s="9">
        <v>0</v>
      </c>
      <c r="H34" s="8">
        <f>D34+F34+'07-08-21'!H34</f>
        <v>422.6</v>
      </c>
      <c r="I34" s="8">
        <f>E34+G34+'07-08-21'!I34</f>
        <v>11.5236</v>
      </c>
      <c r="J34" s="8">
        <f>H34+I34</f>
        <v>434.12360000000001</v>
      </c>
      <c r="K34" s="85">
        <f>C34-J34</f>
        <v>-434.12360000000001</v>
      </c>
      <c r="L34" s="8">
        <f t="shared" ref="L34:L54" si="16">C34-((J34/2)*26.0714285714285)</f>
        <v>-5659.1112142856982</v>
      </c>
    </row>
    <row r="35" spans="1:12" s="59" customFormat="1" ht="11.25" hidden="1" customHeight="1" x14ac:dyDescent="0.25">
      <c r="A35" s="22" t="s">
        <v>13</v>
      </c>
      <c r="B35" s="19" t="s">
        <v>12</v>
      </c>
      <c r="C35" s="83"/>
      <c r="D35" s="9"/>
      <c r="E35" s="9"/>
      <c r="F35" s="9"/>
      <c r="G35" s="9"/>
      <c r="H35" s="8">
        <f>D35+F35+'07-08-21'!H35</f>
        <v>0</v>
      </c>
      <c r="I35" s="8">
        <f>E35+G35+'07-08-21'!I35</f>
        <v>0</v>
      </c>
      <c r="J35" s="8">
        <f t="shared" ref="J35:J54" si="17">H35+I35</f>
        <v>0</v>
      </c>
      <c r="K35" s="8">
        <f t="shared" ref="K35:K49" si="18">C35-J35</f>
        <v>0</v>
      </c>
      <c r="L35" s="8">
        <f t="shared" si="16"/>
        <v>0</v>
      </c>
    </row>
    <row r="36" spans="1:12" s="60" customFormat="1" ht="11.25" hidden="1" customHeight="1" x14ac:dyDescent="0.25">
      <c r="A36" s="20" t="s">
        <v>11</v>
      </c>
      <c r="B36" s="21" t="s">
        <v>10</v>
      </c>
      <c r="C36" s="8">
        <v>0</v>
      </c>
      <c r="D36" s="32"/>
      <c r="E36" s="32"/>
      <c r="F36" s="32"/>
      <c r="G36" s="32"/>
      <c r="H36" s="8">
        <f>D36+F36+'07-08-21'!H36</f>
        <v>0</v>
      </c>
      <c r="I36" s="8">
        <f>E36+G36+'07-08-21'!I36</f>
        <v>0</v>
      </c>
      <c r="J36" s="8">
        <f t="shared" si="17"/>
        <v>0</v>
      </c>
      <c r="K36" s="8">
        <f t="shared" si="18"/>
        <v>0</v>
      </c>
      <c r="L36" s="8">
        <f t="shared" si="16"/>
        <v>0</v>
      </c>
    </row>
    <row r="37" spans="1:12" s="60" customFormat="1" ht="11.25" customHeight="1" x14ac:dyDescent="0.25">
      <c r="A37" s="86" t="s">
        <v>71</v>
      </c>
      <c r="B37" s="77" t="s">
        <v>9</v>
      </c>
      <c r="C37" s="82"/>
      <c r="D37" s="8">
        <v>28.95</v>
      </c>
      <c r="E37" s="8">
        <f>D37*0.011968</f>
        <v>0.34647359999999999</v>
      </c>
      <c r="F37" s="8">
        <v>0</v>
      </c>
      <c r="G37" s="8">
        <v>0</v>
      </c>
      <c r="H37" s="8">
        <f>D37+F37+'07-08-21'!H37</f>
        <v>36.659999999999997</v>
      </c>
      <c r="I37" s="8">
        <f>E37+G37+'07-08-21'!I37</f>
        <v>0.43899359999999998</v>
      </c>
      <c r="J37" s="9">
        <f t="shared" si="17"/>
        <v>37.0989936</v>
      </c>
      <c r="K37" s="85">
        <f t="shared" si="18"/>
        <v>-37.0989936</v>
      </c>
      <c r="L37" s="8">
        <f t="shared" si="16"/>
        <v>-483.6118808571415</v>
      </c>
    </row>
    <row r="38" spans="1:12" s="60" customFormat="1" ht="11.25" hidden="1" customHeight="1" x14ac:dyDescent="0.25">
      <c r="A38" s="18" t="s">
        <v>62</v>
      </c>
      <c r="B38" s="61" t="s">
        <v>54</v>
      </c>
      <c r="C38" s="8">
        <v>356.53</v>
      </c>
      <c r="D38" s="32"/>
      <c r="E38" s="32"/>
      <c r="F38" s="32"/>
      <c r="G38" s="32"/>
      <c r="H38" s="8">
        <f>D38+F38+'07-08-21'!H38</f>
        <v>0</v>
      </c>
      <c r="I38" s="8">
        <f>E38+G38+'07-08-21'!I38</f>
        <v>0</v>
      </c>
      <c r="J38" s="8">
        <f t="shared" si="17"/>
        <v>0</v>
      </c>
      <c r="K38" s="8">
        <f t="shared" si="18"/>
        <v>356.53</v>
      </c>
      <c r="L38" s="8">
        <f t="shared" si="16"/>
        <v>356.53</v>
      </c>
    </row>
    <row r="39" spans="1:12" s="60" customFormat="1" ht="11.45" hidden="1" customHeight="1" x14ac:dyDescent="0.25">
      <c r="A39" s="18" t="s">
        <v>58</v>
      </c>
      <c r="B39" s="61" t="s">
        <v>57</v>
      </c>
      <c r="C39" s="8">
        <v>554.22</v>
      </c>
      <c r="D39" s="32"/>
      <c r="E39" s="32"/>
      <c r="F39" s="32"/>
      <c r="G39" s="32"/>
      <c r="H39" s="8">
        <f>D39+F39+'07-08-21'!H39</f>
        <v>0</v>
      </c>
      <c r="I39" s="8">
        <f>E39+G39+'07-08-21'!I39</f>
        <v>0</v>
      </c>
      <c r="J39" s="8">
        <f t="shared" si="17"/>
        <v>0</v>
      </c>
      <c r="K39" s="8">
        <f>C39-J39</f>
        <v>554.22</v>
      </c>
      <c r="L39" s="8">
        <f t="shared" si="16"/>
        <v>554.22</v>
      </c>
    </row>
    <row r="40" spans="1:12" s="54" customFormat="1" ht="11.45" customHeight="1" x14ac:dyDescent="0.25">
      <c r="A40" s="18" t="s">
        <v>48</v>
      </c>
      <c r="B40" s="61" t="s">
        <v>49</v>
      </c>
      <c r="C40" s="8">
        <v>6710</v>
      </c>
      <c r="D40" s="33">
        <v>153</v>
      </c>
      <c r="E40" s="33">
        <v>1.83</v>
      </c>
      <c r="F40" s="33">
        <v>0</v>
      </c>
      <c r="G40" s="33">
        <v>0</v>
      </c>
      <c r="H40" s="8">
        <f>D40+F40+'07-08-21'!H40</f>
        <v>153</v>
      </c>
      <c r="I40" s="8">
        <f>E40+G40+'07-08-21'!I40</f>
        <v>1.83</v>
      </c>
      <c r="J40" s="103">
        <f t="shared" si="17"/>
        <v>154.83000000000001</v>
      </c>
      <c r="K40" s="8">
        <f>C40-J40</f>
        <v>6555.17</v>
      </c>
      <c r="L40" s="8">
        <f t="shared" si="16"/>
        <v>4691.6803571428627</v>
      </c>
    </row>
    <row r="41" spans="1:12" s="60" customFormat="1" ht="11.25" customHeight="1" x14ac:dyDescent="0.25">
      <c r="A41" s="18" t="s">
        <v>81</v>
      </c>
      <c r="B41" s="105" t="s">
        <v>82</v>
      </c>
      <c r="C41" s="103">
        <f>2880</f>
        <v>2880</v>
      </c>
      <c r="D41" s="32">
        <v>824.6</v>
      </c>
      <c r="E41" s="32">
        <v>9.9</v>
      </c>
      <c r="F41" s="32">
        <v>0</v>
      </c>
      <c r="G41" s="32">
        <v>0</v>
      </c>
      <c r="H41" s="8">
        <f>D41+F41+'07-08-21'!H41</f>
        <v>1248.68</v>
      </c>
      <c r="I41" s="8">
        <f>E41+G41+'07-08-21'!I41</f>
        <v>14.99</v>
      </c>
      <c r="J41" s="103">
        <f t="shared" ref="J41" si="19">H41+I41</f>
        <v>1263.67</v>
      </c>
      <c r="K41" s="92">
        <f t="shared" ref="K41" si="20">C41-J41</f>
        <v>1616.33</v>
      </c>
      <c r="L41" s="8">
        <f t="shared" ref="L41" si="21">C41-((J41/2)*26.0714285714285)</f>
        <v>-13592.841071428527</v>
      </c>
    </row>
    <row r="42" spans="1:12" s="60" customFormat="1" ht="11.25" customHeight="1" x14ac:dyDescent="0.25">
      <c r="A42" s="18" t="s">
        <v>89</v>
      </c>
      <c r="B42" s="105">
        <v>55110100</v>
      </c>
      <c r="C42" s="103">
        <v>1332</v>
      </c>
      <c r="D42" s="32">
        <v>0</v>
      </c>
      <c r="E42" s="32">
        <v>0</v>
      </c>
      <c r="F42" s="32">
        <v>0</v>
      </c>
      <c r="G42" s="32">
        <v>0</v>
      </c>
      <c r="H42" s="8">
        <f>D42+F42+'07-08-21'!H42</f>
        <v>0</v>
      </c>
      <c r="I42" s="8">
        <f>E42+G42+'07-08-21'!I42</f>
        <v>0</v>
      </c>
      <c r="J42" s="103">
        <f t="shared" ref="J42" si="22">H42+I42</f>
        <v>0</v>
      </c>
      <c r="K42" s="92">
        <f t="shared" ref="K42" si="23">C42-J42</f>
        <v>1332</v>
      </c>
      <c r="L42" s="8">
        <f t="shared" ref="L42" si="24">C42-((J42/2)*26.0714285714285)</f>
        <v>1332</v>
      </c>
    </row>
    <row r="43" spans="1:12" s="54" customFormat="1" ht="11.45" customHeight="1" x14ac:dyDescent="0.25">
      <c r="A43" s="18" t="s">
        <v>93</v>
      </c>
      <c r="B43" s="61" t="s">
        <v>47</v>
      </c>
      <c r="C43" s="8">
        <f>1734.35+7700-7700</f>
        <v>1734.3500000000004</v>
      </c>
      <c r="D43" s="62">
        <v>60</v>
      </c>
      <c r="E43" s="62">
        <v>0.72</v>
      </c>
      <c r="F43" s="62">
        <v>0</v>
      </c>
      <c r="G43" s="62">
        <v>0</v>
      </c>
      <c r="H43" s="8">
        <f>D43+F43+'07-08-21'!H43</f>
        <v>72</v>
      </c>
      <c r="I43" s="8">
        <f>E43+G43+'07-08-21'!I43</f>
        <v>0.86</v>
      </c>
      <c r="J43" s="103">
        <f t="shared" si="17"/>
        <v>72.86</v>
      </c>
      <c r="K43" s="8">
        <f>C43-J43</f>
        <v>1661.4900000000005</v>
      </c>
      <c r="L43" s="8">
        <f t="shared" si="16"/>
        <v>784.56785714286013</v>
      </c>
    </row>
    <row r="44" spans="1:12" s="54" customFormat="1" ht="11.45" hidden="1" customHeight="1" x14ac:dyDescent="0.25">
      <c r="A44" s="18" t="s">
        <v>55</v>
      </c>
      <c r="B44" s="61" t="s">
        <v>56</v>
      </c>
      <c r="C44" s="8">
        <v>1481.58</v>
      </c>
      <c r="D44" s="33"/>
      <c r="E44" s="33"/>
      <c r="F44" s="33"/>
      <c r="G44" s="33"/>
      <c r="H44" s="8">
        <f>D44+F44+'07-08-21'!H44</f>
        <v>0</v>
      </c>
      <c r="I44" s="8">
        <f>E44+G44+'07-08-21'!I44</f>
        <v>0</v>
      </c>
      <c r="J44" s="8">
        <f t="shared" si="17"/>
        <v>0</v>
      </c>
      <c r="K44" s="8">
        <f t="shared" ref="K44" si="25">C44-J44</f>
        <v>1481.58</v>
      </c>
      <c r="L44" s="8">
        <f t="shared" si="16"/>
        <v>1481.58</v>
      </c>
    </row>
    <row r="45" spans="1:12" s="98" customFormat="1" ht="11.45" customHeight="1" x14ac:dyDescent="0.25">
      <c r="A45" s="94" t="s">
        <v>94</v>
      </c>
      <c r="B45" s="95" t="s">
        <v>95</v>
      </c>
      <c r="C45" s="96">
        <v>7700</v>
      </c>
      <c r="D45" s="97">
        <v>0</v>
      </c>
      <c r="E45" s="97">
        <v>0</v>
      </c>
      <c r="F45" s="97">
        <v>0</v>
      </c>
      <c r="G45" s="97">
        <v>0</v>
      </c>
      <c r="H45" s="96">
        <f>D45+F45</f>
        <v>0</v>
      </c>
      <c r="I45" s="96">
        <f>E45+G45</f>
        <v>0</v>
      </c>
      <c r="J45" s="96">
        <f t="shared" ref="J45" si="26">H45+I45</f>
        <v>0</v>
      </c>
      <c r="K45" s="96">
        <f>C45-J45</f>
        <v>7700</v>
      </c>
      <c r="L45" s="96">
        <f t="shared" ref="L45" si="27">C45-((J45/2)*26.0714285714285)</f>
        <v>7700</v>
      </c>
    </row>
    <row r="46" spans="1:12" s="54" customFormat="1" ht="11.45" customHeight="1" x14ac:dyDescent="0.25">
      <c r="A46" s="18" t="s">
        <v>6</v>
      </c>
      <c r="B46" s="61" t="s">
        <v>5</v>
      </c>
      <c r="C46" s="8">
        <v>4270.8500000000004</v>
      </c>
      <c r="D46" s="33">
        <v>0</v>
      </c>
      <c r="E46" s="33">
        <v>0</v>
      </c>
      <c r="F46" s="33">
        <v>971.88</v>
      </c>
      <c r="G46" s="33">
        <v>72.89</v>
      </c>
      <c r="H46" s="8">
        <f>D46+F46+'07-08-21'!H45</f>
        <v>1254.3800000000001</v>
      </c>
      <c r="I46" s="8">
        <f>E46+G46+'07-08-21'!I45</f>
        <v>94.07</v>
      </c>
      <c r="J46" s="103">
        <f t="shared" si="17"/>
        <v>1348.45</v>
      </c>
      <c r="K46" s="8">
        <f>C46-J46</f>
        <v>2922.4000000000005</v>
      </c>
      <c r="L46" s="8">
        <f t="shared" si="16"/>
        <v>-13307.15892857138</v>
      </c>
    </row>
    <row r="47" spans="1:12" s="54" customFormat="1" ht="11.45" hidden="1" customHeight="1" x14ac:dyDescent="0.25">
      <c r="A47" s="18" t="s">
        <v>8</v>
      </c>
      <c r="B47" s="61" t="s">
        <v>7</v>
      </c>
      <c r="C47" s="8">
        <v>0</v>
      </c>
      <c r="D47" s="33"/>
      <c r="E47" s="33"/>
      <c r="F47" s="33"/>
      <c r="G47" s="33"/>
      <c r="H47" s="8">
        <f>D47+F47+'07-08-21'!H46</f>
        <v>0</v>
      </c>
      <c r="I47" s="8">
        <f>E47+G47+'07-08-21'!I46</f>
        <v>0</v>
      </c>
      <c r="J47" s="8">
        <f t="shared" si="17"/>
        <v>0</v>
      </c>
      <c r="K47" s="8">
        <f t="shared" si="18"/>
        <v>0</v>
      </c>
      <c r="L47" s="8">
        <f t="shared" si="16"/>
        <v>0</v>
      </c>
    </row>
    <row r="48" spans="1:12" s="54" customFormat="1" ht="11.45" hidden="1" customHeight="1" x14ac:dyDescent="0.25">
      <c r="A48" s="18" t="s">
        <v>50</v>
      </c>
      <c r="B48" s="61" t="s">
        <v>53</v>
      </c>
      <c r="C48" s="8">
        <v>202.01</v>
      </c>
      <c r="D48" s="33"/>
      <c r="E48" s="33"/>
      <c r="F48" s="33"/>
      <c r="G48" s="33"/>
      <c r="H48" s="8">
        <f>D48+F48+'07-08-21'!H47</f>
        <v>0</v>
      </c>
      <c r="I48" s="8">
        <f>E48+G48+'07-08-21'!I47</f>
        <v>0</v>
      </c>
      <c r="J48" s="8">
        <f t="shared" si="17"/>
        <v>0</v>
      </c>
      <c r="K48" s="8">
        <f t="shared" si="18"/>
        <v>202.01</v>
      </c>
      <c r="L48" s="8">
        <f t="shared" si="16"/>
        <v>202.01</v>
      </c>
    </row>
    <row r="49" spans="1:12" s="54" customFormat="1" ht="11.45" hidden="1" customHeight="1" x14ac:dyDescent="0.25">
      <c r="A49" s="18" t="s">
        <v>51</v>
      </c>
      <c r="B49" s="61" t="s">
        <v>52</v>
      </c>
      <c r="C49" s="8"/>
      <c r="D49" s="33"/>
      <c r="E49" s="33"/>
      <c r="F49" s="33"/>
      <c r="G49" s="33"/>
      <c r="H49" s="8">
        <f>D49+F49+'07-08-21'!H48</f>
        <v>0</v>
      </c>
      <c r="I49" s="8">
        <f>E49+G49+'07-08-21'!I48</f>
        <v>0</v>
      </c>
      <c r="J49" s="8">
        <f t="shared" si="17"/>
        <v>0</v>
      </c>
      <c r="K49" s="8">
        <f t="shared" si="18"/>
        <v>0</v>
      </c>
      <c r="L49" s="8">
        <f t="shared" si="16"/>
        <v>0</v>
      </c>
    </row>
    <row r="50" spans="1:12" s="63" customFormat="1" ht="11.25" hidden="1" customHeight="1" x14ac:dyDescent="0.25">
      <c r="A50" s="18" t="s">
        <v>45</v>
      </c>
      <c r="B50" s="61" t="s">
        <v>46</v>
      </c>
      <c r="C50" s="62">
        <v>3655.06</v>
      </c>
      <c r="D50" s="33"/>
      <c r="E50" s="33"/>
      <c r="F50" s="33"/>
      <c r="G50" s="33"/>
      <c r="H50" s="8">
        <f>D50+F50+'07-08-21'!H49</f>
        <v>0</v>
      </c>
      <c r="I50" s="8">
        <f>E50+G50+'07-08-21'!I49</f>
        <v>0</v>
      </c>
      <c r="J50" s="8">
        <f t="shared" si="17"/>
        <v>0</v>
      </c>
      <c r="K50" s="8">
        <f>C50-J50</f>
        <v>3655.06</v>
      </c>
      <c r="L50" s="8">
        <f t="shared" si="16"/>
        <v>3655.06</v>
      </c>
    </row>
    <row r="51" spans="1:12" s="63" customFormat="1" ht="11.25" hidden="1" customHeight="1" x14ac:dyDescent="0.25">
      <c r="A51" s="18" t="s">
        <v>61</v>
      </c>
      <c r="B51" s="61" t="s">
        <v>60</v>
      </c>
      <c r="C51" s="62">
        <v>0</v>
      </c>
      <c r="D51" s="33"/>
      <c r="E51" s="33"/>
      <c r="F51" s="33"/>
      <c r="G51" s="33"/>
      <c r="H51" s="8">
        <f>D51+F51+'07-08-21'!H50</f>
        <v>0</v>
      </c>
      <c r="I51" s="8">
        <f>E51+G51+'07-08-21'!I50</f>
        <v>0</v>
      </c>
      <c r="J51" s="8">
        <f t="shared" si="17"/>
        <v>0</v>
      </c>
      <c r="K51" s="8">
        <f>C51-J51</f>
        <v>0</v>
      </c>
      <c r="L51" s="8">
        <f t="shared" si="16"/>
        <v>0</v>
      </c>
    </row>
    <row r="52" spans="1:12" s="63" customFormat="1" ht="11.25" hidden="1" customHeight="1" x14ac:dyDescent="0.25">
      <c r="A52" s="18" t="s">
        <v>67</v>
      </c>
      <c r="B52" s="61" t="s">
        <v>66</v>
      </c>
      <c r="C52" s="62">
        <v>3313.36</v>
      </c>
      <c r="D52" s="62"/>
      <c r="E52" s="62"/>
      <c r="F52" s="62"/>
      <c r="G52" s="62"/>
      <c r="H52" s="8">
        <f>D52+F52+'07-08-21'!H51</f>
        <v>0</v>
      </c>
      <c r="I52" s="8">
        <f>E52+G52+'07-08-21'!I51</f>
        <v>0</v>
      </c>
      <c r="J52" s="8">
        <f t="shared" si="17"/>
        <v>0</v>
      </c>
      <c r="K52" s="8">
        <f>C52-J52</f>
        <v>3313.36</v>
      </c>
      <c r="L52" s="8">
        <f t="shared" si="16"/>
        <v>3313.36</v>
      </c>
    </row>
    <row r="53" spans="1:12" s="63" customFormat="1" ht="11.25" customHeight="1" x14ac:dyDescent="0.25">
      <c r="A53" s="18" t="s">
        <v>68</v>
      </c>
      <c r="B53" s="61" t="s">
        <v>69</v>
      </c>
      <c r="C53" s="62">
        <v>4193.1400000000003</v>
      </c>
      <c r="D53" s="62">
        <v>0</v>
      </c>
      <c r="E53" s="62">
        <v>0</v>
      </c>
      <c r="F53" s="62">
        <v>0</v>
      </c>
      <c r="G53" s="62">
        <v>0</v>
      </c>
      <c r="H53" s="8">
        <f>D53+F53+'07-08-21'!H52</f>
        <v>2.4</v>
      </c>
      <c r="I53" s="8">
        <f>E53+G53+'07-08-21'!I52</f>
        <v>0.02</v>
      </c>
      <c r="J53" s="103">
        <f t="shared" si="17"/>
        <v>2.42</v>
      </c>
      <c r="K53" s="8">
        <f>C53-J53</f>
        <v>4190.72</v>
      </c>
      <c r="L53" s="8">
        <f t="shared" si="16"/>
        <v>4161.5935714285715</v>
      </c>
    </row>
    <row r="54" spans="1:12" s="63" customFormat="1" ht="11.25" customHeight="1" x14ac:dyDescent="0.25">
      <c r="A54" s="18" t="s">
        <v>73</v>
      </c>
      <c r="B54" s="61" t="s">
        <v>72</v>
      </c>
      <c r="C54" s="62">
        <v>4193.1400000000003</v>
      </c>
      <c r="D54" s="62">
        <v>495</v>
      </c>
      <c r="E54" s="62">
        <v>5.94</v>
      </c>
      <c r="F54" s="62">
        <f>345+465</f>
        <v>810</v>
      </c>
      <c r="G54" s="62">
        <f>25.87+34.87</f>
        <v>60.739999999999995</v>
      </c>
      <c r="H54" s="8">
        <f>D54+F54+'07-08-21'!H53</f>
        <v>1749</v>
      </c>
      <c r="I54" s="8">
        <f>E54+G54+'07-08-21'!I53</f>
        <v>85.22999999999999</v>
      </c>
      <c r="J54" s="103">
        <f t="shared" si="17"/>
        <v>1834.23</v>
      </c>
      <c r="K54" s="8">
        <f>C54-J54</f>
        <v>2358.9100000000003</v>
      </c>
      <c r="L54" s="8">
        <f t="shared" si="16"/>
        <v>-19717.358214285647</v>
      </c>
    </row>
    <row r="55" spans="1:12" ht="21.6" customHeight="1" x14ac:dyDescent="0.25">
      <c r="A55" s="119" t="s">
        <v>88</v>
      </c>
      <c r="B55" s="120"/>
      <c r="C55" s="7">
        <f>SUM(C34:C50)</f>
        <v>30876.6</v>
      </c>
      <c r="D55" s="7"/>
      <c r="E55" s="7"/>
      <c r="F55" s="7"/>
      <c r="G55" s="7"/>
      <c r="H55" s="7">
        <f>SUM(H34:H51)</f>
        <v>3187.32</v>
      </c>
      <c r="I55" s="7">
        <f>SUM(I34:I51)</f>
        <v>123.71259359999999</v>
      </c>
      <c r="J55" s="7">
        <f>SUM(J34:J51)</f>
        <v>3311.0325935999999</v>
      </c>
      <c r="K55" s="7">
        <f>SUM(K34:K51)</f>
        <v>27565.567406400001</v>
      </c>
      <c r="L55" s="7">
        <f>SUM(L34:L51)</f>
        <v>-12285.074880857026</v>
      </c>
    </row>
    <row r="56" spans="1:12" ht="10.9" customHeight="1" x14ac:dyDescent="0.25">
      <c r="A56" s="13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0.9" customHeight="1" x14ac:dyDescent="0.25">
      <c r="A57" s="13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s="53" customFormat="1" ht="10.9" customHeight="1" x14ac:dyDescent="0.25">
      <c r="A58" s="17" t="s">
        <v>4</v>
      </c>
      <c r="B58" s="21" t="s">
        <v>3</v>
      </c>
      <c r="C58" s="8">
        <v>62583</v>
      </c>
      <c r="D58" s="9">
        <f>668.23+550.27</f>
        <v>1218.5</v>
      </c>
      <c r="E58" s="9">
        <f>8.01+6.6</f>
        <v>14.61</v>
      </c>
      <c r="F58" s="9">
        <v>559.38</v>
      </c>
      <c r="G58" s="9">
        <v>41.95</v>
      </c>
      <c r="H58" s="8">
        <f>D58+F58+'07-08-21'!H57</f>
        <v>2407.44</v>
      </c>
      <c r="I58" s="8">
        <f>E58+G58+'07-08-21'!I57</f>
        <v>77.570000000000007</v>
      </c>
      <c r="J58" s="103">
        <f t="shared" ref="J58:J59" si="28">H58+I58</f>
        <v>2485.0100000000002</v>
      </c>
      <c r="K58" s="8">
        <f>C58-J58</f>
        <v>60097.99</v>
      </c>
      <c r="L58" s="8">
        <f t="shared" ref="L58:L59" si="29">C58-((J58/2)*26.0714285714285)</f>
        <v>30189.119642857229</v>
      </c>
    </row>
    <row r="59" spans="1:12" s="53" customFormat="1" ht="10.9" customHeight="1" x14ac:dyDescent="0.25">
      <c r="A59" s="17" t="s">
        <v>64</v>
      </c>
      <c r="B59" s="21" t="s">
        <v>63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D59+F59+'07-08-21'!H58</f>
        <v>0</v>
      </c>
      <c r="I59" s="8">
        <f>E59+G59+'07-08-21'!I58</f>
        <v>0</v>
      </c>
      <c r="J59" s="8">
        <f t="shared" si="28"/>
        <v>0</v>
      </c>
      <c r="K59" s="8">
        <f>C59-J59</f>
        <v>0</v>
      </c>
      <c r="L59" s="8">
        <f t="shared" si="29"/>
        <v>0</v>
      </c>
    </row>
    <row r="60" spans="1:12" ht="21.6" customHeight="1" x14ac:dyDescent="0.25">
      <c r="A60" s="16" t="s">
        <v>2</v>
      </c>
      <c r="B60" s="15"/>
      <c r="C60" s="14">
        <f>C58+C59</f>
        <v>62583</v>
      </c>
      <c r="D60" s="14">
        <f t="shared" ref="D60:L60" si="30">D58+D59</f>
        <v>1218.5</v>
      </c>
      <c r="E60" s="14">
        <f t="shared" si="30"/>
        <v>14.61</v>
      </c>
      <c r="F60" s="14">
        <f t="shared" si="30"/>
        <v>559.38</v>
      </c>
      <c r="G60" s="14">
        <f t="shared" si="30"/>
        <v>41.95</v>
      </c>
      <c r="H60" s="14">
        <f t="shared" si="30"/>
        <v>2407.44</v>
      </c>
      <c r="I60" s="14">
        <f t="shared" si="30"/>
        <v>77.570000000000007</v>
      </c>
      <c r="J60" s="14">
        <f t="shared" si="30"/>
        <v>2485.0100000000002</v>
      </c>
      <c r="K60" s="14">
        <f t="shared" si="30"/>
        <v>60097.99</v>
      </c>
      <c r="L60" s="14">
        <f t="shared" si="30"/>
        <v>30189.119642857229</v>
      </c>
    </row>
    <row r="61" spans="1:12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s="53" customFormat="1" ht="10.9" customHeight="1" x14ac:dyDescent="0.25">
      <c r="A63" s="17" t="s">
        <v>1</v>
      </c>
      <c r="B63" s="21">
        <v>55180000</v>
      </c>
      <c r="C63" s="103">
        <v>37736</v>
      </c>
      <c r="D63" s="9">
        <v>0</v>
      </c>
      <c r="E63" s="9">
        <v>0</v>
      </c>
      <c r="F63" s="9">
        <v>73.099999999999994</v>
      </c>
      <c r="G63" s="9">
        <v>5.48</v>
      </c>
      <c r="H63" s="8">
        <f>D63+F63+'07-08-21'!H62</f>
        <v>336.26</v>
      </c>
      <c r="I63" s="8">
        <f>E63+G63+'07-08-21'!I62</f>
        <v>25.21</v>
      </c>
      <c r="J63" s="103">
        <f t="shared" ref="J63" si="31">H63+I63</f>
        <v>361.46999999999997</v>
      </c>
      <c r="K63" s="8">
        <f>C63-J63</f>
        <v>37374.53</v>
      </c>
      <c r="L63" s="8">
        <f>C63-((J63/2)*26.0714285714285)</f>
        <v>33023.980357142871</v>
      </c>
    </row>
    <row r="64" spans="1:12" s="3" customFormat="1" ht="21.6" customHeight="1" x14ac:dyDescent="0.25">
      <c r="A64" s="119" t="s">
        <v>0</v>
      </c>
      <c r="B64" s="120"/>
      <c r="C64" s="7">
        <f t="shared" ref="C64:L64" si="32">SUM(C63)</f>
        <v>37736</v>
      </c>
      <c r="D64" s="7">
        <f t="shared" si="32"/>
        <v>0</v>
      </c>
      <c r="E64" s="7">
        <f t="shared" si="32"/>
        <v>0</v>
      </c>
      <c r="F64" s="7">
        <f t="shared" si="32"/>
        <v>73.099999999999994</v>
      </c>
      <c r="G64" s="7">
        <f t="shared" si="32"/>
        <v>5.48</v>
      </c>
      <c r="H64" s="7">
        <f t="shared" si="32"/>
        <v>336.26</v>
      </c>
      <c r="I64" s="7">
        <f t="shared" si="32"/>
        <v>25.21</v>
      </c>
      <c r="J64" s="7">
        <f t="shared" si="32"/>
        <v>361.46999999999997</v>
      </c>
      <c r="K64" s="7">
        <f t="shared" si="32"/>
        <v>37374.53</v>
      </c>
      <c r="L64" s="7">
        <f t="shared" si="32"/>
        <v>33023.980357142871</v>
      </c>
    </row>
    <row r="65" spans="1:17" s="3" customFormat="1" ht="11.25" customHeight="1" x14ac:dyDescent="0.25">
      <c r="A65" s="6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7" s="2" customFormat="1" ht="10.5" customHeight="1" x14ac:dyDescent="0.25">
      <c r="A66" s="122" t="s">
        <v>83</v>
      </c>
      <c r="B66" s="122"/>
      <c r="C66" s="122"/>
      <c r="D66" s="122"/>
      <c r="E66" s="122"/>
      <c r="F66" s="122"/>
      <c r="G66" s="89">
        <v>5955</v>
      </c>
      <c r="M66" s="121"/>
      <c r="N66" s="121"/>
      <c r="O66" s="121"/>
      <c r="P66" s="121"/>
      <c r="Q66" s="89"/>
    </row>
    <row r="67" spans="1:17" s="2" customFormat="1" ht="10.5" customHeight="1" x14ac:dyDescent="0.25">
      <c r="A67" s="122" t="s">
        <v>90</v>
      </c>
      <c r="B67" s="122"/>
      <c r="C67" s="122"/>
      <c r="D67" s="122"/>
      <c r="E67" s="122"/>
      <c r="F67" s="122"/>
      <c r="G67" s="89">
        <v>1332</v>
      </c>
      <c r="M67" s="121"/>
      <c r="N67" s="121"/>
      <c r="O67" s="121"/>
      <c r="P67" s="121"/>
      <c r="Q67" s="89"/>
    </row>
    <row r="68" spans="1:17" s="2" customFormat="1" ht="10.5" customHeight="1" x14ac:dyDescent="0.25">
      <c r="A68" s="122" t="s">
        <v>86</v>
      </c>
      <c r="B68" s="122"/>
      <c r="C68" s="122"/>
      <c r="D68" s="122"/>
      <c r="E68" s="122"/>
      <c r="F68" s="122"/>
      <c r="G68" s="89">
        <v>6941</v>
      </c>
      <c r="M68" s="121"/>
      <c r="N68" s="121"/>
      <c r="O68" s="121"/>
      <c r="P68" s="121"/>
      <c r="Q68" s="89"/>
    </row>
    <row r="69" spans="1:17" s="2" customFormat="1" ht="10.5" customHeight="1" x14ac:dyDescent="0.25">
      <c r="A69" s="122" t="s">
        <v>85</v>
      </c>
      <c r="B69" s="122"/>
      <c r="C69" s="122"/>
      <c r="D69" s="122"/>
      <c r="E69" s="122"/>
      <c r="F69" s="122"/>
      <c r="G69" s="89">
        <v>10800</v>
      </c>
      <c r="M69" s="121"/>
      <c r="N69" s="121"/>
      <c r="O69" s="121"/>
      <c r="P69" s="121"/>
      <c r="Q69" s="89"/>
    </row>
    <row r="70" spans="1:17" s="2" customFormat="1" ht="10.5" customHeight="1" x14ac:dyDescent="0.25">
      <c r="A70" s="122" t="s">
        <v>84</v>
      </c>
      <c r="B70" s="122"/>
      <c r="C70" s="122"/>
      <c r="D70" s="122"/>
      <c r="E70" s="122"/>
      <c r="F70" s="122"/>
      <c r="G70" s="89">
        <v>2880</v>
      </c>
      <c r="M70" s="121"/>
      <c r="N70" s="121"/>
      <c r="O70" s="121"/>
      <c r="P70" s="121"/>
      <c r="Q70" s="89"/>
    </row>
    <row r="71" spans="1:17" s="2" customFormat="1" ht="10.5" customHeight="1" x14ac:dyDescent="0.25">
      <c r="A71" s="122" t="s">
        <v>87</v>
      </c>
      <c r="B71" s="122"/>
      <c r="C71" s="122"/>
      <c r="D71" s="122"/>
      <c r="E71" s="122"/>
      <c r="F71" s="122"/>
      <c r="G71" s="89">
        <v>6450</v>
      </c>
      <c r="M71" s="121"/>
      <c r="N71" s="121"/>
      <c r="O71" s="121"/>
      <c r="P71" s="121"/>
      <c r="Q71" s="89"/>
    </row>
    <row r="72" spans="1:17" s="2" customFormat="1" ht="10.5" customHeight="1" x14ac:dyDescent="0.25">
      <c r="A72" s="122" t="s">
        <v>92</v>
      </c>
      <c r="B72" s="122"/>
      <c r="C72" s="122"/>
      <c r="D72" s="122"/>
      <c r="E72" s="122"/>
      <c r="F72" s="122"/>
      <c r="G72" s="89">
        <v>7700</v>
      </c>
      <c r="M72" s="121"/>
      <c r="N72" s="121"/>
      <c r="O72" s="121"/>
      <c r="P72" s="121"/>
      <c r="Q72" s="89"/>
    </row>
    <row r="73" spans="1:17" s="2" customFormat="1" ht="10.5" customHeight="1" x14ac:dyDescent="0.25">
      <c r="A73" s="122" t="s">
        <v>96</v>
      </c>
      <c r="B73" s="122"/>
      <c r="C73" s="122"/>
      <c r="D73" s="122"/>
      <c r="E73" s="122"/>
      <c r="F73" s="122"/>
      <c r="G73" s="89">
        <v>7700</v>
      </c>
      <c r="M73" s="121"/>
      <c r="N73" s="121"/>
      <c r="O73" s="121"/>
      <c r="P73" s="121"/>
      <c r="Q73" s="89"/>
    </row>
  </sheetData>
  <mergeCells count="22">
    <mergeCell ref="A73:F73"/>
    <mergeCell ref="M73:P73"/>
    <mergeCell ref="A72:F72"/>
    <mergeCell ref="M72:P72"/>
    <mergeCell ref="M71:P71"/>
    <mergeCell ref="A71:F71"/>
    <mergeCell ref="M66:P66"/>
    <mergeCell ref="M67:P67"/>
    <mergeCell ref="M68:P68"/>
    <mergeCell ref="M69:P69"/>
    <mergeCell ref="M70:P70"/>
    <mergeCell ref="A70:F70"/>
    <mergeCell ref="A17:B17"/>
    <mergeCell ref="A23:B23"/>
    <mergeCell ref="A28:B28"/>
    <mergeCell ref="A31:B31"/>
    <mergeCell ref="A55:B55"/>
    <mergeCell ref="A64:B64"/>
    <mergeCell ref="A66:F66"/>
    <mergeCell ref="A67:F67"/>
    <mergeCell ref="A68:F68"/>
    <mergeCell ref="A69:F69"/>
  </mergeCells>
  <pageMargins left="0.25" right="0" top="0.4" bottom="0" header="0.3" footer="0"/>
  <pageSetup scale="84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4D3A-9731-41AF-8B3D-D2CF9F35F421}">
  <sheetPr>
    <pageSetUpPr fitToPage="1"/>
  </sheetPr>
  <dimension ref="A1:S96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148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402.5</v>
      </c>
      <c r="E3" s="32">
        <v>4.83</v>
      </c>
      <c r="F3" s="32">
        <v>0</v>
      </c>
      <c r="G3" s="32">
        <v>0</v>
      </c>
      <c r="H3" s="8">
        <f>D3+F3+'03-17-22'!H3</f>
        <v>3137.5</v>
      </c>
      <c r="I3" s="8">
        <f>E3+G3+'03-17-22'!I3</f>
        <v>37.629999999999995</v>
      </c>
      <c r="J3" s="8">
        <f>H3+I3</f>
        <v>3175.13</v>
      </c>
      <c r="K3" s="8">
        <f>C3-J3</f>
        <v>146.46000000000004</v>
      </c>
      <c r="L3" s="8">
        <f>C3-((J3/20)*26.0714285714285)</f>
        <v>-817.4187499999889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387.5</v>
      </c>
      <c r="E4" s="33">
        <v>4.6399999999999997</v>
      </c>
      <c r="F4" s="33">
        <v>0</v>
      </c>
      <c r="G4" s="33">
        <v>0</v>
      </c>
      <c r="H4" s="8">
        <f>D4+F4+'03-17-22'!H4</f>
        <v>34633.31</v>
      </c>
      <c r="I4" s="8">
        <f>E4+G4+'03-17-22'!I4</f>
        <v>2359.84</v>
      </c>
      <c r="J4" s="8">
        <f t="shared" ref="J4:J17" si="0">H4+I4</f>
        <v>36993.149999999994</v>
      </c>
      <c r="K4" s="8">
        <f t="shared" ref="K4:K17" si="1">C4-J4</f>
        <v>29006.850000000006</v>
      </c>
      <c r="L4" s="8">
        <f t="shared" ref="L4:L17" si="2">C4-((J4/20)*26.0714285714285)</f>
        <v>17776.786607142996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D5+F5+'03-17-22'!H5</f>
        <v>0</v>
      </c>
      <c r="I5" s="8">
        <f>E5+G5+'03-17-22'!I5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D6+F6+'03-17-22'!H6</f>
        <v>4207.5</v>
      </c>
      <c r="I6" s="8">
        <f>E6+G6+'03-17-22'!I6</f>
        <v>50.45000000000001</v>
      </c>
      <c r="J6" s="8">
        <f t="shared" si="0"/>
        <v>4257.95</v>
      </c>
      <c r="K6" s="8">
        <f t="shared" si="1"/>
        <v>2192.0500000000002</v>
      </c>
      <c r="L6" s="8">
        <f t="shared" si="2"/>
        <v>899.45803571430224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9">
        <v>1199.3399999999999</v>
      </c>
      <c r="E7" s="9">
        <v>14.39</v>
      </c>
      <c r="F7" s="9">
        <v>0</v>
      </c>
      <c r="G7" s="9">
        <v>0</v>
      </c>
      <c r="H7" s="8">
        <f>D7+F7+'03-17-22'!H7</f>
        <v>15747.650000000003</v>
      </c>
      <c r="I7" s="8">
        <f>E7+G7+'03-17-22'!I7</f>
        <v>188.7999999999999</v>
      </c>
      <c r="J7" s="8">
        <f t="shared" si="0"/>
        <v>15936.450000000003</v>
      </c>
      <c r="K7" s="8">
        <f t="shared" si="1"/>
        <v>8712.5499999999975</v>
      </c>
      <c r="L7" s="8">
        <f t="shared" si="2"/>
        <v>3874.6991071429111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f>119.03+974.77</f>
        <v>1093.8</v>
      </c>
      <c r="E8" s="9">
        <f>1.42+11.69</f>
        <v>13.11</v>
      </c>
      <c r="F8" s="9">
        <v>0</v>
      </c>
      <c r="G8" s="9">
        <v>0</v>
      </c>
      <c r="H8" s="8">
        <f>D8+F8+'03-17-22'!H8</f>
        <v>11111.32</v>
      </c>
      <c r="I8" s="8">
        <f>E8+G8+'03-17-22'!I8</f>
        <v>133.12</v>
      </c>
      <c r="J8" s="8">
        <f t="shared" si="0"/>
        <v>11244.44</v>
      </c>
      <c r="K8" s="8">
        <f t="shared" si="1"/>
        <v>6729.5599999999995</v>
      </c>
      <c r="L8" s="8">
        <f t="shared" si="2"/>
        <v>3316.0692857143276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f>-150+673.8</f>
        <v>523.79999999999995</v>
      </c>
      <c r="E9" s="9">
        <f>-1.8+8.08</f>
        <v>6.28</v>
      </c>
      <c r="F9" s="9">
        <v>0</v>
      </c>
      <c r="G9" s="9">
        <v>0</v>
      </c>
      <c r="H9" s="8">
        <f>D9+F9+'03-17-22'!H9</f>
        <v>13372.98</v>
      </c>
      <c r="I9" s="8">
        <f>E9+G9+'03-17-22'!I9</f>
        <v>231.73999999999995</v>
      </c>
      <c r="J9" s="8">
        <f t="shared" si="0"/>
        <v>13604.72</v>
      </c>
      <c r="K9" s="8">
        <f t="shared" si="1"/>
        <v>4369.2800000000007</v>
      </c>
      <c r="L9" s="8">
        <f t="shared" si="2"/>
        <v>239.27571428576266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D10+F10+'03-17-22'!H10</f>
        <v>1375.3999999999999</v>
      </c>
      <c r="I10" s="8">
        <f>E10+G10+'03-17-22'!I10</f>
        <v>16.439999999999998</v>
      </c>
      <c r="J10" s="8">
        <f t="shared" si="0"/>
        <v>1391.84</v>
      </c>
      <c r="K10" s="8">
        <f t="shared" si="1"/>
        <v>717.16000000000008</v>
      </c>
      <c r="L10" s="8">
        <f t="shared" si="2"/>
        <v>294.63714285714786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829.82</v>
      </c>
      <c r="E11" s="9">
        <v>9.9499999999999993</v>
      </c>
      <c r="F11" s="9">
        <v>0</v>
      </c>
      <c r="G11" s="9">
        <v>0</v>
      </c>
      <c r="H11" s="8">
        <f>D11+F11+'03-17-22'!H11</f>
        <v>14596.489999999998</v>
      </c>
      <c r="I11" s="8">
        <f>E11+G11+'03-17-22'!I11</f>
        <v>267.88</v>
      </c>
      <c r="J11" s="8">
        <f t="shared" si="0"/>
        <v>14864.369999999997</v>
      </c>
      <c r="K11" s="8">
        <f t="shared" si="1"/>
        <v>9465.6300000000028</v>
      </c>
      <c r="L11" s="8">
        <f t="shared" si="2"/>
        <v>4953.2319642857728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643.52</v>
      </c>
      <c r="E12" s="8">
        <v>7.72</v>
      </c>
      <c r="F12" s="8">
        <v>0</v>
      </c>
      <c r="G12" s="8">
        <v>0</v>
      </c>
      <c r="H12" s="8">
        <f>D12+F12+'03-17-22'!H12</f>
        <v>22885.98</v>
      </c>
      <c r="I12" s="8">
        <f>E12+G12+'03-17-22'!I12</f>
        <v>352.39000000000004</v>
      </c>
      <c r="J12" s="8">
        <f t="shared" si="0"/>
        <v>23238.37</v>
      </c>
      <c r="K12" s="8">
        <f t="shared" si="1"/>
        <v>10490.060000000001</v>
      </c>
      <c r="L12" s="8">
        <f t="shared" si="2"/>
        <v>3435.5548214286573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1488.99</v>
      </c>
      <c r="E13" s="8">
        <v>17.86</v>
      </c>
      <c r="F13" s="8">
        <v>0</v>
      </c>
      <c r="G13" s="8">
        <v>0</v>
      </c>
      <c r="H13" s="8">
        <f>D13+F13+'03-17-22'!H13</f>
        <v>30522.380000000005</v>
      </c>
      <c r="I13" s="8">
        <f>E13+G13+'03-17-22'!I13</f>
        <v>368.31</v>
      </c>
      <c r="J13" s="8">
        <f t="shared" si="0"/>
        <v>30890.690000000006</v>
      </c>
      <c r="K13" s="8">
        <f t="shared" si="1"/>
        <v>11850.309999999994</v>
      </c>
      <c r="L13" s="8">
        <f t="shared" si="2"/>
        <v>2472.7791071429674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525.65</v>
      </c>
      <c r="E14" s="9">
        <v>6.3</v>
      </c>
      <c r="F14" s="9">
        <v>0</v>
      </c>
      <c r="G14" s="9">
        <v>0</v>
      </c>
      <c r="H14" s="8">
        <f>D14+F14+'03-17-22'!H14</f>
        <v>10563.2</v>
      </c>
      <c r="I14" s="8">
        <f>E14+G14+'03-17-22'!I14</f>
        <v>126.61999999999999</v>
      </c>
      <c r="J14" s="8">
        <f t="shared" si="0"/>
        <v>10689.820000000002</v>
      </c>
      <c r="K14" s="8">
        <f t="shared" si="1"/>
        <v>13483.179999999998</v>
      </c>
      <c r="L14" s="8">
        <f t="shared" si="2"/>
        <v>10238.056071428608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2">
        <v>0</v>
      </c>
      <c r="E15" s="32">
        <v>0</v>
      </c>
      <c r="F15" s="32">
        <v>0</v>
      </c>
      <c r="G15" s="32">
        <v>0</v>
      </c>
      <c r="H15" s="8">
        <f>D15+F15+'03-17-22'!H15</f>
        <v>6825</v>
      </c>
      <c r="I15" s="8">
        <f>E15+G15+'03-17-22'!I15</f>
        <v>511.84000000000003</v>
      </c>
      <c r="J15" s="8">
        <f>H15+I15</f>
        <v>7336.84</v>
      </c>
      <c r="K15" s="8">
        <f>C15-J15</f>
        <v>8218.16</v>
      </c>
      <c r="L15" s="8">
        <f t="shared" si="2"/>
        <v>5990.9050000000279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f>108.17+332.96</f>
        <v>441.13</v>
      </c>
      <c r="E16" s="9">
        <f>1.29+3.99</f>
        <v>5.28</v>
      </c>
      <c r="F16" s="9">
        <v>0</v>
      </c>
      <c r="G16" s="9">
        <v>0</v>
      </c>
      <c r="H16" s="8">
        <f>D16+F16+'03-17-22'!H16</f>
        <v>3107.0099999999998</v>
      </c>
      <c r="I16" s="8">
        <f>E16+G16+'03-17-22'!I16</f>
        <v>46.129999999999995</v>
      </c>
      <c r="J16" s="8">
        <f t="shared" si="0"/>
        <v>3153.14</v>
      </c>
      <c r="K16" s="8">
        <f t="shared" si="1"/>
        <v>2846.86</v>
      </c>
      <c r="L16" s="8">
        <f t="shared" si="2"/>
        <v>1889.6567857142973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32">
        <v>312</v>
      </c>
      <c r="E17" s="32">
        <v>3.74</v>
      </c>
      <c r="F17" s="32">
        <v>225</v>
      </c>
      <c r="G17" s="32">
        <v>16.87</v>
      </c>
      <c r="H17" s="8">
        <f>D17+F17+'03-17-22'!H17</f>
        <v>8919.25</v>
      </c>
      <c r="I17" s="8">
        <f>E17+G17+'03-17-22'!I17</f>
        <v>201.46000000000004</v>
      </c>
      <c r="J17" s="8">
        <f t="shared" si="0"/>
        <v>9120.7099999999991</v>
      </c>
      <c r="K17" s="8">
        <f t="shared" si="1"/>
        <v>1679.2900000000009</v>
      </c>
      <c r="L17" s="8">
        <f t="shared" si="2"/>
        <v>-1089.4969642856795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287922.02</v>
      </c>
      <c r="D18" s="7">
        <f t="shared" ref="D18:L18" si="4">SUM(D3:D17)</f>
        <v>7848.0499999999984</v>
      </c>
      <c r="E18" s="7">
        <f t="shared" si="4"/>
        <v>94.1</v>
      </c>
      <c r="F18" s="7">
        <f t="shared" si="4"/>
        <v>225</v>
      </c>
      <c r="G18" s="7">
        <f t="shared" si="4"/>
        <v>16.87</v>
      </c>
      <c r="H18" s="7">
        <f t="shared" si="4"/>
        <v>181004.97000000003</v>
      </c>
      <c r="I18" s="7">
        <f t="shared" si="4"/>
        <v>4892.6499999999996</v>
      </c>
      <c r="J18" s="35">
        <f t="shared" si="4"/>
        <v>185897.62</v>
      </c>
      <c r="K18" s="35">
        <f t="shared" si="4"/>
        <v>112824.4</v>
      </c>
      <c r="L18" s="7">
        <f t="shared" si="4"/>
        <v>56391.193928572109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211.6</v>
      </c>
      <c r="E22" s="32">
        <v>2.5299999999999998</v>
      </c>
      <c r="F22" s="32">
        <v>0</v>
      </c>
      <c r="G22" s="32">
        <v>0</v>
      </c>
      <c r="H22" s="8">
        <f>D22+F22+'03-17-22'!H22</f>
        <v>1674.29</v>
      </c>
      <c r="I22" s="8">
        <f>E22+G22+'03-17-22'!I22</f>
        <v>20.010000000000002</v>
      </c>
      <c r="J22" s="8">
        <f t="shared" si="6"/>
        <v>1694.3</v>
      </c>
      <c r="K22" s="8">
        <f t="shared" ref="K22:K23" si="8">C22-J22</f>
        <v>12258.7</v>
      </c>
      <c r="L22" s="8">
        <f t="shared" ref="L22:L23" si="9">C22-((J22/20)*26.0714285714285)</f>
        <v>11744.358928571435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D23+F23+'03-17-22'!H23</f>
        <v>1967.5</v>
      </c>
      <c r="I23" s="8">
        <f>E23+G23+'03-17-22'!I23</f>
        <v>23.580000000000002</v>
      </c>
      <c r="J23" s="8">
        <f t="shared" si="6"/>
        <v>1991.08</v>
      </c>
      <c r="K23" s="8">
        <f t="shared" si="8"/>
        <v>34.920000000000073</v>
      </c>
      <c r="L23" s="8">
        <f t="shared" si="9"/>
        <v>-569.5149999999926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211.6</v>
      </c>
      <c r="E24" s="7">
        <f t="shared" si="10"/>
        <v>2.5299999999999998</v>
      </c>
      <c r="F24" s="7">
        <f t="shared" si="10"/>
        <v>0</v>
      </c>
      <c r="G24" s="7">
        <f t="shared" si="10"/>
        <v>0</v>
      </c>
      <c r="H24" s="8">
        <f>D24+F24+'07-22-21'!H23</f>
        <v>211.6</v>
      </c>
      <c r="I24" s="8">
        <f>E24+G24+'07-22-21'!I23</f>
        <v>2.5299999999999998</v>
      </c>
      <c r="J24" s="35">
        <f t="shared" si="10"/>
        <v>3685.38</v>
      </c>
      <c r="K24" s="7">
        <f t="shared" si="10"/>
        <v>12293.62</v>
      </c>
      <c r="L24" s="7">
        <f t="shared" si="10"/>
        <v>11174.843928571443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150</v>
      </c>
      <c r="E27" s="9">
        <v>1.8</v>
      </c>
      <c r="F27" s="9">
        <v>1125</v>
      </c>
      <c r="G27" s="9">
        <v>84.37</v>
      </c>
      <c r="H27" s="8">
        <f>D27+F27+'03-17-22'!H27</f>
        <v>25078.5</v>
      </c>
      <c r="I27" s="8">
        <f>E27+G27+'03-17-22'!I27</f>
        <v>1146.2000000000003</v>
      </c>
      <c r="J27" s="8">
        <f t="shared" ref="J27:J28" si="11">H27+I27</f>
        <v>26224.7</v>
      </c>
      <c r="K27" s="85">
        <f>C27-J27</f>
        <v>-1224.7000000000007</v>
      </c>
      <c r="L27" s="8">
        <f>C27-((J27/20)*26.0714285714285)</f>
        <v>-9185.7696428570489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150</v>
      </c>
      <c r="E29" s="31">
        <f t="shared" si="14"/>
        <v>1.8</v>
      </c>
      <c r="F29" s="31">
        <f t="shared" si="14"/>
        <v>1125</v>
      </c>
      <c r="G29" s="31">
        <f t="shared" si="14"/>
        <v>84.37</v>
      </c>
      <c r="H29" s="31">
        <f t="shared" si="14"/>
        <v>25078.5</v>
      </c>
      <c r="I29" s="31">
        <f t="shared" si="14"/>
        <v>1146.2000000000003</v>
      </c>
      <c r="J29" s="31">
        <f t="shared" si="14"/>
        <v>26224.7</v>
      </c>
      <c r="K29" s="31">
        <f t="shared" si="14"/>
        <v>-1224.7000000000007</v>
      </c>
      <c r="L29" s="31">
        <f t="shared" si="14"/>
        <v>-9185.7696428570489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328901.02</v>
      </c>
      <c r="D32" s="24">
        <f t="shared" si="15"/>
        <v>8209.6499999999978</v>
      </c>
      <c r="E32" s="24">
        <f t="shared" si="15"/>
        <v>98.429999999999993</v>
      </c>
      <c r="F32" s="24">
        <f t="shared" si="15"/>
        <v>1350</v>
      </c>
      <c r="G32" s="24">
        <f t="shared" si="15"/>
        <v>101.24000000000001</v>
      </c>
      <c r="H32" s="24">
        <f t="shared" si="15"/>
        <v>206295.07000000004</v>
      </c>
      <c r="I32" s="24">
        <f t="shared" si="15"/>
        <v>6041.3799999999992</v>
      </c>
      <c r="J32" s="24">
        <f t="shared" si="15"/>
        <v>215807.7</v>
      </c>
      <c r="K32" s="24">
        <f t="shared" si="15"/>
        <v>123893.31999999999</v>
      </c>
      <c r="L32" s="24">
        <f t="shared" si="15"/>
        <v>58380.268214286509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32">
        <v>0</v>
      </c>
      <c r="E35" s="32">
        <v>0</v>
      </c>
      <c r="F35" s="32">
        <v>0</v>
      </c>
      <c r="G35" s="32">
        <v>0</v>
      </c>
      <c r="H35" s="8">
        <f>D35+F35+'03-03-22'!H35</f>
        <v>800.94</v>
      </c>
      <c r="I35" s="8">
        <f>E35+G35+'03-03-22'!I35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60" si="16">C35-((J35/20)*26.0714285714285)</f>
        <v>2068.7020928571455</v>
      </c>
      <c r="M35" s="76"/>
    </row>
    <row r="36" spans="1:13" s="59" customFormat="1" ht="11.25" hidden="1" customHeight="1" x14ac:dyDescent="0.25">
      <c r="A36" s="20" t="s">
        <v>117</v>
      </c>
      <c r="B36" s="105" t="s">
        <v>12</v>
      </c>
      <c r="C36" s="110">
        <f>900+441.6</f>
        <v>1341.6</v>
      </c>
      <c r="D36" s="8"/>
      <c r="E36" s="8"/>
      <c r="F36" s="8"/>
      <c r="G36" s="8"/>
      <c r="H36" s="8">
        <f>D36+F36+'03-03-22'!H36</f>
        <v>1248</v>
      </c>
      <c r="I36" s="8">
        <f>E36+G36+'03-03-22'!I36</f>
        <v>93.6</v>
      </c>
      <c r="J36" s="8">
        <f t="shared" ref="J36:J60" si="17">H36+I36</f>
        <v>1341.6</v>
      </c>
      <c r="K36" s="8">
        <f t="shared" ref="K36:K60" si="18">C36-J36</f>
        <v>0</v>
      </c>
      <c r="L36" s="8">
        <f t="shared" si="16"/>
        <v>-407.27142857142371</v>
      </c>
      <c r="M36" s="111"/>
    </row>
    <row r="37" spans="1:13" s="59" customFormat="1" ht="11.25" customHeight="1" x14ac:dyDescent="0.25">
      <c r="A37" s="20" t="s">
        <v>114</v>
      </c>
      <c r="B37" s="105" t="s">
        <v>12</v>
      </c>
      <c r="C37" s="110">
        <f>12000-441.6</f>
        <v>11558.4</v>
      </c>
      <c r="D37" s="8">
        <v>0</v>
      </c>
      <c r="E37" s="8">
        <v>0</v>
      </c>
      <c r="F37" s="8">
        <v>413</v>
      </c>
      <c r="G37" s="8">
        <v>30.97</v>
      </c>
      <c r="H37" s="8">
        <f>D37+F37+'03-03-22'!H37</f>
        <v>7448</v>
      </c>
      <c r="I37" s="8">
        <f>E37+G37+'03-03-22'!I37</f>
        <v>403.77</v>
      </c>
      <c r="J37" s="8">
        <f t="shared" si="17"/>
        <v>7851.77</v>
      </c>
      <c r="K37" s="8">
        <f t="shared" si="18"/>
        <v>3706.6299999999992</v>
      </c>
      <c r="L37" s="8">
        <f t="shared" si="16"/>
        <v>1323.0569642857427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D38+F38+'03-03-22'!H38</f>
        <v>0</v>
      </c>
      <c r="I38" s="8">
        <f>E38+G38+'03-03-22'!I38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D39+F39+'03-03-22'!H39</f>
        <v>36.659999999999997</v>
      </c>
      <c r="I39" s="8">
        <f>E39+G39+'03-03-22'!I39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-48.361188085714154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D40+F40+'03-17-22'!H40</f>
        <v>0</v>
      </c>
      <c r="I40" s="8">
        <f>E40+G40+'03-17-22'!I40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D41+F41+'03-17-22'!H41</f>
        <v>0</v>
      </c>
      <c r="I41" s="8">
        <f>E41+G41+'03-17-22'!I41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f>6710-6120.78+1400</f>
        <v>1989.2200000000003</v>
      </c>
      <c r="D42" s="32">
        <v>0</v>
      </c>
      <c r="E42" s="32">
        <v>0</v>
      </c>
      <c r="F42" s="32">
        <v>0</v>
      </c>
      <c r="G42" s="32">
        <v>0</v>
      </c>
      <c r="H42" s="8">
        <f>D42+F42+'03-17-22'!H42</f>
        <v>776.5</v>
      </c>
      <c r="I42" s="8">
        <f>E42+G42+'03-17-22'!I42</f>
        <v>9.2899999999999991</v>
      </c>
      <c r="J42" s="8">
        <f t="shared" si="17"/>
        <v>785.79</v>
      </c>
      <c r="K42" s="8">
        <f>C42-J42</f>
        <v>1203.4300000000003</v>
      </c>
      <c r="L42" s="8">
        <f t="shared" si="16"/>
        <v>964.88660714286038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D43+F43+'03-17-22'!H43</f>
        <v>3121.7</v>
      </c>
      <c r="I43" s="8">
        <f>E43+G43+'03-17-22'!I43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-956.7266071428453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D44+F44+'03-17-22'!H44</f>
        <v>0</v>
      </c>
      <c r="I44" s="8">
        <f>E44+G44+'03-17-22'!I44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2">
        <v>150.66</v>
      </c>
      <c r="E45" s="32">
        <v>1.8</v>
      </c>
      <c r="F45" s="32">
        <v>0</v>
      </c>
      <c r="G45" s="32">
        <v>0</v>
      </c>
      <c r="H45" s="8">
        <f>D45+F45+'03-17-22'!H45</f>
        <v>2142.7199999999998</v>
      </c>
      <c r="I45" s="8">
        <f>E45+G45+'03-17-22'!I45</f>
        <v>25.630000000000003</v>
      </c>
      <c r="J45" s="8">
        <f t="shared" si="17"/>
        <v>2168.35</v>
      </c>
      <c r="K45" s="92">
        <f t="shared" si="19"/>
        <v>2831.65</v>
      </c>
      <c r="L45" s="8">
        <f t="shared" si="16"/>
        <v>2173.4008928571511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1734.35+7700-7700+8957</f>
        <v>10691.35</v>
      </c>
      <c r="D46" s="32">
        <v>240</v>
      </c>
      <c r="E46" s="32">
        <v>2.88</v>
      </c>
      <c r="F46" s="32">
        <v>315</v>
      </c>
      <c r="G46" s="32">
        <v>23.62</v>
      </c>
      <c r="H46" s="8">
        <f>D46+F46+'03-17-22'!H46</f>
        <v>7630.72</v>
      </c>
      <c r="I46" s="8">
        <f>E46+G46+'03-17-22'!I46</f>
        <v>408.4</v>
      </c>
      <c r="J46" s="8">
        <f t="shared" si="17"/>
        <v>8039.12</v>
      </c>
      <c r="K46" s="8">
        <f>C46-J46</f>
        <v>2652.2300000000005</v>
      </c>
      <c r="L46" s="8">
        <f t="shared" si="16"/>
        <v>211.78285714288722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D47+F47+'03-17-22'!H47</f>
        <v>0</v>
      </c>
      <c r="I47" s="8">
        <f>E47+G47+'03-17-22'!I47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f>7700+11500</f>
        <v>19200</v>
      </c>
      <c r="D48" s="32">
        <v>765.7</v>
      </c>
      <c r="E48" s="32">
        <v>9.18</v>
      </c>
      <c r="F48" s="32">
        <v>0</v>
      </c>
      <c r="G48" s="32">
        <v>0</v>
      </c>
      <c r="H48" s="8">
        <f>D48+F48+'03-17-22'!H48</f>
        <v>9512.340000000002</v>
      </c>
      <c r="I48" s="8">
        <f>E48+G48+'03-17-22'!I48</f>
        <v>114.07</v>
      </c>
      <c r="J48" s="8">
        <f t="shared" si="17"/>
        <v>9626.4100000000017</v>
      </c>
      <c r="K48" s="8">
        <f>C48-J48</f>
        <v>9573.5899999999983</v>
      </c>
      <c r="L48" s="8">
        <f t="shared" si="16"/>
        <v>6651.2869642857477</v>
      </c>
      <c r="M48" s="68"/>
    </row>
    <row r="49" spans="1:13" s="54" customFormat="1" ht="11.45" customHeight="1" x14ac:dyDescent="0.2">
      <c r="A49" s="18" t="s">
        <v>6</v>
      </c>
      <c r="B49" s="112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D49+F49+'03-17-22'!H49</f>
        <v>1754.38</v>
      </c>
      <c r="I49" s="8">
        <f>E49+G49+'03-17-22'!I49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1812.3794642857215</v>
      </c>
      <c r="M49" s="88"/>
    </row>
    <row r="50" spans="1:13" s="54" customFormat="1" ht="11.45" customHeight="1" x14ac:dyDescent="0.2">
      <c r="A50" s="18" t="s">
        <v>133</v>
      </c>
      <c r="B50" s="112" t="s">
        <v>5</v>
      </c>
      <c r="C50" s="8">
        <v>3700</v>
      </c>
      <c r="D50" s="32">
        <v>300</v>
      </c>
      <c r="E50" s="32">
        <v>3.6</v>
      </c>
      <c r="F50" s="32">
        <v>0</v>
      </c>
      <c r="G50" s="32">
        <v>0</v>
      </c>
      <c r="H50" s="8">
        <f>D50+F50+'03-17-22'!H50</f>
        <v>1005</v>
      </c>
      <c r="I50" s="8">
        <f>E50+G50+'03-17-22'!I50</f>
        <v>12.06</v>
      </c>
      <c r="J50" s="8">
        <f t="shared" si="17"/>
        <v>1017.06</v>
      </c>
      <c r="K50" s="8">
        <f>C50-J50</f>
        <v>2682.94</v>
      </c>
      <c r="L50" s="8">
        <f t="shared" si="16"/>
        <v>2374.1896428571467</v>
      </c>
      <c r="M50" s="88"/>
    </row>
    <row r="51" spans="1:13" s="54" customFormat="1" ht="11.45" hidden="1" customHeight="1" x14ac:dyDescent="0.25">
      <c r="A51" s="18" t="s">
        <v>8</v>
      </c>
      <c r="B51" s="61" t="s">
        <v>7</v>
      </c>
      <c r="C51" s="8">
        <v>0</v>
      </c>
      <c r="D51" s="33"/>
      <c r="E51" s="33"/>
      <c r="F51" s="33"/>
      <c r="G51" s="33"/>
      <c r="H51" s="8">
        <f>D51+F51+'03-17-22'!H51</f>
        <v>0</v>
      </c>
      <c r="I51" s="8">
        <f>E51+G51+'03-17-22'!I51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54" customFormat="1" ht="11.45" hidden="1" customHeight="1" x14ac:dyDescent="0.25">
      <c r="A52" s="18" t="s">
        <v>50</v>
      </c>
      <c r="B52" s="61" t="s">
        <v>53</v>
      </c>
      <c r="C52" s="8">
        <v>202.01</v>
      </c>
      <c r="D52" s="33"/>
      <c r="E52" s="33"/>
      <c r="F52" s="33"/>
      <c r="G52" s="33"/>
      <c r="H52" s="8">
        <f>D52+F52+'03-17-22'!H52</f>
        <v>0</v>
      </c>
      <c r="I52" s="8">
        <f>E52+G52+'03-17-22'!I52</f>
        <v>0</v>
      </c>
      <c r="J52" s="8">
        <f t="shared" si="17"/>
        <v>0</v>
      </c>
      <c r="K52" s="8">
        <f t="shared" si="18"/>
        <v>202.01</v>
      </c>
      <c r="L52" s="8">
        <f t="shared" si="16"/>
        <v>202.01</v>
      </c>
      <c r="M52" s="68"/>
    </row>
    <row r="53" spans="1:13" s="54" customFormat="1" ht="11.45" hidden="1" customHeight="1" x14ac:dyDescent="0.25">
      <c r="A53" s="18" t="s">
        <v>51</v>
      </c>
      <c r="B53" s="61" t="s">
        <v>52</v>
      </c>
      <c r="C53" s="8"/>
      <c r="D53" s="33"/>
      <c r="E53" s="33"/>
      <c r="F53" s="33"/>
      <c r="G53" s="33"/>
      <c r="H53" s="8">
        <f>D53+F53+'03-17-22'!H53</f>
        <v>0</v>
      </c>
      <c r="I53" s="8">
        <f>E53+G53+'03-17-22'!I53</f>
        <v>0</v>
      </c>
      <c r="J53" s="8">
        <f t="shared" si="17"/>
        <v>0</v>
      </c>
      <c r="K53" s="8">
        <f t="shared" si="18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45</v>
      </c>
      <c r="B54" s="61" t="s">
        <v>46</v>
      </c>
      <c r="C54" s="62">
        <v>3655.06</v>
      </c>
      <c r="D54" s="33"/>
      <c r="E54" s="33"/>
      <c r="F54" s="33"/>
      <c r="G54" s="33"/>
      <c r="H54" s="8">
        <f>D54+F54+'03-17-22'!H54</f>
        <v>0</v>
      </c>
      <c r="I54" s="8">
        <f>E54+G54+'03-17-22'!I54</f>
        <v>0</v>
      </c>
      <c r="J54" s="8">
        <f t="shared" si="17"/>
        <v>0</v>
      </c>
      <c r="K54" s="8">
        <f t="shared" si="18"/>
        <v>3655.06</v>
      </c>
      <c r="L54" s="8">
        <f t="shared" si="16"/>
        <v>3655.06</v>
      </c>
      <c r="M54" s="67"/>
    </row>
    <row r="55" spans="1:13" s="63" customFormat="1" ht="11.25" hidden="1" customHeight="1" x14ac:dyDescent="0.25">
      <c r="A55" s="18" t="s">
        <v>61</v>
      </c>
      <c r="B55" s="61" t="s">
        <v>60</v>
      </c>
      <c r="C55" s="62">
        <v>0</v>
      </c>
      <c r="D55" s="33"/>
      <c r="E55" s="33"/>
      <c r="F55" s="33"/>
      <c r="G55" s="33"/>
      <c r="H55" s="8">
        <f>D55+F55+'03-17-22'!H55</f>
        <v>0</v>
      </c>
      <c r="I55" s="8">
        <f>E55+G55+'03-17-22'!I55</f>
        <v>0</v>
      </c>
      <c r="J55" s="8">
        <f t="shared" si="17"/>
        <v>0</v>
      </c>
      <c r="K55" s="8">
        <f t="shared" si="18"/>
        <v>0</v>
      </c>
      <c r="L55" s="8">
        <f t="shared" si="16"/>
        <v>0</v>
      </c>
      <c r="M55" s="68"/>
    </row>
    <row r="56" spans="1:13" s="63" customFormat="1" ht="11.25" customHeight="1" x14ac:dyDescent="0.25">
      <c r="A56" s="18" t="s">
        <v>67</v>
      </c>
      <c r="B56" s="61" t="s">
        <v>66</v>
      </c>
      <c r="C56" s="62">
        <v>3313.36</v>
      </c>
      <c r="D56" s="32">
        <v>0</v>
      </c>
      <c r="E56" s="32">
        <v>0</v>
      </c>
      <c r="F56" s="32">
        <v>0</v>
      </c>
      <c r="G56" s="32">
        <v>0</v>
      </c>
      <c r="H56" s="8">
        <f>D56+F56+'03-17-22'!H56</f>
        <v>0</v>
      </c>
      <c r="I56" s="8">
        <f>E56+G56+'03-17-22'!I56</f>
        <v>0</v>
      </c>
      <c r="J56" s="8">
        <f t="shared" si="17"/>
        <v>0</v>
      </c>
      <c r="K56" s="8">
        <f t="shared" si="18"/>
        <v>3313.36</v>
      </c>
      <c r="L56" s="8">
        <f t="shared" si="16"/>
        <v>3313.36</v>
      </c>
      <c r="M56" s="68"/>
    </row>
    <row r="57" spans="1:13" s="63" customFormat="1" ht="11.25" customHeight="1" x14ac:dyDescent="0.25">
      <c r="A57" s="18" t="s">
        <v>68</v>
      </c>
      <c r="B57" s="61" t="s">
        <v>69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D57+F57+'03-17-22'!H57</f>
        <v>2.4</v>
      </c>
      <c r="I57" s="8">
        <f>E57+G57+'03-17-22'!I57</f>
        <v>0.02</v>
      </c>
      <c r="J57" s="8">
        <f t="shared" si="17"/>
        <v>2.42</v>
      </c>
      <c r="K57" s="8">
        <f t="shared" si="18"/>
        <v>4190.72</v>
      </c>
      <c r="L57" s="8">
        <f t="shared" si="16"/>
        <v>4189.9853571428575</v>
      </c>
      <c r="M57" s="68"/>
    </row>
    <row r="58" spans="1:13" s="63" customFormat="1" ht="11.25" customHeight="1" x14ac:dyDescent="0.2">
      <c r="A58" s="18" t="s">
        <v>73</v>
      </c>
      <c r="B58" s="61" t="s">
        <v>72</v>
      </c>
      <c r="C58" s="62">
        <v>4193.1400000000003</v>
      </c>
      <c r="D58" s="32">
        <v>0</v>
      </c>
      <c r="E58" s="32">
        <v>0</v>
      </c>
      <c r="F58" s="32">
        <v>0</v>
      </c>
      <c r="G58" s="32">
        <v>0</v>
      </c>
      <c r="H58" s="8">
        <f>D58+F58+'03-17-22'!H58</f>
        <v>2754</v>
      </c>
      <c r="I58" s="8">
        <f>E58+G58+'03-17-22'!I58</f>
        <v>114.28999999999999</v>
      </c>
      <c r="J58" s="8">
        <f t="shared" si="17"/>
        <v>2868.29</v>
      </c>
      <c r="K58" s="8">
        <f t="shared" si="18"/>
        <v>1324.8500000000004</v>
      </c>
      <c r="L58" s="8">
        <f t="shared" si="16"/>
        <v>454.11910714286796</v>
      </c>
      <c r="M58" s="88"/>
    </row>
    <row r="59" spans="1:13" s="63" customFormat="1" ht="11.25" customHeight="1" x14ac:dyDescent="0.2">
      <c r="A59" s="18" t="s">
        <v>106</v>
      </c>
      <c r="B59" s="61" t="s">
        <v>107</v>
      </c>
      <c r="C59" s="62">
        <f>2600+2600</f>
        <v>5200</v>
      </c>
      <c r="D59" s="32">
        <v>254.63</v>
      </c>
      <c r="E59" s="32">
        <v>3.05</v>
      </c>
      <c r="F59" s="32">
        <v>0</v>
      </c>
      <c r="G59" s="32">
        <v>0</v>
      </c>
      <c r="H59" s="8">
        <f>D59+F59+'03-17-22'!H59</f>
        <v>3817.29</v>
      </c>
      <c r="I59" s="8">
        <f>E59+G59+'03-17-22'!I59</f>
        <v>42.02</v>
      </c>
      <c r="J59" s="8">
        <f t="shared" si="17"/>
        <v>3859.31</v>
      </c>
      <c r="K59" s="8">
        <f t="shared" si="18"/>
        <v>1340.69</v>
      </c>
      <c r="L59" s="8">
        <f t="shared" si="16"/>
        <v>169.11375000001408</v>
      </c>
      <c r="M59" s="88"/>
    </row>
    <row r="60" spans="1:13" s="63" customFormat="1" ht="11.25" customHeight="1" x14ac:dyDescent="0.2">
      <c r="A60" s="18" t="s">
        <v>142</v>
      </c>
      <c r="B60" s="61" t="s">
        <v>143</v>
      </c>
      <c r="C60" s="62">
        <v>3749</v>
      </c>
      <c r="D60" s="33">
        <v>0</v>
      </c>
      <c r="E60" s="33">
        <v>0</v>
      </c>
      <c r="F60" s="33">
        <v>56.25</v>
      </c>
      <c r="G60" s="33">
        <v>4.21</v>
      </c>
      <c r="H60" s="8">
        <f>D60+F60+'03-17-22'!H60</f>
        <v>356.25</v>
      </c>
      <c r="I60" s="8">
        <f>E60+G60+'03-17-22'!I60</f>
        <v>26.700000000000003</v>
      </c>
      <c r="J60" s="8">
        <f t="shared" si="17"/>
        <v>382.95</v>
      </c>
      <c r="K60" s="8">
        <f t="shared" si="18"/>
        <v>3366.05</v>
      </c>
      <c r="L60" s="8">
        <f t="shared" si="16"/>
        <v>3249.797321428573</v>
      </c>
      <c r="M60" s="88"/>
    </row>
    <row r="61" spans="1:13" ht="21.6" customHeight="1" x14ac:dyDescent="0.25">
      <c r="A61" s="119" t="s">
        <v>88</v>
      </c>
      <c r="B61" s="120"/>
      <c r="C61" s="7">
        <f>SUM(C35:C54)</f>
        <v>71678.469999999987</v>
      </c>
      <c r="D61" s="7"/>
      <c r="E61" s="7"/>
      <c r="F61" s="7"/>
      <c r="G61" s="7"/>
      <c r="H61" s="7">
        <f>SUM(H35:H55)</f>
        <v>35476.959999999999</v>
      </c>
      <c r="I61" s="7">
        <f>SUM(I35:I55)</f>
        <v>1291.0625935999997</v>
      </c>
      <c r="J61" s="7">
        <f>SUM(J35:J55)</f>
        <v>36768.022593599999</v>
      </c>
      <c r="K61" s="7">
        <f>SUM(K35:K55)</f>
        <v>34910.447406399995</v>
      </c>
      <c r="L61" s="7">
        <f>SUM(L35:L55)</f>
        <v>23748.726261914417</v>
      </c>
      <c r="M61" s="78"/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8"/>
    </row>
    <row r="63" spans="1:13" ht="10.9" customHeight="1" x14ac:dyDescent="0.25">
      <c r="A63" s="13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s="53" customFormat="1" ht="10.9" customHeight="1" x14ac:dyDescent="0.25">
      <c r="A64" s="17" t="s">
        <v>4</v>
      </c>
      <c r="B64" s="21" t="s">
        <v>3</v>
      </c>
      <c r="C64" s="8">
        <v>62583</v>
      </c>
      <c r="D64" s="9">
        <v>1958.39</v>
      </c>
      <c r="E64" s="9">
        <v>23.5</v>
      </c>
      <c r="F64" s="9">
        <v>0</v>
      </c>
      <c r="G64" s="9">
        <v>0</v>
      </c>
      <c r="H64" s="8">
        <f>D64+F64+'03-17-22'!H64</f>
        <v>23843.37</v>
      </c>
      <c r="I64" s="8">
        <f>E64+G64+'03-17-22'!I64</f>
        <v>355.11</v>
      </c>
      <c r="J64" s="8">
        <f t="shared" ref="J64:J65" si="21">H64+I64</f>
        <v>24198.48</v>
      </c>
      <c r="K64" s="8">
        <f>C64-J64</f>
        <v>38384.520000000004</v>
      </c>
      <c r="L64" s="8">
        <f t="shared" ref="L64:L65" si="22">C64-((J64/20)*26.0714285714285)</f>
        <v>31038.552857142946</v>
      </c>
      <c r="M64" s="67"/>
    </row>
    <row r="65" spans="1:19" s="53" customFormat="1" ht="10.9" customHeight="1" x14ac:dyDescent="0.25">
      <c r="A65" s="17" t="s">
        <v>64</v>
      </c>
      <c r="B65" s="21" t="s">
        <v>63</v>
      </c>
      <c r="C65" s="8">
        <v>0</v>
      </c>
      <c r="D65" s="32">
        <v>0</v>
      </c>
      <c r="E65" s="32">
        <v>0</v>
      </c>
      <c r="F65" s="32">
        <v>0</v>
      </c>
      <c r="G65" s="32">
        <v>0</v>
      </c>
      <c r="H65" s="8">
        <f>D65+F65+'03-17-22'!H65</f>
        <v>0</v>
      </c>
      <c r="I65" s="8">
        <f>E65+G65+'03-17-22'!I65</f>
        <v>0</v>
      </c>
      <c r="J65" s="8">
        <f t="shared" si="21"/>
        <v>0</v>
      </c>
      <c r="K65" s="8">
        <f>C65-J65</f>
        <v>0</v>
      </c>
      <c r="L65" s="8">
        <f t="shared" si="22"/>
        <v>0</v>
      </c>
      <c r="M65" s="67"/>
    </row>
    <row r="66" spans="1:19" ht="21.6" customHeight="1" x14ac:dyDescent="0.25">
      <c r="A66" s="16" t="s">
        <v>2</v>
      </c>
      <c r="B66" s="15"/>
      <c r="C66" s="14">
        <f>C64+C65</f>
        <v>62583</v>
      </c>
      <c r="D66" s="14">
        <f t="shared" ref="D66:L66" si="23">D64+D65</f>
        <v>1958.39</v>
      </c>
      <c r="E66" s="14">
        <f t="shared" si="23"/>
        <v>23.5</v>
      </c>
      <c r="F66" s="14">
        <f t="shared" si="23"/>
        <v>0</v>
      </c>
      <c r="G66" s="14">
        <f t="shared" si="23"/>
        <v>0</v>
      </c>
      <c r="H66" s="14">
        <f t="shared" si="23"/>
        <v>23843.37</v>
      </c>
      <c r="I66" s="14">
        <f t="shared" si="23"/>
        <v>355.11</v>
      </c>
      <c r="J66" s="14">
        <f t="shared" si="23"/>
        <v>24198.48</v>
      </c>
      <c r="K66" s="14">
        <f t="shared" si="23"/>
        <v>38384.520000000004</v>
      </c>
      <c r="L66" s="14">
        <f t="shared" si="23"/>
        <v>31038.552857142946</v>
      </c>
    </row>
    <row r="67" spans="1:19" ht="10.9" customHeight="1" x14ac:dyDescent="0.25">
      <c r="A67" s="13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 ht="10.9" customHeight="1" x14ac:dyDescent="0.25">
      <c r="A68" s="13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9" s="53" customFormat="1" ht="10.9" customHeight="1" x14ac:dyDescent="0.25">
      <c r="A69" s="17" t="s">
        <v>1</v>
      </c>
      <c r="B69" s="21">
        <v>55180000</v>
      </c>
      <c r="C69" s="8">
        <v>37736</v>
      </c>
      <c r="D69" s="32">
        <v>0</v>
      </c>
      <c r="E69" s="32">
        <v>0</v>
      </c>
      <c r="F69" s="32">
        <v>0</v>
      </c>
      <c r="G69" s="32">
        <v>0</v>
      </c>
      <c r="H69" s="8">
        <f>D69+F69+'03-17-22'!H69</f>
        <v>758.14</v>
      </c>
      <c r="I69" s="8">
        <f>E69+G69+'03-17-22'!I69</f>
        <v>30.26</v>
      </c>
      <c r="J69" s="8">
        <f t="shared" ref="J69" si="24">H69+I69</f>
        <v>788.4</v>
      </c>
      <c r="K69" s="8">
        <f>C69-J69</f>
        <v>36947.599999999999</v>
      </c>
      <c r="L69" s="8">
        <f>C69-((J69/20)*26.0714285714285)</f>
        <v>36708.264285714286</v>
      </c>
      <c r="M69" s="67"/>
    </row>
    <row r="70" spans="1:19" s="3" customFormat="1" ht="21.6" customHeight="1" x14ac:dyDescent="0.25">
      <c r="A70" s="119" t="s">
        <v>0</v>
      </c>
      <c r="B70" s="120"/>
      <c r="C70" s="7">
        <f t="shared" ref="C70:L70" si="25">SUM(C69)</f>
        <v>37736</v>
      </c>
      <c r="D70" s="7">
        <f t="shared" si="25"/>
        <v>0</v>
      </c>
      <c r="E70" s="7">
        <f t="shared" si="25"/>
        <v>0</v>
      </c>
      <c r="F70" s="7">
        <f t="shared" si="25"/>
        <v>0</v>
      </c>
      <c r="G70" s="7">
        <f t="shared" si="25"/>
        <v>0</v>
      </c>
      <c r="H70" s="7">
        <f t="shared" si="25"/>
        <v>758.14</v>
      </c>
      <c r="I70" s="7">
        <f t="shared" si="25"/>
        <v>30.26</v>
      </c>
      <c r="J70" s="7">
        <f t="shared" si="25"/>
        <v>788.4</v>
      </c>
      <c r="K70" s="7">
        <f t="shared" si="25"/>
        <v>36947.599999999999</v>
      </c>
      <c r="L70" s="7">
        <f t="shared" si="25"/>
        <v>36708.264285714286</v>
      </c>
      <c r="M70" s="73"/>
    </row>
    <row r="71" spans="1:19" s="3" customFormat="1" ht="11.25" customHeight="1" x14ac:dyDescent="0.25">
      <c r="A71" s="6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73"/>
    </row>
    <row r="72" spans="1:19" s="2" customFormat="1" ht="10.5" customHeight="1" x14ac:dyDescent="0.25">
      <c r="A72" s="122" t="s">
        <v>83</v>
      </c>
      <c r="B72" s="122"/>
      <c r="C72" s="122"/>
      <c r="D72" s="122"/>
      <c r="E72" s="122"/>
      <c r="F72" s="122"/>
      <c r="G72" s="89">
        <v>5955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90</v>
      </c>
      <c r="B73" s="122"/>
      <c r="C73" s="122"/>
      <c r="D73" s="122"/>
      <c r="E73" s="122"/>
      <c r="F73" s="122"/>
      <c r="G73" s="89">
        <v>1332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86</v>
      </c>
      <c r="B74" s="122"/>
      <c r="C74" s="122"/>
      <c r="D74" s="122"/>
      <c r="E74" s="122"/>
      <c r="F74" s="122"/>
      <c r="G74" s="89">
        <v>6941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85</v>
      </c>
      <c r="B75" s="122"/>
      <c r="C75" s="122"/>
      <c r="D75" s="122"/>
      <c r="E75" s="122"/>
      <c r="F75" s="122"/>
      <c r="G75" s="89">
        <v>10800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84</v>
      </c>
      <c r="B76" s="122"/>
      <c r="C76" s="122"/>
      <c r="D76" s="122"/>
      <c r="E76" s="122"/>
      <c r="F76" s="122"/>
      <c r="G76" s="89">
        <v>2880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87</v>
      </c>
      <c r="B77" s="122"/>
      <c r="C77" s="122"/>
      <c r="D77" s="122"/>
      <c r="E77" s="122"/>
      <c r="F77" s="122"/>
      <c r="G77" s="89">
        <v>6450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92</v>
      </c>
      <c r="B78" s="122"/>
      <c r="C78" s="122"/>
      <c r="D78" s="122"/>
      <c r="E78" s="122"/>
      <c r="F78" s="122"/>
      <c r="G78" s="89">
        <v>7700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103</v>
      </c>
      <c r="B79" s="122"/>
      <c r="C79" s="122"/>
      <c r="D79" s="122"/>
      <c r="E79" s="122"/>
      <c r="F79" s="122"/>
      <c r="G79" s="89">
        <v>7700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104</v>
      </c>
      <c r="B80" s="122"/>
      <c r="C80" s="122"/>
      <c r="D80" s="122"/>
      <c r="E80" s="122"/>
      <c r="F80" s="122"/>
      <c r="G80" s="89">
        <v>66000</v>
      </c>
      <c r="M80" s="121"/>
      <c r="N80" s="121"/>
      <c r="O80" s="121"/>
      <c r="P80" s="121"/>
      <c r="Q80" s="121"/>
      <c r="R80" s="121"/>
      <c r="S80" s="89"/>
    </row>
    <row r="81" spans="1:18" ht="10.5" customHeight="1" x14ac:dyDescent="0.25">
      <c r="A81" s="122" t="s">
        <v>101</v>
      </c>
      <c r="B81" s="122"/>
      <c r="C81" s="122"/>
      <c r="D81" s="122"/>
      <c r="E81" s="122"/>
      <c r="F81" s="122"/>
      <c r="G81" s="89">
        <v>3194.08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110</v>
      </c>
      <c r="B82" s="122"/>
      <c r="C82" s="122"/>
      <c r="D82" s="122"/>
      <c r="E82" s="122"/>
      <c r="F82" s="122"/>
      <c r="G82" s="89">
        <v>2600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111</v>
      </c>
      <c r="B83" s="122"/>
      <c r="C83" s="122"/>
      <c r="D83" s="122"/>
      <c r="E83" s="122"/>
      <c r="F83" s="122"/>
      <c r="G83" s="89">
        <v>5000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113</v>
      </c>
      <c r="B84" s="122"/>
      <c r="C84" s="122"/>
      <c r="D84" s="122"/>
      <c r="E84" s="122"/>
      <c r="F84" s="122"/>
      <c r="G84" s="89">
        <v>1000</v>
      </c>
      <c r="M84" s="121"/>
      <c r="N84" s="121"/>
      <c r="O84" s="121"/>
      <c r="P84" s="121"/>
      <c r="Q84" s="121"/>
      <c r="R84" s="121"/>
    </row>
    <row r="85" spans="1:18" ht="10.5" customHeight="1" x14ac:dyDescent="0.25">
      <c r="A85" s="122" t="s">
        <v>116</v>
      </c>
      <c r="B85" s="122"/>
      <c r="C85" s="122"/>
      <c r="D85" s="122"/>
      <c r="E85" s="122"/>
      <c r="F85" s="122"/>
      <c r="G85" s="89">
        <v>12000</v>
      </c>
      <c r="M85" s="121"/>
      <c r="N85" s="121"/>
      <c r="O85" s="121"/>
      <c r="P85" s="121"/>
      <c r="Q85" s="121"/>
      <c r="R85" s="121"/>
    </row>
    <row r="86" spans="1:18" ht="10.5" customHeight="1" x14ac:dyDescent="0.25">
      <c r="A86" s="122" t="s">
        <v>123</v>
      </c>
      <c r="B86" s="122"/>
      <c r="C86" s="122"/>
      <c r="D86" s="122"/>
      <c r="E86" s="122"/>
      <c r="F86" s="122"/>
      <c r="G86" s="89">
        <v>900</v>
      </c>
      <c r="M86" s="121"/>
      <c r="N86" s="121"/>
      <c r="O86" s="121"/>
      <c r="P86" s="121"/>
      <c r="Q86" s="121"/>
      <c r="R86" s="121"/>
    </row>
    <row r="87" spans="1:18" ht="10.5" customHeight="1" x14ac:dyDescent="0.25">
      <c r="A87" s="122" t="s">
        <v>138</v>
      </c>
      <c r="B87" s="122"/>
      <c r="C87" s="122"/>
      <c r="D87" s="122"/>
      <c r="E87" s="122"/>
      <c r="F87" s="122"/>
      <c r="G87" s="89">
        <v>11500</v>
      </c>
      <c r="M87" s="121"/>
      <c r="N87" s="121"/>
      <c r="O87" s="121"/>
      <c r="P87" s="121"/>
      <c r="Q87" s="121"/>
      <c r="R87" s="121"/>
    </row>
    <row r="88" spans="1:18" ht="10.5" customHeight="1" x14ac:dyDescent="0.25">
      <c r="A88" s="122" t="s">
        <v>125</v>
      </c>
      <c r="B88" s="122"/>
      <c r="C88" s="122"/>
      <c r="D88" s="122"/>
      <c r="E88" s="122"/>
      <c r="F88" s="122"/>
      <c r="G88" s="89">
        <v>2600</v>
      </c>
      <c r="M88" s="121"/>
      <c r="N88" s="121"/>
      <c r="O88" s="121"/>
      <c r="P88" s="121"/>
      <c r="Q88" s="121"/>
      <c r="R88" s="121"/>
    </row>
    <row r="89" spans="1:18" ht="10.5" customHeight="1" x14ac:dyDescent="0.25">
      <c r="A89" s="122" t="s">
        <v>145</v>
      </c>
      <c r="B89" s="122"/>
      <c r="C89" s="122"/>
      <c r="D89" s="122"/>
      <c r="E89" s="122"/>
      <c r="F89" s="122"/>
      <c r="G89" s="89">
        <v>8957</v>
      </c>
      <c r="M89" s="121"/>
      <c r="N89" s="121"/>
      <c r="O89" s="121"/>
      <c r="P89" s="121"/>
      <c r="Q89" s="121"/>
      <c r="R89" s="121"/>
    </row>
    <row r="90" spans="1:18" ht="10.5" customHeight="1" x14ac:dyDescent="0.25">
      <c r="A90" s="122" t="s">
        <v>137</v>
      </c>
      <c r="B90" s="122"/>
      <c r="C90" s="122"/>
      <c r="D90" s="122"/>
      <c r="E90" s="122"/>
      <c r="F90" s="122"/>
      <c r="G90" s="89">
        <v>441.6</v>
      </c>
      <c r="M90" s="121"/>
      <c r="N90" s="121"/>
      <c r="O90" s="121"/>
      <c r="P90" s="121"/>
      <c r="Q90" s="121"/>
      <c r="R90" s="121"/>
    </row>
    <row r="91" spans="1:18" ht="10.5" customHeight="1" x14ac:dyDescent="0.25">
      <c r="A91" s="122" t="s">
        <v>132</v>
      </c>
      <c r="B91" s="122"/>
      <c r="C91" s="122"/>
      <c r="D91" s="122"/>
      <c r="E91" s="122"/>
      <c r="F91" s="122"/>
      <c r="G91" s="89">
        <v>821.59</v>
      </c>
      <c r="M91" s="121"/>
      <c r="N91" s="121"/>
      <c r="O91" s="121"/>
      <c r="P91" s="121"/>
      <c r="Q91" s="121"/>
      <c r="R91" s="121"/>
    </row>
    <row r="92" spans="1:18" ht="10.5" customHeight="1" x14ac:dyDescent="0.25">
      <c r="A92" s="122" t="s">
        <v>134</v>
      </c>
      <c r="B92" s="122"/>
      <c r="C92" s="122"/>
      <c r="D92" s="122"/>
      <c r="E92" s="122"/>
      <c r="F92" s="122"/>
      <c r="G92" s="89">
        <v>3700</v>
      </c>
      <c r="M92" s="121"/>
      <c r="N92" s="121"/>
      <c r="O92" s="121"/>
      <c r="P92" s="121"/>
      <c r="Q92" s="121"/>
      <c r="R92" s="121"/>
    </row>
    <row r="93" spans="1:18" ht="10.5" customHeight="1" x14ac:dyDescent="0.25">
      <c r="A93" s="122" t="s">
        <v>135</v>
      </c>
      <c r="B93" s="122"/>
      <c r="C93" s="122"/>
      <c r="D93" s="122"/>
      <c r="E93" s="122"/>
      <c r="F93" s="122"/>
      <c r="G93" s="89">
        <v>1500</v>
      </c>
      <c r="M93" s="121"/>
      <c r="N93" s="121"/>
      <c r="O93" s="121"/>
      <c r="P93" s="121"/>
      <c r="Q93" s="121"/>
      <c r="R93" s="121"/>
    </row>
    <row r="94" spans="1:18" ht="10.5" customHeight="1" x14ac:dyDescent="0.25">
      <c r="A94" s="122" t="s">
        <v>139</v>
      </c>
      <c r="B94" s="122"/>
      <c r="C94" s="122"/>
      <c r="D94" s="122"/>
      <c r="E94" s="122"/>
      <c r="F94" s="122"/>
      <c r="G94" s="89">
        <v>-6120.78</v>
      </c>
      <c r="M94" s="121"/>
      <c r="N94" s="121"/>
      <c r="O94" s="121"/>
      <c r="P94" s="121"/>
      <c r="Q94" s="121"/>
      <c r="R94" s="121"/>
    </row>
    <row r="95" spans="1:18" ht="10.5" customHeight="1" x14ac:dyDescent="0.25">
      <c r="A95" s="122" t="s">
        <v>140</v>
      </c>
      <c r="B95" s="122"/>
      <c r="C95" s="122"/>
      <c r="D95" s="122"/>
      <c r="E95" s="122"/>
      <c r="F95" s="122"/>
      <c r="G95" s="89">
        <v>1400</v>
      </c>
      <c r="M95" s="121"/>
      <c r="N95" s="121"/>
      <c r="O95" s="121"/>
      <c r="P95" s="121"/>
      <c r="Q95" s="121"/>
      <c r="R95" s="121"/>
    </row>
    <row r="96" spans="1:18" ht="10.5" customHeight="1" x14ac:dyDescent="0.25">
      <c r="A96" s="122" t="s">
        <v>144</v>
      </c>
      <c r="B96" s="122"/>
      <c r="C96" s="122"/>
      <c r="D96" s="122"/>
      <c r="E96" s="122"/>
      <c r="F96" s="122"/>
      <c r="G96" s="89">
        <v>3749</v>
      </c>
      <c r="M96" s="121"/>
      <c r="N96" s="121"/>
      <c r="O96" s="121"/>
      <c r="P96" s="121"/>
      <c r="Q96" s="121"/>
      <c r="R96" s="121"/>
    </row>
  </sheetData>
  <mergeCells count="56">
    <mergeCell ref="A96:F96"/>
    <mergeCell ref="M96:R96"/>
    <mergeCell ref="A93:F93"/>
    <mergeCell ref="M93:R93"/>
    <mergeCell ref="A94:F94"/>
    <mergeCell ref="M94:R94"/>
    <mergeCell ref="A95:F95"/>
    <mergeCell ref="M95:R95"/>
    <mergeCell ref="A90:F90"/>
    <mergeCell ref="M90:R90"/>
    <mergeCell ref="A91:F91"/>
    <mergeCell ref="M91:R91"/>
    <mergeCell ref="A92:F92"/>
    <mergeCell ref="M92:R92"/>
    <mergeCell ref="A87:F87"/>
    <mergeCell ref="M87:R87"/>
    <mergeCell ref="A88:F88"/>
    <mergeCell ref="M88:R88"/>
    <mergeCell ref="A89:F89"/>
    <mergeCell ref="M89:R89"/>
    <mergeCell ref="A84:F84"/>
    <mergeCell ref="M84:R84"/>
    <mergeCell ref="A85:F85"/>
    <mergeCell ref="M85:R85"/>
    <mergeCell ref="A86:F86"/>
    <mergeCell ref="M86:R86"/>
    <mergeCell ref="A81:F81"/>
    <mergeCell ref="M81:R81"/>
    <mergeCell ref="A82:F82"/>
    <mergeCell ref="M82:R82"/>
    <mergeCell ref="A83:F83"/>
    <mergeCell ref="M83:R83"/>
    <mergeCell ref="A78:F78"/>
    <mergeCell ref="M78:R78"/>
    <mergeCell ref="A79:F79"/>
    <mergeCell ref="M79:R79"/>
    <mergeCell ref="A80:F80"/>
    <mergeCell ref="M80:R80"/>
    <mergeCell ref="A75:F75"/>
    <mergeCell ref="M75:R75"/>
    <mergeCell ref="A76:F76"/>
    <mergeCell ref="M76:R76"/>
    <mergeCell ref="A77:F77"/>
    <mergeCell ref="M77:R77"/>
    <mergeCell ref="A72:F72"/>
    <mergeCell ref="M72:R72"/>
    <mergeCell ref="A73:F73"/>
    <mergeCell ref="M73:R73"/>
    <mergeCell ref="A74:F74"/>
    <mergeCell ref="M74:R74"/>
    <mergeCell ref="A70:B70"/>
    <mergeCell ref="A18:B18"/>
    <mergeCell ref="A24:B24"/>
    <mergeCell ref="A29:B29"/>
    <mergeCell ref="A32:B32"/>
    <mergeCell ref="A61:B61"/>
  </mergeCells>
  <pageMargins left="0.25" right="0" top="0.4" bottom="0" header="0.3" footer="0"/>
  <pageSetup scale="68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1714-C054-4A81-8DAB-BF92972486BB}">
  <sheetPr>
    <pageSetUpPr fitToPage="1"/>
  </sheetPr>
  <dimension ref="A1:S99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149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</f>
        <v>3321.59</v>
      </c>
      <c r="D3" s="32">
        <v>450</v>
      </c>
      <c r="E3" s="32">
        <v>5.4</v>
      </c>
      <c r="F3" s="32">
        <v>0</v>
      </c>
      <c r="G3" s="32">
        <v>0</v>
      </c>
      <c r="H3" s="8">
        <f>D3+F3+'03-31-22'!H3</f>
        <v>3587.5</v>
      </c>
      <c r="I3" s="8">
        <f>E3+G3+'03-31-22'!I3</f>
        <v>43.029999999999994</v>
      </c>
      <c r="J3" s="8">
        <f>H3+I3</f>
        <v>3630.53</v>
      </c>
      <c r="K3" s="8">
        <f>C3-J3</f>
        <v>-308.94000000000005</v>
      </c>
      <c r="L3" s="8">
        <f>C3-((J3/21)*26.0714285714285)</f>
        <v>-1185.7006462584914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312</v>
      </c>
      <c r="E4" s="32">
        <v>3.74</v>
      </c>
      <c r="F4" s="32">
        <v>300</v>
      </c>
      <c r="G4" s="32">
        <v>22.5</v>
      </c>
      <c r="H4" s="8">
        <f>D4+F4+'03-31-22'!H17</f>
        <v>9531.25</v>
      </c>
      <c r="I4" s="8">
        <f>E4+G4+'03-31-22'!I17</f>
        <v>227.70000000000005</v>
      </c>
      <c r="J4" s="8">
        <f>H4+I4</f>
        <v>9758.9500000000007</v>
      </c>
      <c r="K4" s="8">
        <f>C4-J4</f>
        <v>1041.0499999999993</v>
      </c>
      <c r="L4" s="8">
        <f>C4-((J4/21)*26.0714285714285)</f>
        <v>-1315.7032312924839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D5+F5+'03-31-22'!H15</f>
        <v>6825</v>
      </c>
      <c r="I5" s="8">
        <f>E5+G5+'03-31-22'!I15</f>
        <v>511.84000000000003</v>
      </c>
      <c r="J5" s="8">
        <f>H5+I5</f>
        <v>7336.84</v>
      </c>
      <c r="K5" s="8">
        <f>C5-J5</f>
        <v>8218.16</v>
      </c>
      <c r="L5" s="8">
        <f>C5-((J5/21)*26.0714285714285)</f>
        <v>6446.3380952381212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D6+F6+'03-31-22'!H6</f>
        <v>4207.5</v>
      </c>
      <c r="I6" s="8">
        <f>E6+G6+'03-31-22'!I6</f>
        <v>50.45000000000001</v>
      </c>
      <c r="J6" s="8">
        <f>H6+I6</f>
        <v>4257.95</v>
      </c>
      <c r="K6" s="8">
        <f>C6-J6</f>
        <v>2192.0500000000002</v>
      </c>
      <c r="L6" s="8">
        <f>C6-((J6/21)*26.0714285714285)</f>
        <v>1163.7695578231442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36126.589999999997</v>
      </c>
      <c r="D7" s="35">
        <f t="shared" ref="D7:L7" si="0">SUM(D3:D6)</f>
        <v>762</v>
      </c>
      <c r="E7" s="35">
        <f t="shared" si="0"/>
        <v>9.14</v>
      </c>
      <c r="F7" s="35">
        <f t="shared" si="0"/>
        <v>300</v>
      </c>
      <c r="G7" s="35">
        <f t="shared" si="0"/>
        <v>22.5</v>
      </c>
      <c r="H7" s="35">
        <f t="shared" si="0"/>
        <v>24151.25</v>
      </c>
      <c r="I7" s="35">
        <f t="shared" si="0"/>
        <v>833.0200000000001</v>
      </c>
      <c r="J7" s="35">
        <f t="shared" si="0"/>
        <v>24984.27</v>
      </c>
      <c r="K7" s="35">
        <f t="shared" si="0"/>
        <v>11142.32</v>
      </c>
      <c r="L7" s="35">
        <f t="shared" si="0"/>
        <v>5108.7037755102901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3">
        <v>81.25</v>
      </c>
      <c r="E10" s="33">
        <v>0.97</v>
      </c>
      <c r="F10" s="33">
        <v>0</v>
      </c>
      <c r="G10" s="33">
        <v>0</v>
      </c>
      <c r="H10" s="8">
        <f>D10+F10+'03-31-22'!H4</f>
        <v>34714.559999999998</v>
      </c>
      <c r="I10" s="8">
        <f>E10+G10+'03-31-22'!I4</f>
        <v>2360.81</v>
      </c>
      <c r="J10" s="8">
        <f t="shared" ref="J10:J19" si="1">H10+I10</f>
        <v>37075.369999999995</v>
      </c>
      <c r="K10" s="8">
        <f t="shared" ref="K10:K19" si="2">C10-J10</f>
        <v>28924.630000000005</v>
      </c>
      <c r="L10" s="8">
        <f t="shared" ref="L10:L19" si="3">C10-((J10/21)*26.0714285714285)</f>
        <v>19971.054251700814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</f>
        <v>2917</v>
      </c>
      <c r="D11" s="32">
        <v>0</v>
      </c>
      <c r="E11" s="32">
        <v>0</v>
      </c>
      <c r="F11" s="32">
        <v>0</v>
      </c>
      <c r="G11" s="32">
        <v>0</v>
      </c>
      <c r="H11" s="8">
        <f>D11+F11+'03-31-22'!H5</f>
        <v>0</v>
      </c>
      <c r="I11" s="8">
        <f>E11+G11+'03-31-22'!I5</f>
        <v>0</v>
      </c>
      <c r="J11" s="8">
        <f t="shared" si="1"/>
        <v>0</v>
      </c>
      <c r="K11" s="8">
        <f t="shared" si="2"/>
        <v>2917</v>
      </c>
      <c r="L11" s="8">
        <f t="shared" si="3"/>
        <v>2917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v>1252.01</v>
      </c>
      <c r="E12" s="9">
        <v>15.02</v>
      </c>
      <c r="F12" s="9">
        <v>0</v>
      </c>
      <c r="G12" s="9">
        <v>0</v>
      </c>
      <c r="H12" s="8">
        <f>D12+F12+'03-31-22'!H7</f>
        <v>16999.660000000003</v>
      </c>
      <c r="I12" s="8">
        <f>E12+G12+'03-31-22'!I7</f>
        <v>203.81999999999991</v>
      </c>
      <c r="J12" s="8">
        <f t="shared" si="1"/>
        <v>17203.480000000003</v>
      </c>
      <c r="K12" s="8">
        <f t="shared" si="2"/>
        <v>7445.5199999999968</v>
      </c>
      <c r="L12" s="8">
        <f t="shared" si="3"/>
        <v>3290.9380952381507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v>1304.4000000000001</v>
      </c>
      <c r="E13" s="9">
        <v>15.65</v>
      </c>
      <c r="F13" s="9">
        <v>0</v>
      </c>
      <c r="G13" s="9">
        <v>0</v>
      </c>
      <c r="H13" s="8">
        <f>D13+F13+'03-31-22'!H8</f>
        <v>12415.72</v>
      </c>
      <c r="I13" s="8">
        <f>E13+G13+'03-31-22'!I8</f>
        <v>148.77000000000001</v>
      </c>
      <c r="J13" s="8">
        <f t="shared" si="1"/>
        <v>12564.49</v>
      </c>
      <c r="K13" s="8">
        <f t="shared" si="2"/>
        <v>5409.51</v>
      </c>
      <c r="L13" s="8">
        <f t="shared" si="3"/>
        <v>2375.2284013605877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v>935.48</v>
      </c>
      <c r="E14" s="9">
        <v>11.22</v>
      </c>
      <c r="F14" s="9">
        <v>0</v>
      </c>
      <c r="G14" s="9">
        <v>0</v>
      </c>
      <c r="H14" s="8">
        <f>D14+F14+'03-31-22'!H9</f>
        <v>14308.46</v>
      </c>
      <c r="I14" s="8">
        <f>E14+G14+'03-31-22'!I9</f>
        <v>242.95999999999995</v>
      </c>
      <c r="J14" s="8">
        <f t="shared" si="1"/>
        <v>14551.419999999998</v>
      </c>
      <c r="K14" s="8">
        <f t="shared" si="2"/>
        <v>3422.5800000000017</v>
      </c>
      <c r="L14" s="8">
        <f t="shared" si="3"/>
        <v>-91.53843537409557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v>1605.44</v>
      </c>
      <c r="E15" s="9">
        <v>19.260000000000002</v>
      </c>
      <c r="F15" s="9">
        <v>0</v>
      </c>
      <c r="G15" s="9">
        <v>0</v>
      </c>
      <c r="H15" s="8">
        <f>D15+F15+'03-31-22'!H11</f>
        <v>16201.929999999998</v>
      </c>
      <c r="I15" s="8">
        <f>E15+G15+'03-31-22'!I11</f>
        <v>287.14</v>
      </c>
      <c r="J15" s="8">
        <f t="shared" si="1"/>
        <v>16489.07</v>
      </c>
      <c r="K15" s="8">
        <f t="shared" si="2"/>
        <v>7840.93</v>
      </c>
      <c r="L15" s="8">
        <f t="shared" si="3"/>
        <v>3858.8756802721691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v>1389.78</v>
      </c>
      <c r="E16" s="8">
        <v>16.670000000000002</v>
      </c>
      <c r="F16" s="8">
        <v>0</v>
      </c>
      <c r="G16" s="8">
        <v>0</v>
      </c>
      <c r="H16" s="8">
        <f>D16+F16+'03-31-22'!H12</f>
        <v>24275.759999999998</v>
      </c>
      <c r="I16" s="8">
        <f>E16+G16+'03-31-22'!I12</f>
        <v>369.06000000000006</v>
      </c>
      <c r="J16" s="8">
        <f t="shared" si="1"/>
        <v>24644.82</v>
      </c>
      <c r="K16" s="8">
        <f t="shared" si="2"/>
        <v>9083.61</v>
      </c>
      <c r="L16" s="8">
        <f t="shared" si="3"/>
        <v>3131.9697959184523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v>2261.5700000000002</v>
      </c>
      <c r="E17" s="8">
        <v>27.12</v>
      </c>
      <c r="F17" s="8">
        <v>0</v>
      </c>
      <c r="G17" s="8">
        <v>0</v>
      </c>
      <c r="H17" s="8">
        <f>D17+F17+'03-31-22'!H13</f>
        <v>32783.950000000004</v>
      </c>
      <c r="I17" s="8">
        <f>E17+G17+'03-31-22'!I13</f>
        <v>395.43</v>
      </c>
      <c r="J17" s="8">
        <f t="shared" si="1"/>
        <v>33179.380000000005</v>
      </c>
      <c r="K17" s="8">
        <f t="shared" si="2"/>
        <v>9561.6199999999953</v>
      </c>
      <c r="L17" s="8">
        <f t="shared" si="3"/>
        <v>1548.9125850341225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v>600.02</v>
      </c>
      <c r="E18" s="9">
        <v>7.2</v>
      </c>
      <c r="F18" s="9">
        <v>0</v>
      </c>
      <c r="G18" s="9">
        <v>0</v>
      </c>
      <c r="H18" s="8">
        <f>D18+F18+'03-31-22'!H14</f>
        <v>11163.220000000001</v>
      </c>
      <c r="I18" s="8">
        <f>E18+G18+'03-31-22'!I14</f>
        <v>133.82</v>
      </c>
      <c r="J18" s="8">
        <f t="shared" si="1"/>
        <v>11297.04</v>
      </c>
      <c r="K18" s="8">
        <f t="shared" si="2"/>
        <v>12875.96</v>
      </c>
      <c r="L18" s="8">
        <f t="shared" si="3"/>
        <v>10147.763265306159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463.72</v>
      </c>
      <c r="E19" s="9">
        <v>5.56</v>
      </c>
      <c r="F19" s="9">
        <v>0</v>
      </c>
      <c r="G19" s="9">
        <v>0</v>
      </c>
      <c r="H19" s="8">
        <f>D19+F19+'03-31-22'!H16</f>
        <v>3570.7299999999996</v>
      </c>
      <c r="I19" s="8">
        <f>E19+G19+'03-31-22'!I16</f>
        <v>51.69</v>
      </c>
      <c r="J19" s="8">
        <f t="shared" si="1"/>
        <v>3622.4199999999996</v>
      </c>
      <c r="K19" s="8">
        <f t="shared" si="2"/>
        <v>2377.5800000000004</v>
      </c>
      <c r="L19" s="8">
        <f t="shared" si="3"/>
        <v>1502.7778911564756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260486.43</v>
      </c>
      <c r="D20" s="35">
        <f t="shared" ref="D20:L20" si="4">SUM(D10:D19)</f>
        <v>9893.67</v>
      </c>
      <c r="E20" s="35">
        <f t="shared" si="4"/>
        <v>118.67000000000002</v>
      </c>
      <c r="F20" s="35">
        <f t="shared" si="4"/>
        <v>0</v>
      </c>
      <c r="G20" s="35">
        <f t="shared" si="4"/>
        <v>0</v>
      </c>
      <c r="H20" s="35">
        <f t="shared" si="4"/>
        <v>166433.99</v>
      </c>
      <c r="I20" s="35">
        <f t="shared" si="4"/>
        <v>4193.4999999999991</v>
      </c>
      <c r="J20" s="35">
        <f t="shared" si="4"/>
        <v>170627.49000000002</v>
      </c>
      <c r="K20" s="35">
        <f t="shared" si="4"/>
        <v>89858.939999999988</v>
      </c>
      <c r="L20" s="35">
        <f t="shared" si="4"/>
        <v>48652.981530612837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5">D23+F23</f>
        <v>0</v>
      </c>
      <c r="I23" s="8">
        <f t="shared" si="5"/>
        <v>0</v>
      </c>
      <c r="J23" s="8">
        <f t="shared" ref="J23:J26" si="6">H23+I23</f>
        <v>0</v>
      </c>
      <c r="K23" s="8">
        <f>C23-J23</f>
        <v>0</v>
      </c>
      <c r="L23" s="8">
        <f t="shared" ref="L23" si="7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D24+F24+'03-31-22'!H10</f>
        <v>1375.3999999999999</v>
      </c>
      <c r="I24" s="8">
        <f>E24+G24+'03-31-22'!I10</f>
        <v>16.439999999999998</v>
      </c>
      <c r="J24" s="8">
        <f>H24+I24</f>
        <v>1391.84</v>
      </c>
      <c r="K24" s="8">
        <f>C24-J24</f>
        <v>717.16000000000008</v>
      </c>
      <c r="L24" s="8">
        <f>C24-((J24/21)*26.0714285714285)</f>
        <v>381.0353741496649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v>190.44</v>
      </c>
      <c r="E25" s="32">
        <v>2.2799999999999998</v>
      </c>
      <c r="F25" s="32">
        <v>0</v>
      </c>
      <c r="G25" s="32">
        <v>0</v>
      </c>
      <c r="H25" s="8">
        <f>D25+F25+'03-31-22'!H22</f>
        <v>1864.73</v>
      </c>
      <c r="I25" s="8">
        <f>E25+G25+'03-31-22'!I22</f>
        <v>22.290000000000003</v>
      </c>
      <c r="J25" s="8">
        <f t="shared" si="6"/>
        <v>1887.02</v>
      </c>
      <c r="K25" s="8">
        <f t="shared" ref="K25:K26" si="8">C25-J25</f>
        <v>12065.98</v>
      </c>
      <c r="L25" s="8">
        <f t="shared" ref="L25:L26" si="9">C25-((J25/21)*26.0714285714285)</f>
        <v>11610.27108843538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D26+F26+'03-31-22'!H23</f>
        <v>1967.5</v>
      </c>
      <c r="I26" s="8">
        <f>E26+G26+'03-31-22'!I23</f>
        <v>23.580000000000002</v>
      </c>
      <c r="J26" s="8">
        <f t="shared" si="6"/>
        <v>1991.08</v>
      </c>
      <c r="K26" s="8">
        <f t="shared" si="8"/>
        <v>34.920000000000073</v>
      </c>
      <c r="L26" s="8">
        <f t="shared" si="9"/>
        <v>-445.91904761904061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0">SUM(C23:C26)</f>
        <v>18088</v>
      </c>
      <c r="D27" s="7">
        <f t="shared" si="10"/>
        <v>190.44</v>
      </c>
      <c r="E27" s="7">
        <f t="shared" si="10"/>
        <v>2.2799999999999998</v>
      </c>
      <c r="F27" s="7">
        <f t="shared" si="10"/>
        <v>0</v>
      </c>
      <c r="G27" s="7">
        <f t="shared" si="10"/>
        <v>0</v>
      </c>
      <c r="H27" s="8">
        <f>D27+F27+'07-22-21'!H23</f>
        <v>190.44</v>
      </c>
      <c r="I27" s="8">
        <f>E27+G27+'07-22-21'!I23</f>
        <v>2.2799999999999998</v>
      </c>
      <c r="J27" s="35">
        <f t="shared" si="10"/>
        <v>5269.94</v>
      </c>
      <c r="K27" s="7">
        <f t="shared" si="10"/>
        <v>12818.06</v>
      </c>
      <c r="L27" s="7">
        <f t="shared" si="10"/>
        <v>11545.387414966004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v>25000</v>
      </c>
      <c r="D30" s="9">
        <v>292.5</v>
      </c>
      <c r="E30" s="9">
        <v>3.51</v>
      </c>
      <c r="F30" s="9">
        <v>1080</v>
      </c>
      <c r="G30" s="9">
        <v>80.989999999999995</v>
      </c>
      <c r="H30" s="8">
        <f>D30+F30+'03-31-22'!H27</f>
        <v>26451</v>
      </c>
      <c r="I30" s="8">
        <f>E30+G30+'03-31-22'!I27</f>
        <v>1230.7000000000003</v>
      </c>
      <c r="J30" s="8">
        <f t="shared" ref="J30:J31" si="11">H30+I30</f>
        <v>27681.7</v>
      </c>
      <c r="K30" s="85">
        <f>C30-J30</f>
        <v>-2681.7000000000007</v>
      </c>
      <c r="L30" s="8">
        <f>C30-((J30/21)*26.0714285714285)</f>
        <v>-9366.7363945577235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1"/>
        <v>0</v>
      </c>
      <c r="K31" s="8">
        <f t="shared" ref="K31" si="12">C31-J31</f>
        <v>0</v>
      </c>
      <c r="L31" s="8">
        <f t="shared" ref="L31" si="13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4">SUM(C30:C31)</f>
        <v>25000</v>
      </c>
      <c r="D32" s="31">
        <f t="shared" si="14"/>
        <v>292.5</v>
      </c>
      <c r="E32" s="31">
        <f t="shared" si="14"/>
        <v>3.51</v>
      </c>
      <c r="F32" s="31">
        <f t="shared" si="14"/>
        <v>1080</v>
      </c>
      <c r="G32" s="31">
        <f t="shared" si="14"/>
        <v>80.989999999999995</v>
      </c>
      <c r="H32" s="31">
        <f t="shared" si="14"/>
        <v>26451</v>
      </c>
      <c r="I32" s="31">
        <f t="shared" si="14"/>
        <v>1230.7000000000003</v>
      </c>
      <c r="J32" s="31">
        <f t="shared" si="14"/>
        <v>27681.7</v>
      </c>
      <c r="K32" s="31">
        <f t="shared" si="14"/>
        <v>-2681.7000000000007</v>
      </c>
      <c r="L32" s="31">
        <f t="shared" si="14"/>
        <v>-9366.7363945577235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339701.02</v>
      </c>
      <c r="D35" s="24">
        <f t="shared" ref="D35:L35" si="15">D20+D27+D32+D7</f>
        <v>11138.61</v>
      </c>
      <c r="E35" s="24">
        <f t="shared" si="15"/>
        <v>133.60000000000002</v>
      </c>
      <c r="F35" s="24">
        <f t="shared" si="15"/>
        <v>1380</v>
      </c>
      <c r="G35" s="24">
        <f t="shared" si="15"/>
        <v>103.49</v>
      </c>
      <c r="H35" s="24">
        <f t="shared" si="15"/>
        <v>217226.68</v>
      </c>
      <c r="I35" s="24">
        <f t="shared" si="15"/>
        <v>6259.5</v>
      </c>
      <c r="J35" s="24">
        <f t="shared" si="15"/>
        <v>228563.40000000002</v>
      </c>
      <c r="K35" s="24">
        <f t="shared" si="15"/>
        <v>111137.62</v>
      </c>
      <c r="L35" s="24">
        <f t="shared" si="15"/>
        <v>55940.336326531411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v>3194.08</v>
      </c>
      <c r="D38" s="32">
        <f>315+255</f>
        <v>570</v>
      </c>
      <c r="E38" s="32">
        <f>3.78+3.06</f>
        <v>6.84</v>
      </c>
      <c r="F38" s="32">
        <v>0</v>
      </c>
      <c r="G38" s="32">
        <v>0</v>
      </c>
      <c r="H38" s="8">
        <f>D38+F38+'03-31-22'!H35</f>
        <v>1370.94</v>
      </c>
      <c r="I38" s="8">
        <f>E38+G38+'03-31-22'!I35</f>
        <v>69.203599999999994</v>
      </c>
      <c r="J38" s="8">
        <f>H38+I38</f>
        <v>1440.1436000000001</v>
      </c>
      <c r="K38" s="8">
        <f>C38-J38</f>
        <v>1753.9363999999998</v>
      </c>
      <c r="L38" s="8">
        <f t="shared" ref="L38:L63" si="16">C38-((J38/21)*26.0714285714285)</f>
        <v>1406.1466190476237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D39+F39+'03-31-22'!H36</f>
        <v>1248</v>
      </c>
      <c r="I39" s="8">
        <f>E39+G39+'03-31-22'!I36</f>
        <v>93.6</v>
      </c>
      <c r="J39" s="8">
        <f t="shared" ref="J39:J63" si="17">H39+I39</f>
        <v>1341.6</v>
      </c>
      <c r="K39" s="8">
        <f t="shared" ref="K39:K63" si="18">C39-J39</f>
        <v>0</v>
      </c>
      <c r="L39" s="8">
        <f t="shared" si="16"/>
        <v>-323.99183673468906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v>0</v>
      </c>
      <c r="G40" s="32">
        <v>0</v>
      </c>
      <c r="H40" s="8">
        <f>D40+F40+'03-31-22'!H37</f>
        <v>7448</v>
      </c>
      <c r="I40" s="8">
        <f>E40+G40+'03-31-22'!I37</f>
        <v>403.77</v>
      </c>
      <c r="J40" s="8">
        <f t="shared" si="17"/>
        <v>7851.77</v>
      </c>
      <c r="K40" s="8">
        <f t="shared" si="18"/>
        <v>3706.6299999999992</v>
      </c>
      <c r="L40" s="8">
        <f t="shared" si="16"/>
        <v>1810.4542517007067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D41+F41+'03-31-22'!H38</f>
        <v>0</v>
      </c>
      <c r="I41" s="8">
        <f>E41+G41+'03-31-22'!I38</f>
        <v>0</v>
      </c>
      <c r="J41" s="8">
        <f t="shared" si="17"/>
        <v>0</v>
      </c>
      <c r="K41" s="8">
        <f t="shared" si="18"/>
        <v>0</v>
      </c>
      <c r="L41" s="8">
        <f t="shared" si="16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D42+F42+'03-31-22'!H39</f>
        <v>36.659999999999997</v>
      </c>
      <c r="I42" s="8">
        <f>E42+G42+'03-31-22'!I39</f>
        <v>0.43899359999999998</v>
      </c>
      <c r="J42" s="9">
        <f t="shared" si="17"/>
        <v>37.0989936</v>
      </c>
      <c r="K42" s="100">
        <f t="shared" si="18"/>
        <v>-37.0989936</v>
      </c>
      <c r="L42" s="8">
        <f t="shared" si="16"/>
        <v>-46.058274367346812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D43+F43+'03-31-22'!H40</f>
        <v>0</v>
      </c>
      <c r="I43" s="8">
        <f>E43+G43+'03-31-22'!I40</f>
        <v>0</v>
      </c>
      <c r="J43" s="8">
        <f t="shared" si="17"/>
        <v>0</v>
      </c>
      <c r="K43" s="8">
        <f t="shared" si="18"/>
        <v>356.53</v>
      </c>
      <c r="L43" s="8">
        <f t="shared" si="16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D44+F44+'03-31-22'!H41</f>
        <v>0</v>
      </c>
      <c r="I44" s="8">
        <f>E44+G44+'03-31-22'!I41</f>
        <v>0</v>
      </c>
      <c r="J44" s="8">
        <f t="shared" si="17"/>
        <v>0</v>
      </c>
      <c r="K44" s="8">
        <f>C44-J44</f>
        <v>554.22</v>
      </c>
      <c r="L44" s="8">
        <f t="shared" si="16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</f>
        <v>1989.2200000000003</v>
      </c>
      <c r="D45" s="32">
        <v>181.13</v>
      </c>
      <c r="E45" s="32">
        <v>2.17</v>
      </c>
      <c r="F45" s="32">
        <v>0</v>
      </c>
      <c r="G45" s="32">
        <v>0</v>
      </c>
      <c r="H45" s="8">
        <f>D45+F45+'03-31-22'!H42</f>
        <v>957.63</v>
      </c>
      <c r="I45" s="8">
        <f>E45+G45+'03-31-22'!I42</f>
        <v>11.459999999999999</v>
      </c>
      <c r="J45" s="8">
        <f t="shared" si="17"/>
        <v>969.09</v>
      </c>
      <c r="K45" s="8">
        <f>C45-J45</f>
        <v>1020.1300000000002</v>
      </c>
      <c r="L45" s="8">
        <f t="shared" si="16"/>
        <v>786.09806122449345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D46+F46+'03-31-22'!H43</f>
        <v>3121.7</v>
      </c>
      <c r="I46" s="8">
        <f>E46+G46+'03-31-22'!I43</f>
        <v>29.869999999999997</v>
      </c>
      <c r="J46" s="9">
        <f t="shared" si="17"/>
        <v>3151.5699999999997</v>
      </c>
      <c r="K46" s="92">
        <f t="shared" ref="K46:K48" si="19">C46-J46</f>
        <v>0</v>
      </c>
      <c r="L46" s="8">
        <f t="shared" si="16"/>
        <v>-761.09343537413815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D47+F47+'03-31-22'!H44</f>
        <v>0</v>
      </c>
      <c r="I47" s="8">
        <f>E47+G47+'03-31-22'!I44</f>
        <v>0</v>
      </c>
      <c r="J47" s="9">
        <f t="shared" si="17"/>
        <v>0</v>
      </c>
      <c r="K47" s="92">
        <f t="shared" si="19"/>
        <v>1332</v>
      </c>
      <c r="L47" s="8">
        <f t="shared" si="16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312.48</v>
      </c>
      <c r="E48" s="32">
        <v>3.74</v>
      </c>
      <c r="F48" s="32">
        <v>0</v>
      </c>
      <c r="G48" s="32">
        <v>0</v>
      </c>
      <c r="H48" s="8">
        <f>D48+F48+'03-31-22'!H45</f>
        <v>2455.1999999999998</v>
      </c>
      <c r="I48" s="8">
        <f>E48+G48+'03-31-22'!I45</f>
        <v>29.370000000000005</v>
      </c>
      <c r="J48" s="8">
        <f t="shared" si="17"/>
        <v>2484.5699999999997</v>
      </c>
      <c r="K48" s="92">
        <f t="shared" si="19"/>
        <v>2515.4300000000003</v>
      </c>
      <c r="L48" s="8">
        <f t="shared" si="16"/>
        <v>1915.4147959183765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330</v>
      </c>
      <c r="E49" s="32">
        <v>3.96</v>
      </c>
      <c r="F49" s="32">
        <v>0</v>
      </c>
      <c r="G49" s="32">
        <v>0</v>
      </c>
      <c r="H49" s="8">
        <f>D49+F49+'03-31-22'!H46</f>
        <v>7960.72</v>
      </c>
      <c r="I49" s="8">
        <f>E49+G49+'03-31-22'!I46</f>
        <v>412.35999999999996</v>
      </c>
      <c r="J49" s="8">
        <f t="shared" si="17"/>
        <v>8373.08</v>
      </c>
      <c r="K49" s="8">
        <f>C49-J49</f>
        <v>2318.2700000000004</v>
      </c>
      <c r="L49" s="8">
        <f t="shared" si="16"/>
        <v>296.19965986397438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D50+F50+'03-31-22'!H47</f>
        <v>0</v>
      </c>
      <c r="I50" s="8">
        <f>E50+G50+'03-31-22'!I47</f>
        <v>0</v>
      </c>
      <c r="J50" s="8">
        <f t="shared" si="17"/>
        <v>0</v>
      </c>
      <c r="K50" s="8">
        <f t="shared" ref="K50" si="20">C50-J50</f>
        <v>1481.58</v>
      </c>
      <c r="L50" s="8">
        <f t="shared" si="16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859.94</v>
      </c>
      <c r="E51" s="32">
        <v>10.31</v>
      </c>
      <c r="F51" s="32">
        <v>0</v>
      </c>
      <c r="G51" s="32">
        <v>0</v>
      </c>
      <c r="H51" s="8">
        <f>D51+F51+'03-31-22'!H48</f>
        <v>10372.280000000002</v>
      </c>
      <c r="I51" s="8">
        <f>E51+G51+'03-31-22'!I48</f>
        <v>124.38</v>
      </c>
      <c r="J51" s="8">
        <f t="shared" si="17"/>
        <v>10496.660000000002</v>
      </c>
      <c r="K51" s="8">
        <f>C51-J51</f>
        <v>8703.3399999999983</v>
      </c>
      <c r="L51" s="8">
        <f t="shared" si="16"/>
        <v>6168.4323129252043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0</v>
      </c>
      <c r="E52" s="32">
        <v>0</v>
      </c>
      <c r="F52" s="32">
        <v>0</v>
      </c>
      <c r="G52" s="32">
        <v>0</v>
      </c>
      <c r="H52" s="8">
        <f>D52+F52+'03-31-22'!H49</f>
        <v>1754.38</v>
      </c>
      <c r="I52" s="8">
        <f>E52+G52+'03-31-22'!I49</f>
        <v>131.57</v>
      </c>
      <c r="J52" s="8">
        <f t="shared" si="17"/>
        <v>1885.95</v>
      </c>
      <c r="K52" s="8">
        <f>C52-J52</f>
        <v>2384.9000000000005</v>
      </c>
      <c r="L52" s="8">
        <f t="shared" si="16"/>
        <v>1929.4494897959253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300</v>
      </c>
      <c r="E53" s="32">
        <v>3.6</v>
      </c>
      <c r="F53" s="32">
        <v>0</v>
      </c>
      <c r="G53" s="32">
        <v>0</v>
      </c>
      <c r="H53" s="8">
        <f>D53+F53+'03-31-22'!H50</f>
        <v>1305</v>
      </c>
      <c r="I53" s="8">
        <f>E53+G53+'03-31-22'!I50</f>
        <v>15.66</v>
      </c>
      <c r="J53" s="8">
        <f t="shared" si="17"/>
        <v>1320.66</v>
      </c>
      <c r="K53" s="8">
        <f>C53-J53</f>
        <v>2379.34</v>
      </c>
      <c r="L53" s="8">
        <f t="shared" si="16"/>
        <v>2060.4051020408206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D54+F54+'03-31-22'!H51</f>
        <v>0</v>
      </c>
      <c r="I54" s="8">
        <f>E54+G54+'03-31-22'!I51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D55+F55+'03-31-22'!H52</f>
        <v>0</v>
      </c>
      <c r="I55" s="8">
        <f>E55+G55+'03-31-22'!I52</f>
        <v>0</v>
      </c>
      <c r="J55" s="8">
        <f t="shared" si="17"/>
        <v>0</v>
      </c>
      <c r="K55" s="8">
        <f t="shared" si="18"/>
        <v>202.01</v>
      </c>
      <c r="L55" s="8">
        <f t="shared" si="16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D56+F56+'03-31-22'!H53</f>
        <v>0</v>
      </c>
      <c r="I56" s="8">
        <f>E56+G56+'03-31-22'!I53</f>
        <v>0</v>
      </c>
      <c r="J56" s="8">
        <f t="shared" si="17"/>
        <v>0</v>
      </c>
      <c r="K56" s="8">
        <f t="shared" si="18"/>
        <v>0</v>
      </c>
      <c r="L56" s="8">
        <f t="shared" si="16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D57+F57+'03-31-22'!H54</f>
        <v>0</v>
      </c>
      <c r="I57" s="8">
        <f>E57+G57+'03-31-22'!I54</f>
        <v>0</v>
      </c>
      <c r="J57" s="8">
        <f t="shared" si="17"/>
        <v>0</v>
      </c>
      <c r="K57" s="8">
        <f t="shared" si="18"/>
        <v>3655.06</v>
      </c>
      <c r="L57" s="8">
        <f t="shared" si="16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D58+F58+'03-31-22'!H55</f>
        <v>0</v>
      </c>
      <c r="I58" s="8">
        <f>E58+G58+'03-31-22'!I55</f>
        <v>0</v>
      </c>
      <c r="J58" s="8">
        <f t="shared" si="17"/>
        <v>0</v>
      </c>
      <c r="K58" s="8">
        <f t="shared" si="18"/>
        <v>0</v>
      </c>
      <c r="L58" s="8">
        <f t="shared" si="16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0</v>
      </c>
      <c r="E59" s="32">
        <v>0</v>
      </c>
      <c r="F59" s="32">
        <v>0</v>
      </c>
      <c r="G59" s="32">
        <v>0</v>
      </c>
      <c r="H59" s="8">
        <f>D59+F59+'03-31-22'!H56</f>
        <v>0</v>
      </c>
      <c r="I59" s="8">
        <f>E59+G59+'03-31-22'!I56</f>
        <v>0</v>
      </c>
      <c r="J59" s="8">
        <f t="shared" si="17"/>
        <v>0</v>
      </c>
      <c r="K59" s="8">
        <f t="shared" si="18"/>
        <v>3313.36</v>
      </c>
      <c r="L59" s="8">
        <f t="shared" si="16"/>
        <v>3313.36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D60+F60+'03-31-22'!H57</f>
        <v>2.4</v>
      </c>
      <c r="I60" s="8">
        <f>E60+G60+'03-31-22'!I57</f>
        <v>0.02</v>
      </c>
      <c r="J60" s="8">
        <f t="shared" si="17"/>
        <v>2.42</v>
      </c>
      <c r="K60" s="8">
        <f t="shared" si="18"/>
        <v>4190.72</v>
      </c>
      <c r="L60" s="8">
        <f t="shared" si="16"/>
        <v>4190.135578231293</v>
      </c>
      <c r="M60" s="68"/>
    </row>
    <row r="61" spans="1:13" s="63" customFormat="1" ht="11.25" customHeight="1" x14ac:dyDescent="0.2">
      <c r="A61" s="18" t="s">
        <v>73</v>
      </c>
      <c r="B61" s="61" t="s">
        <v>72</v>
      </c>
      <c r="C61" s="62">
        <v>4193.1400000000003</v>
      </c>
      <c r="D61" s="32">
        <v>0</v>
      </c>
      <c r="E61" s="32">
        <v>0</v>
      </c>
      <c r="F61" s="32">
        <v>0</v>
      </c>
      <c r="G61" s="32">
        <v>0</v>
      </c>
      <c r="H61" s="8">
        <f>D61+F61+'03-31-22'!H58</f>
        <v>2754</v>
      </c>
      <c r="I61" s="8">
        <f>E61+G61+'03-31-22'!I58</f>
        <v>114.28999999999999</v>
      </c>
      <c r="J61" s="8">
        <f t="shared" si="17"/>
        <v>2868.29</v>
      </c>
      <c r="K61" s="8">
        <f t="shared" si="18"/>
        <v>1324.8500000000004</v>
      </c>
      <c r="L61" s="8">
        <f t="shared" si="16"/>
        <v>632.16772108844589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307.83999999999997</v>
      </c>
      <c r="E62" s="32">
        <v>3.69</v>
      </c>
      <c r="F62" s="32">
        <v>0</v>
      </c>
      <c r="G62" s="32">
        <v>0</v>
      </c>
      <c r="H62" s="8">
        <f>D62+F62+'03-31-22'!H59</f>
        <v>4125.13</v>
      </c>
      <c r="I62" s="8">
        <f>E62+G62+'03-31-22'!I59</f>
        <v>45.71</v>
      </c>
      <c r="J62" s="8">
        <f t="shared" si="17"/>
        <v>4170.84</v>
      </c>
      <c r="K62" s="8">
        <f t="shared" si="18"/>
        <v>1029.1599999999999</v>
      </c>
      <c r="L62" s="8">
        <f t="shared" si="16"/>
        <v>21.916326530626975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3">
        <v>0</v>
      </c>
      <c r="E63" s="33">
        <v>0</v>
      </c>
      <c r="F63" s="33">
        <v>30</v>
      </c>
      <c r="G63" s="33">
        <v>2.25</v>
      </c>
      <c r="H63" s="8">
        <f>D63+F63+'03-31-22'!H60</f>
        <v>386.25</v>
      </c>
      <c r="I63" s="8">
        <f>E63+G63+'03-31-22'!I60</f>
        <v>28.950000000000003</v>
      </c>
      <c r="J63" s="8">
        <f t="shared" si="17"/>
        <v>415.2</v>
      </c>
      <c r="K63" s="8">
        <f t="shared" si="18"/>
        <v>3333.8</v>
      </c>
      <c r="L63" s="8">
        <f t="shared" si="16"/>
        <v>3233.5306122448992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92327.109999999986</v>
      </c>
      <c r="D64" s="7">
        <f t="shared" ref="D64:L64" si="21">SUM(D38:D63)</f>
        <v>2861.3900000000003</v>
      </c>
      <c r="E64" s="7">
        <f t="shared" si="21"/>
        <v>34.31</v>
      </c>
      <c r="F64" s="7">
        <f t="shared" si="21"/>
        <v>30</v>
      </c>
      <c r="G64" s="7">
        <f t="shared" si="21"/>
        <v>2.25</v>
      </c>
      <c r="H64" s="7">
        <f t="shared" si="21"/>
        <v>45298.29</v>
      </c>
      <c r="I64" s="7">
        <f t="shared" si="21"/>
        <v>1510.6525936</v>
      </c>
      <c r="J64" s="7">
        <f t="shared" si="21"/>
        <v>46808.942593600004</v>
      </c>
      <c r="K64" s="7">
        <f t="shared" si="21"/>
        <v>45518.167406399996</v>
      </c>
      <c r="L64" s="7">
        <f t="shared" si="21"/>
        <v>34213.966984136219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v>2426.71</v>
      </c>
      <c r="E67" s="9">
        <v>29.12</v>
      </c>
      <c r="F67" s="9">
        <v>0</v>
      </c>
      <c r="G67" s="9">
        <v>0</v>
      </c>
      <c r="H67" s="8">
        <f>D67+F67+'03-31-22'!H64</f>
        <v>26270.079999999998</v>
      </c>
      <c r="I67" s="8">
        <f>E67+G67+'03-31-22'!I64</f>
        <v>384.23</v>
      </c>
      <c r="J67" s="8">
        <f t="shared" ref="J67:J68" si="22">H67+I67</f>
        <v>26654.309999999998</v>
      </c>
      <c r="K67" s="8">
        <f>C67-J67</f>
        <v>35928.69</v>
      </c>
      <c r="L67" s="8">
        <f t="shared" ref="L67:L68" si="23">C67-((J67/21)*26.0714285714285)</f>
        <v>29491.764795918461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D68+F68+'03-31-22'!H65</f>
        <v>0</v>
      </c>
      <c r="I68" s="8">
        <f>E68+G68+'03-31-22'!I65</f>
        <v>0</v>
      </c>
      <c r="J68" s="8">
        <f t="shared" si="22"/>
        <v>0</v>
      </c>
      <c r="K68" s="8">
        <f>C68-J68</f>
        <v>0</v>
      </c>
      <c r="L68" s="8">
        <f t="shared" si="23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4">D67+D68</f>
        <v>2426.71</v>
      </c>
      <c r="E69" s="14">
        <f t="shared" si="24"/>
        <v>29.12</v>
      </c>
      <c r="F69" s="14">
        <f t="shared" si="24"/>
        <v>0</v>
      </c>
      <c r="G69" s="14">
        <f t="shared" si="24"/>
        <v>0</v>
      </c>
      <c r="H69" s="14">
        <f t="shared" si="24"/>
        <v>26270.079999999998</v>
      </c>
      <c r="I69" s="14">
        <f t="shared" si="24"/>
        <v>384.23</v>
      </c>
      <c r="J69" s="14">
        <f t="shared" si="24"/>
        <v>26654.309999999998</v>
      </c>
      <c r="K69" s="14">
        <f t="shared" si="24"/>
        <v>35928.69</v>
      </c>
      <c r="L69" s="14">
        <f t="shared" si="24"/>
        <v>29491.764795918461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D72+F72+'03-31-22'!H69</f>
        <v>758.14</v>
      </c>
      <c r="I72" s="8">
        <f>E72+G72+'03-31-22'!I69</f>
        <v>30.26</v>
      </c>
      <c r="J72" s="8">
        <f t="shared" ref="J72" si="25">H72+I72</f>
        <v>788.4</v>
      </c>
      <c r="K72" s="8">
        <f>C72-J72</f>
        <v>36947.599999999999</v>
      </c>
      <c r="L72" s="8">
        <f>C72-((J72/21)*26.0714285714285)</f>
        <v>36757.204081632655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6">SUM(C72)</f>
        <v>37736</v>
      </c>
      <c r="D73" s="7">
        <f t="shared" si="26"/>
        <v>0</v>
      </c>
      <c r="E73" s="7">
        <f t="shared" si="26"/>
        <v>0</v>
      </c>
      <c r="F73" s="7">
        <f t="shared" si="26"/>
        <v>0</v>
      </c>
      <c r="G73" s="7">
        <f t="shared" si="26"/>
        <v>0</v>
      </c>
      <c r="H73" s="7">
        <f t="shared" si="26"/>
        <v>758.14</v>
      </c>
      <c r="I73" s="7">
        <f t="shared" si="26"/>
        <v>30.26</v>
      </c>
      <c r="J73" s="7">
        <f t="shared" si="26"/>
        <v>788.4</v>
      </c>
      <c r="K73" s="7">
        <f t="shared" si="26"/>
        <v>36947.599999999999</v>
      </c>
      <c r="L73" s="7">
        <f t="shared" si="26"/>
        <v>36757.204081632655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8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8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8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</sheetData>
  <mergeCells count="58">
    <mergeCell ref="A99:F99"/>
    <mergeCell ref="M99:R99"/>
    <mergeCell ref="A96:F96"/>
    <mergeCell ref="M96:R96"/>
    <mergeCell ref="A97:F97"/>
    <mergeCell ref="M97:R97"/>
    <mergeCell ref="A98:F98"/>
    <mergeCell ref="M98:R98"/>
    <mergeCell ref="A93:F93"/>
    <mergeCell ref="M93:R93"/>
    <mergeCell ref="A94:F94"/>
    <mergeCell ref="M94:R94"/>
    <mergeCell ref="A95:F95"/>
    <mergeCell ref="M95:R95"/>
    <mergeCell ref="A90:F90"/>
    <mergeCell ref="M90:R90"/>
    <mergeCell ref="A91:F91"/>
    <mergeCell ref="M91:R91"/>
    <mergeCell ref="A92:F92"/>
    <mergeCell ref="M92:R92"/>
    <mergeCell ref="A87:F87"/>
    <mergeCell ref="M87:R87"/>
    <mergeCell ref="A88:F88"/>
    <mergeCell ref="M88:R88"/>
    <mergeCell ref="A89:F89"/>
    <mergeCell ref="M89:R89"/>
    <mergeCell ref="A84:F84"/>
    <mergeCell ref="M84:R84"/>
    <mergeCell ref="A85:F85"/>
    <mergeCell ref="M85:R85"/>
    <mergeCell ref="A86:F86"/>
    <mergeCell ref="M86:R86"/>
    <mergeCell ref="A81:F81"/>
    <mergeCell ref="M81:R81"/>
    <mergeCell ref="A82:F82"/>
    <mergeCell ref="M82:R82"/>
    <mergeCell ref="A83:F83"/>
    <mergeCell ref="M83:R83"/>
    <mergeCell ref="A78:F78"/>
    <mergeCell ref="M78:R78"/>
    <mergeCell ref="A79:F79"/>
    <mergeCell ref="M79:R79"/>
    <mergeCell ref="A80:F80"/>
    <mergeCell ref="M80:R80"/>
    <mergeCell ref="A75:F75"/>
    <mergeCell ref="M75:R75"/>
    <mergeCell ref="A76:F76"/>
    <mergeCell ref="M76:R76"/>
    <mergeCell ref="A77:F77"/>
    <mergeCell ref="M77:R77"/>
    <mergeCell ref="A73:B73"/>
    <mergeCell ref="A7:B7"/>
    <mergeCell ref="A69:B69"/>
    <mergeCell ref="A20:B20"/>
    <mergeCell ref="A27:B27"/>
    <mergeCell ref="A32:B32"/>
    <mergeCell ref="A35:B35"/>
    <mergeCell ref="A64:B64"/>
  </mergeCells>
  <pageMargins left="0.25" right="0" top="0.4" bottom="0" header="0.3" footer="0"/>
  <pageSetup scale="68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7AB0-AE36-4F5F-A2E1-3A86F3E06A92}">
  <sheetPr>
    <pageSetUpPr fitToPage="1"/>
  </sheetPr>
  <dimension ref="A1:S101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153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1000+821.59+1500+1116.23+1266.24</f>
        <v>5704.0599999999995</v>
      </c>
      <c r="D3" s="32">
        <v>212.5</v>
      </c>
      <c r="E3" s="32">
        <v>2.5499999999999998</v>
      </c>
      <c r="F3" s="32">
        <v>0</v>
      </c>
      <c r="G3" s="32">
        <v>0</v>
      </c>
      <c r="H3" s="8">
        <f>D3+F3+'04-14-22'!H3</f>
        <v>3800</v>
      </c>
      <c r="I3" s="8">
        <f>E3+G3+'04-14-22'!I3</f>
        <v>45.579999999999991</v>
      </c>
      <c r="J3" s="8">
        <f>H3+I3</f>
        <v>3845.58</v>
      </c>
      <c r="K3" s="8">
        <f>C3-J3</f>
        <v>1858.4799999999996</v>
      </c>
      <c r="L3" s="8">
        <f>C3-((J3/22)*26.0714285714285)</f>
        <v>1146.7979870129993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260</v>
      </c>
      <c r="E4" s="32">
        <v>3.12</v>
      </c>
      <c r="F4" s="32">
        <v>120</v>
      </c>
      <c r="G4" s="32">
        <v>9</v>
      </c>
      <c r="H4" s="8">
        <f>D4+F4+'04-14-22'!H4</f>
        <v>9911.25</v>
      </c>
      <c r="I4" s="8">
        <f>E4+G4+'04-14-22'!I4</f>
        <v>239.82000000000005</v>
      </c>
      <c r="J4" s="8">
        <f>H4+I4</f>
        <v>10151.07</v>
      </c>
      <c r="K4" s="8">
        <f>C4-J4</f>
        <v>648.93000000000029</v>
      </c>
      <c r="L4" s="8">
        <f t="shared" ref="L4:L6" si="0">C4-((J4/22)*26.0714285714285)</f>
        <v>-1229.6771103895753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D5+F5+'04-14-22'!H5</f>
        <v>6825</v>
      </c>
      <c r="I5" s="8">
        <f>E5+G5+'04-14-22'!I5</f>
        <v>511.84000000000003</v>
      </c>
      <c r="J5" s="8">
        <f>H5+I5</f>
        <v>7336.84</v>
      </c>
      <c r="K5" s="8">
        <f>C5-J5</f>
        <v>8218.16</v>
      </c>
      <c r="L5" s="8">
        <f t="shared" si="0"/>
        <v>6860.3681818182067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D6+F6+'04-14-22'!H6</f>
        <v>4207.5</v>
      </c>
      <c r="I6" s="8">
        <f>E6+G6+'04-14-22'!I6</f>
        <v>50.45000000000001</v>
      </c>
      <c r="J6" s="8">
        <f>H6+I6</f>
        <v>4257.95</v>
      </c>
      <c r="K6" s="8">
        <f>C6-J6</f>
        <v>2192.0500000000002</v>
      </c>
      <c r="L6" s="8">
        <f t="shared" si="0"/>
        <v>1404.0527597402743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38509.06</v>
      </c>
      <c r="D7" s="35">
        <f t="shared" ref="D7:L7" si="1">SUM(D3:D6)</f>
        <v>472.5</v>
      </c>
      <c r="E7" s="35">
        <f t="shared" si="1"/>
        <v>5.67</v>
      </c>
      <c r="F7" s="35">
        <f t="shared" si="1"/>
        <v>120</v>
      </c>
      <c r="G7" s="35">
        <f t="shared" si="1"/>
        <v>9</v>
      </c>
      <c r="H7" s="35">
        <f t="shared" si="1"/>
        <v>24743.75</v>
      </c>
      <c r="I7" s="35">
        <f t="shared" si="1"/>
        <v>847.69</v>
      </c>
      <c r="J7" s="35">
        <f t="shared" si="1"/>
        <v>25591.439999999999</v>
      </c>
      <c r="K7" s="35">
        <f t="shared" si="1"/>
        <v>12917.619999999999</v>
      </c>
      <c r="L7" s="35">
        <f t="shared" si="1"/>
        <v>8181.541818181905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3">
        <v>206.25</v>
      </c>
      <c r="E10" s="33">
        <v>2.4700000000000002</v>
      </c>
      <c r="F10" s="33">
        <v>0</v>
      </c>
      <c r="G10" s="33">
        <v>0</v>
      </c>
      <c r="H10" s="8">
        <f>D10+F10+'04-14-22'!H10</f>
        <v>34920.81</v>
      </c>
      <c r="I10" s="8">
        <f>E10+G10+'04-14-22'!I10</f>
        <v>2363.2799999999997</v>
      </c>
      <c r="J10" s="8">
        <f t="shared" ref="J10:J19" si="2">H10+I10</f>
        <v>37284.089999999997</v>
      </c>
      <c r="K10" s="8">
        <f t="shared" ref="K10:K19" si="3">C10-J10</f>
        <v>28715.910000000003</v>
      </c>
      <c r="L10" s="8">
        <f t="shared" ref="L10:L19" si="4">C10-((J10/22)*26.0714285714285)</f>
        <v>21815.932305194932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</f>
        <v>2917</v>
      </c>
      <c r="D11" s="32">
        <v>0</v>
      </c>
      <c r="E11" s="32">
        <v>0</v>
      </c>
      <c r="F11" s="32">
        <v>0</v>
      </c>
      <c r="G11" s="32">
        <v>0</v>
      </c>
      <c r="H11" s="8">
        <f>D11+F11+'04-14-22'!H11</f>
        <v>0</v>
      </c>
      <c r="I11" s="8">
        <f>E11+G11+'04-14-22'!I11</f>
        <v>0</v>
      </c>
      <c r="J11" s="8">
        <f t="shared" si="2"/>
        <v>0</v>
      </c>
      <c r="K11" s="8">
        <f t="shared" si="3"/>
        <v>2917</v>
      </c>
      <c r="L11" s="8">
        <f t="shared" si="4"/>
        <v>2917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v>1696.71</v>
      </c>
      <c r="E12" s="9">
        <v>20.36</v>
      </c>
      <c r="F12" s="9">
        <v>0</v>
      </c>
      <c r="G12" s="9">
        <v>0</v>
      </c>
      <c r="H12" s="8">
        <f>D12+F12+'04-14-22'!H12</f>
        <v>18696.370000000003</v>
      </c>
      <c r="I12" s="8">
        <f>E12+G12+'04-14-22'!I12</f>
        <v>224.17999999999989</v>
      </c>
      <c r="J12" s="8">
        <f t="shared" si="2"/>
        <v>18920.550000000003</v>
      </c>
      <c r="K12" s="8">
        <f t="shared" si="3"/>
        <v>5728.4499999999971</v>
      </c>
      <c r="L12" s="8">
        <f t="shared" si="4"/>
        <v>2226.9196428572031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f>-722.11+1448.1</f>
        <v>725.9899999999999</v>
      </c>
      <c r="E13" s="9">
        <f>-8.66+17.37</f>
        <v>8.7100000000000009</v>
      </c>
      <c r="F13" s="9">
        <v>0</v>
      </c>
      <c r="G13" s="9">
        <v>0</v>
      </c>
      <c r="H13" s="8">
        <f>D13+F13+'04-14-22'!H13</f>
        <v>13141.71</v>
      </c>
      <c r="I13" s="8">
        <f>E13+G13+'04-14-22'!I13</f>
        <v>157.48000000000002</v>
      </c>
      <c r="J13" s="8">
        <f t="shared" si="2"/>
        <v>13299.189999999999</v>
      </c>
      <c r="K13" s="8">
        <f t="shared" si="3"/>
        <v>4674.8100000000013</v>
      </c>
      <c r="L13" s="8">
        <f t="shared" si="4"/>
        <v>2213.5962662338097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v>1509.57</v>
      </c>
      <c r="E14" s="9">
        <v>18.11</v>
      </c>
      <c r="F14" s="9">
        <v>0</v>
      </c>
      <c r="G14" s="9">
        <v>0</v>
      </c>
      <c r="H14" s="8">
        <f>D14+F14+'04-14-22'!H14</f>
        <v>15818.029999999999</v>
      </c>
      <c r="I14" s="8">
        <f>E14+G14+'04-14-22'!I14</f>
        <v>261.06999999999994</v>
      </c>
      <c r="J14" s="8">
        <f t="shared" si="2"/>
        <v>16079.099999999999</v>
      </c>
      <c r="K14" s="8">
        <f t="shared" si="3"/>
        <v>1894.9000000000015</v>
      </c>
      <c r="L14" s="8">
        <f t="shared" si="4"/>
        <v>-1080.7775974025426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v>1409.24</v>
      </c>
      <c r="E15" s="9">
        <v>16.91</v>
      </c>
      <c r="F15" s="9">
        <v>0</v>
      </c>
      <c r="G15" s="9">
        <v>0</v>
      </c>
      <c r="H15" s="8">
        <f>D15+F15+'04-14-22'!H15</f>
        <v>17611.169999999998</v>
      </c>
      <c r="I15" s="8">
        <f>E15+G15+'04-14-22'!I15</f>
        <v>304.05</v>
      </c>
      <c r="J15" s="8">
        <f t="shared" si="2"/>
        <v>17915.219999999998</v>
      </c>
      <c r="K15" s="8">
        <f t="shared" si="3"/>
        <v>6414.7800000000025</v>
      </c>
      <c r="L15" s="8">
        <f t="shared" si="4"/>
        <v>3099.300974026035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f>61.03+1472.72</f>
        <v>1533.75</v>
      </c>
      <c r="E16" s="8">
        <f>0.73+17.67</f>
        <v>18.400000000000002</v>
      </c>
      <c r="F16" s="8">
        <v>0</v>
      </c>
      <c r="G16" s="8">
        <v>0</v>
      </c>
      <c r="H16" s="8">
        <f>D16+F16+'04-14-22'!H16</f>
        <v>25809.51</v>
      </c>
      <c r="I16" s="8">
        <f>E16+G16+'04-14-22'!I16</f>
        <v>387.46000000000004</v>
      </c>
      <c r="J16" s="8">
        <f t="shared" si="2"/>
        <v>26196.969999999998</v>
      </c>
      <c r="K16" s="8">
        <f t="shared" si="3"/>
        <v>7531.4600000000028</v>
      </c>
      <c r="L16" s="8">
        <f t="shared" si="4"/>
        <v>2683.3194480520397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f>478.78+2563.48</f>
        <v>3042.26</v>
      </c>
      <c r="E17" s="8">
        <f>4.13+30.75</f>
        <v>34.880000000000003</v>
      </c>
      <c r="F17" s="8">
        <v>0</v>
      </c>
      <c r="G17" s="8">
        <v>0</v>
      </c>
      <c r="H17" s="8">
        <f>D17+F17+'04-14-22'!H17</f>
        <v>35826.210000000006</v>
      </c>
      <c r="I17" s="8">
        <f>E17+G17+'04-14-22'!I17</f>
        <v>430.31</v>
      </c>
      <c r="J17" s="8">
        <f t="shared" si="2"/>
        <v>36256.520000000004</v>
      </c>
      <c r="K17" s="8">
        <f t="shared" si="3"/>
        <v>6484.4799999999959</v>
      </c>
      <c r="L17" s="8">
        <f t="shared" si="4"/>
        <v>-225.3305194804052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f>-9.76+298.23</f>
        <v>288.47000000000003</v>
      </c>
      <c r="E18" s="9">
        <f>-0.11+3.57</f>
        <v>3.46</v>
      </c>
      <c r="F18" s="9">
        <v>0</v>
      </c>
      <c r="G18" s="9">
        <v>0</v>
      </c>
      <c r="H18" s="8">
        <f>D18+F18+'04-14-22'!H18</f>
        <v>11451.69</v>
      </c>
      <c r="I18" s="8">
        <f>E18+G18+'04-14-22'!I18</f>
        <v>137.28</v>
      </c>
      <c r="J18" s="8">
        <f t="shared" si="2"/>
        <v>11588.970000000001</v>
      </c>
      <c r="K18" s="8">
        <f t="shared" si="3"/>
        <v>12584.029999999999</v>
      </c>
      <c r="L18" s="8">
        <f t="shared" si="4"/>
        <v>10439.318019480555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339.7</v>
      </c>
      <c r="E19" s="9">
        <v>4.07</v>
      </c>
      <c r="F19" s="9">
        <v>0</v>
      </c>
      <c r="G19" s="9">
        <v>0</v>
      </c>
      <c r="H19" s="8">
        <f>D19+F19+'04-14-22'!H19</f>
        <v>3910.4299999999994</v>
      </c>
      <c r="I19" s="8">
        <f>E19+G19+'04-14-22'!I19</f>
        <v>55.76</v>
      </c>
      <c r="J19" s="8">
        <f t="shared" si="2"/>
        <v>3966.1899999999996</v>
      </c>
      <c r="K19" s="8">
        <f t="shared" si="3"/>
        <v>2033.8100000000004</v>
      </c>
      <c r="L19" s="8">
        <f t="shared" si="4"/>
        <v>1299.8073051948195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260486.43</v>
      </c>
      <c r="D20" s="35">
        <f t="shared" ref="D20:L20" si="5">SUM(D10:D19)</f>
        <v>10751.94</v>
      </c>
      <c r="E20" s="35">
        <f t="shared" si="5"/>
        <v>127.37</v>
      </c>
      <c r="F20" s="35">
        <f t="shared" si="5"/>
        <v>0</v>
      </c>
      <c r="G20" s="35">
        <f t="shared" si="5"/>
        <v>0</v>
      </c>
      <c r="H20" s="35">
        <f t="shared" si="5"/>
        <v>177185.93</v>
      </c>
      <c r="I20" s="35">
        <f t="shared" si="5"/>
        <v>4320.87</v>
      </c>
      <c r="J20" s="35">
        <f t="shared" si="5"/>
        <v>181506.80000000002</v>
      </c>
      <c r="K20" s="35">
        <f t="shared" si="5"/>
        <v>78979.63</v>
      </c>
      <c r="L20" s="35">
        <f t="shared" si="5"/>
        <v>45389.085844156449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6">D23+F23</f>
        <v>0</v>
      </c>
      <c r="I23" s="8">
        <f t="shared" si="6"/>
        <v>0</v>
      </c>
      <c r="J23" s="8">
        <f t="shared" ref="J23:J26" si="7">H23+I23</f>
        <v>0</v>
      </c>
      <c r="K23" s="8">
        <f>C23-J23</f>
        <v>0</v>
      </c>
      <c r="L23" s="8">
        <f t="shared" ref="L23" si="8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D24+F24+'04-14-22'!H24</f>
        <v>1375.3999999999999</v>
      </c>
      <c r="I24" s="8">
        <f>E24+G24+'04-14-22'!I24</f>
        <v>16.439999999999998</v>
      </c>
      <c r="J24" s="8">
        <f>H24+I24</f>
        <v>1391.84</v>
      </c>
      <c r="K24" s="8">
        <f>C24-J24</f>
        <v>717.16000000000008</v>
      </c>
      <c r="L24" s="8">
        <f t="shared" ref="L24:L26" si="9">C24-((J24/22)*26.0714285714285)</f>
        <v>459.57922077922558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v>47.61</v>
      </c>
      <c r="E25" s="32">
        <v>0.56999999999999995</v>
      </c>
      <c r="F25" s="32">
        <v>0</v>
      </c>
      <c r="G25" s="32">
        <v>0</v>
      </c>
      <c r="H25" s="8">
        <f>D25+F25+'04-14-22'!H25</f>
        <v>1912.34</v>
      </c>
      <c r="I25" s="8">
        <f>E25+G25+'04-14-22'!I25</f>
        <v>22.860000000000003</v>
      </c>
      <c r="J25" s="8">
        <f t="shared" si="7"/>
        <v>1935.1999999999998</v>
      </c>
      <c r="K25" s="8">
        <f t="shared" ref="K25:K26" si="10">C25-J25</f>
        <v>12017.8</v>
      </c>
      <c r="L25" s="8">
        <f t="shared" si="9"/>
        <v>11659.662337662345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D26+F26+'04-14-22'!H26</f>
        <v>1967.5</v>
      </c>
      <c r="I26" s="8">
        <f>E26+G26+'04-14-22'!I26</f>
        <v>23.580000000000002</v>
      </c>
      <c r="J26" s="8">
        <f t="shared" si="7"/>
        <v>1991.08</v>
      </c>
      <c r="K26" s="8">
        <f t="shared" si="10"/>
        <v>34.920000000000073</v>
      </c>
      <c r="L26" s="8">
        <f t="shared" si="9"/>
        <v>-333.55909090908426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1">SUM(C23:C26)</f>
        <v>18088</v>
      </c>
      <c r="D27" s="7">
        <f t="shared" si="11"/>
        <v>47.61</v>
      </c>
      <c r="E27" s="7">
        <f t="shared" si="11"/>
        <v>0.56999999999999995</v>
      </c>
      <c r="F27" s="7">
        <f t="shared" si="11"/>
        <v>0</v>
      </c>
      <c r="G27" s="7">
        <f t="shared" si="11"/>
        <v>0</v>
      </c>
      <c r="H27" s="8">
        <f>D27+F27+'07-22-21'!H23</f>
        <v>47.61</v>
      </c>
      <c r="I27" s="8">
        <f>E27+G27+'07-22-21'!I23</f>
        <v>0.56999999999999995</v>
      </c>
      <c r="J27" s="35">
        <f t="shared" si="11"/>
        <v>5318.12</v>
      </c>
      <c r="K27" s="7">
        <f t="shared" si="11"/>
        <v>12769.88</v>
      </c>
      <c r="L27" s="7">
        <f t="shared" si="11"/>
        <v>11785.682467532486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v>25000</v>
      </c>
      <c r="D30" s="9">
        <v>371.25</v>
      </c>
      <c r="E30" s="9">
        <v>4.45</v>
      </c>
      <c r="F30" s="9">
        <v>738.75</v>
      </c>
      <c r="G30" s="9">
        <v>55.4</v>
      </c>
      <c r="H30" s="8">
        <f>D30+F30+'04-14-22'!H30</f>
        <v>27561</v>
      </c>
      <c r="I30" s="8">
        <f>E30+G30+'04-14-22'!I30</f>
        <v>1290.5500000000002</v>
      </c>
      <c r="J30" s="8">
        <f t="shared" ref="J30:J31" si="12">H30+I30</f>
        <v>28851.55</v>
      </c>
      <c r="K30" s="85">
        <f>C30-J30</f>
        <v>-3851.5499999999993</v>
      </c>
      <c r="L30" s="8">
        <f>C30-((J30/22)*26.0714285714285)</f>
        <v>-9190.9602272726333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2"/>
        <v>0</v>
      </c>
      <c r="K31" s="8">
        <f t="shared" ref="K31" si="13">C31-J31</f>
        <v>0</v>
      </c>
      <c r="L31" s="8">
        <f t="shared" ref="L31" si="14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5">SUM(C30:C31)</f>
        <v>25000</v>
      </c>
      <c r="D32" s="31">
        <f t="shared" si="15"/>
        <v>371.25</v>
      </c>
      <c r="E32" s="31">
        <f t="shared" si="15"/>
        <v>4.45</v>
      </c>
      <c r="F32" s="31">
        <f t="shared" si="15"/>
        <v>738.75</v>
      </c>
      <c r="G32" s="31">
        <f t="shared" si="15"/>
        <v>55.4</v>
      </c>
      <c r="H32" s="31">
        <f t="shared" si="15"/>
        <v>27561</v>
      </c>
      <c r="I32" s="31">
        <f t="shared" si="15"/>
        <v>1290.5500000000002</v>
      </c>
      <c r="J32" s="31">
        <f t="shared" si="15"/>
        <v>28851.55</v>
      </c>
      <c r="K32" s="31">
        <f t="shared" si="15"/>
        <v>-3851.5499999999993</v>
      </c>
      <c r="L32" s="31">
        <f t="shared" si="15"/>
        <v>-9190.9602272726333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342083.49</v>
      </c>
      <c r="D35" s="24">
        <f t="shared" ref="D35:L35" si="16">D20+D27+D32+D7</f>
        <v>11643.300000000001</v>
      </c>
      <c r="E35" s="24">
        <f t="shared" si="16"/>
        <v>138.05999999999997</v>
      </c>
      <c r="F35" s="24">
        <f t="shared" si="16"/>
        <v>858.75</v>
      </c>
      <c r="G35" s="24">
        <f t="shared" si="16"/>
        <v>64.400000000000006</v>
      </c>
      <c r="H35" s="24">
        <f t="shared" si="16"/>
        <v>229538.28999999998</v>
      </c>
      <c r="I35" s="24">
        <f t="shared" si="16"/>
        <v>6459.68</v>
      </c>
      <c r="J35" s="24">
        <f t="shared" si="16"/>
        <v>241267.91</v>
      </c>
      <c r="K35" s="24">
        <f t="shared" si="16"/>
        <v>100815.58</v>
      </c>
      <c r="L35" s="24">
        <f t="shared" si="16"/>
        <v>56165.349902598209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v>3194.08</v>
      </c>
      <c r="D38" s="32">
        <v>240</v>
      </c>
      <c r="E38" s="32">
        <v>2.88</v>
      </c>
      <c r="F38" s="32">
        <v>0</v>
      </c>
      <c r="G38" s="32">
        <v>0</v>
      </c>
      <c r="H38" s="8">
        <f>D38+F38+'04-14-22'!H38</f>
        <v>1610.94</v>
      </c>
      <c r="I38" s="8">
        <f>E38+G38+'04-14-22'!I38</f>
        <v>72.08359999999999</v>
      </c>
      <c r="J38" s="8">
        <f>H38+I38</f>
        <v>1683.0236</v>
      </c>
      <c r="K38" s="8">
        <f>C38-J38</f>
        <v>1511.0563999999999</v>
      </c>
      <c r="L38" s="8">
        <f t="shared" ref="L38:L63" si="17">C38-((J38/22)*26.0714285714285)</f>
        <v>1199.5877467532523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D39+F39+'04-14-22'!H39</f>
        <v>1248</v>
      </c>
      <c r="I39" s="8">
        <f>E39+G39+'04-14-22'!I39</f>
        <v>93.6</v>
      </c>
      <c r="J39" s="8">
        <f t="shared" ref="J39:J63" si="18">H39+I39</f>
        <v>1341.6</v>
      </c>
      <c r="K39" s="8">
        <f t="shared" ref="K39:K63" si="19">C39-J39</f>
        <v>0</v>
      </c>
      <c r="L39" s="8">
        <f t="shared" si="17"/>
        <v>-248.28311688311237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v>350</v>
      </c>
      <c r="G40" s="32">
        <v>26.25</v>
      </c>
      <c r="H40" s="8">
        <f>D40+F40+'04-14-22'!H40</f>
        <v>7798</v>
      </c>
      <c r="I40" s="8">
        <f>E40+G40+'04-14-22'!I40</f>
        <v>430.02</v>
      </c>
      <c r="J40" s="8">
        <f t="shared" si="18"/>
        <v>8228.02</v>
      </c>
      <c r="K40" s="8">
        <f t="shared" si="19"/>
        <v>3330.3799999999992</v>
      </c>
      <c r="L40" s="8">
        <f t="shared" si="17"/>
        <v>1807.6620129870407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D41+F41+'04-14-22'!H41</f>
        <v>0</v>
      </c>
      <c r="I41" s="8">
        <f>E41+G41+'04-14-22'!I41</f>
        <v>0</v>
      </c>
      <c r="J41" s="8">
        <f t="shared" si="18"/>
        <v>0</v>
      </c>
      <c r="K41" s="8">
        <f t="shared" si="19"/>
        <v>0</v>
      </c>
      <c r="L41" s="8">
        <f t="shared" si="17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D42+F42+'04-14-22'!H42</f>
        <v>36.659999999999997</v>
      </c>
      <c r="I42" s="8">
        <f>E42+G42+'04-14-22'!I42</f>
        <v>0.43899359999999998</v>
      </c>
      <c r="J42" s="9">
        <f t="shared" si="18"/>
        <v>37.0989936</v>
      </c>
      <c r="K42" s="100">
        <f t="shared" si="19"/>
        <v>-37.0989936</v>
      </c>
      <c r="L42" s="8">
        <f t="shared" si="17"/>
        <v>-43.964716441558323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D43+F43+'04-14-22'!H43</f>
        <v>0</v>
      </c>
      <c r="I43" s="8">
        <f>E43+G43+'04-14-22'!I43</f>
        <v>0</v>
      </c>
      <c r="J43" s="8">
        <f t="shared" si="18"/>
        <v>0</v>
      </c>
      <c r="K43" s="8">
        <f t="shared" si="19"/>
        <v>356.53</v>
      </c>
      <c r="L43" s="8">
        <f t="shared" si="17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D44+F44+'04-14-22'!H44</f>
        <v>0</v>
      </c>
      <c r="I44" s="8">
        <f>E44+G44+'04-14-22'!I44</f>
        <v>0</v>
      </c>
      <c r="J44" s="8">
        <f t="shared" si="18"/>
        <v>0</v>
      </c>
      <c r="K44" s="8">
        <f>C44-J44</f>
        <v>554.22</v>
      </c>
      <c r="L44" s="8">
        <f t="shared" si="17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</f>
        <v>1989.2200000000003</v>
      </c>
      <c r="D45" s="32">
        <v>252</v>
      </c>
      <c r="E45" s="32">
        <v>3.02</v>
      </c>
      <c r="F45" s="32">
        <v>0</v>
      </c>
      <c r="G45" s="32">
        <v>0</v>
      </c>
      <c r="H45" s="8">
        <f>D45+F45+'04-14-22'!H45</f>
        <v>1209.6300000000001</v>
      </c>
      <c r="I45" s="8">
        <f>E45+G45+'04-14-22'!I45</f>
        <v>14.479999999999999</v>
      </c>
      <c r="J45" s="8">
        <f t="shared" si="18"/>
        <v>1224.1100000000001</v>
      </c>
      <c r="K45" s="8">
        <f>C45-J45</f>
        <v>765.11000000000013</v>
      </c>
      <c r="L45" s="8">
        <f t="shared" si="17"/>
        <v>538.57016233766649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D46+F46+'04-14-22'!H46</f>
        <v>3121.7</v>
      </c>
      <c r="I46" s="8">
        <f>E46+G46+'04-14-22'!I46</f>
        <v>29.869999999999997</v>
      </c>
      <c r="J46" s="9">
        <f t="shared" si="18"/>
        <v>3151.5699999999997</v>
      </c>
      <c r="K46" s="92">
        <f t="shared" ref="K46:K48" si="20">C46-J46</f>
        <v>0</v>
      </c>
      <c r="L46" s="8">
        <f t="shared" si="17"/>
        <v>-583.24509740258691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D47+F47+'04-14-22'!H47</f>
        <v>0</v>
      </c>
      <c r="I47" s="8">
        <f>E47+G47+'04-14-22'!I47</f>
        <v>0</v>
      </c>
      <c r="J47" s="9">
        <f t="shared" si="18"/>
        <v>0</v>
      </c>
      <c r="K47" s="92">
        <f t="shared" si="20"/>
        <v>1332</v>
      </c>
      <c r="L47" s="8">
        <f t="shared" si="17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223.2</v>
      </c>
      <c r="E48" s="32">
        <v>2.67</v>
      </c>
      <c r="F48" s="32">
        <v>0</v>
      </c>
      <c r="G48" s="32">
        <v>0</v>
      </c>
      <c r="H48" s="8">
        <f>D48+F48+'04-14-22'!H48</f>
        <v>2678.3999999999996</v>
      </c>
      <c r="I48" s="8">
        <f>E48+G48+'04-14-22'!I48</f>
        <v>32.040000000000006</v>
      </c>
      <c r="J48" s="8">
        <f t="shared" si="18"/>
        <v>2710.4399999999996</v>
      </c>
      <c r="K48" s="92">
        <f t="shared" si="20"/>
        <v>2289.5600000000004</v>
      </c>
      <c r="L48" s="8">
        <f t="shared" si="17"/>
        <v>1787.9525974026069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228</v>
      </c>
      <c r="E49" s="32">
        <v>2.73</v>
      </c>
      <c r="F49" s="32">
        <v>0</v>
      </c>
      <c r="G49" s="32">
        <v>0</v>
      </c>
      <c r="H49" s="8">
        <f>D49+F49+'04-14-22'!H49</f>
        <v>8188.72</v>
      </c>
      <c r="I49" s="8">
        <f>E49+G49+'04-14-22'!I49</f>
        <v>415.09</v>
      </c>
      <c r="J49" s="8">
        <f t="shared" si="18"/>
        <v>8603.81</v>
      </c>
      <c r="K49" s="8">
        <f>C49-J49</f>
        <v>2087.5400000000009</v>
      </c>
      <c r="L49" s="8">
        <f t="shared" si="17"/>
        <v>495.27646103899133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D50+F50+'04-14-22'!H50</f>
        <v>0</v>
      </c>
      <c r="I50" s="8">
        <f>E50+G50+'04-14-22'!I50</f>
        <v>0</v>
      </c>
      <c r="J50" s="8">
        <f t="shared" si="18"/>
        <v>0</v>
      </c>
      <c r="K50" s="8">
        <f t="shared" ref="K50" si="21">C50-J50</f>
        <v>1481.58</v>
      </c>
      <c r="L50" s="8">
        <f t="shared" si="17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671.46</v>
      </c>
      <c r="E51" s="32">
        <v>8.0500000000000007</v>
      </c>
      <c r="F51" s="32">
        <v>0</v>
      </c>
      <c r="G51" s="32">
        <v>0</v>
      </c>
      <c r="H51" s="8">
        <f>D51+F51+'04-14-22'!H51</f>
        <v>11043.740000000002</v>
      </c>
      <c r="I51" s="8">
        <f>E51+G51+'04-14-22'!I51</f>
        <v>132.43</v>
      </c>
      <c r="J51" s="8">
        <f t="shared" si="18"/>
        <v>11176.170000000002</v>
      </c>
      <c r="K51" s="8">
        <f>C51-J51</f>
        <v>8023.8299999999981</v>
      </c>
      <c r="L51" s="8">
        <f t="shared" si="17"/>
        <v>5955.5128246753593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0</v>
      </c>
      <c r="E52" s="32">
        <v>0</v>
      </c>
      <c r="F52" s="32">
        <v>0</v>
      </c>
      <c r="G52" s="32">
        <v>0</v>
      </c>
      <c r="H52" s="8">
        <f>D52+F52+'04-14-22'!H52</f>
        <v>1754.38</v>
      </c>
      <c r="I52" s="8">
        <f>E52+G52+'04-14-22'!I52</f>
        <v>131.57</v>
      </c>
      <c r="J52" s="8">
        <f t="shared" si="18"/>
        <v>1885.95</v>
      </c>
      <c r="K52" s="8">
        <f>C52-J52</f>
        <v>2384.9000000000005</v>
      </c>
      <c r="L52" s="8">
        <f t="shared" si="17"/>
        <v>2035.8767857142921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270</v>
      </c>
      <c r="E53" s="32">
        <v>3.24</v>
      </c>
      <c r="F53" s="32">
        <v>0</v>
      </c>
      <c r="G53" s="32">
        <v>0</v>
      </c>
      <c r="H53" s="8">
        <f>D53+F53+'04-14-22'!H53</f>
        <v>1575</v>
      </c>
      <c r="I53" s="8">
        <f>E53+G53+'04-14-22'!I53</f>
        <v>18.899999999999999</v>
      </c>
      <c r="J53" s="8">
        <f t="shared" si="18"/>
        <v>1593.9</v>
      </c>
      <c r="K53" s="8">
        <f>C53-J53</f>
        <v>2106.1</v>
      </c>
      <c r="L53" s="8">
        <f t="shared" si="17"/>
        <v>1811.1250000000052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D54+F54+'04-14-22'!H54</f>
        <v>0</v>
      </c>
      <c r="I54" s="8">
        <f>E54+G54+'04-14-22'!I54</f>
        <v>0</v>
      </c>
      <c r="J54" s="8">
        <f t="shared" si="18"/>
        <v>0</v>
      </c>
      <c r="K54" s="8">
        <f t="shared" si="19"/>
        <v>0</v>
      </c>
      <c r="L54" s="8">
        <f t="shared" si="17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D55+F55+'04-14-22'!H55</f>
        <v>0</v>
      </c>
      <c r="I55" s="8">
        <f>E55+G55+'04-14-22'!I55</f>
        <v>0</v>
      </c>
      <c r="J55" s="8">
        <f t="shared" si="18"/>
        <v>0</v>
      </c>
      <c r="K55" s="8">
        <f t="shared" si="19"/>
        <v>202.01</v>
      </c>
      <c r="L55" s="8">
        <f t="shared" si="17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D56+F56+'04-14-22'!H56</f>
        <v>0</v>
      </c>
      <c r="I56" s="8">
        <f>E56+G56+'04-14-22'!I56</f>
        <v>0</v>
      </c>
      <c r="J56" s="8">
        <f t="shared" si="18"/>
        <v>0</v>
      </c>
      <c r="K56" s="8">
        <f t="shared" si="19"/>
        <v>0</v>
      </c>
      <c r="L56" s="8">
        <f t="shared" si="17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D57+F57+'04-14-22'!H57</f>
        <v>0</v>
      </c>
      <c r="I57" s="8">
        <f>E57+G57+'04-14-22'!I57</f>
        <v>0</v>
      </c>
      <c r="J57" s="8">
        <f t="shared" si="18"/>
        <v>0</v>
      </c>
      <c r="K57" s="8">
        <f t="shared" si="19"/>
        <v>3655.06</v>
      </c>
      <c r="L57" s="8">
        <f t="shared" si="17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D58+F58+'04-14-22'!H58</f>
        <v>0</v>
      </c>
      <c r="I58" s="8">
        <f>E58+G58+'04-14-22'!I58</f>
        <v>0</v>
      </c>
      <c r="J58" s="8">
        <f t="shared" si="18"/>
        <v>0</v>
      </c>
      <c r="K58" s="8">
        <f t="shared" si="19"/>
        <v>0</v>
      </c>
      <c r="L58" s="8">
        <f t="shared" si="17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0</v>
      </c>
      <c r="E59" s="32">
        <v>0</v>
      </c>
      <c r="F59" s="32">
        <v>0</v>
      </c>
      <c r="G59" s="32">
        <v>0</v>
      </c>
      <c r="H59" s="8">
        <f>D59+F59+'04-14-22'!H59</f>
        <v>0</v>
      </c>
      <c r="I59" s="8">
        <f>E59+G59+'04-14-22'!I59</f>
        <v>0</v>
      </c>
      <c r="J59" s="8">
        <f t="shared" si="18"/>
        <v>0</v>
      </c>
      <c r="K59" s="8">
        <f t="shared" si="19"/>
        <v>3313.36</v>
      </c>
      <c r="L59" s="8">
        <f t="shared" si="17"/>
        <v>3313.36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D60+F60+'04-14-22'!H60</f>
        <v>2.4</v>
      </c>
      <c r="I60" s="8">
        <f>E60+G60+'04-14-22'!I60</f>
        <v>0.02</v>
      </c>
      <c r="J60" s="8">
        <f t="shared" si="18"/>
        <v>2.42</v>
      </c>
      <c r="K60" s="8">
        <f t="shared" si="19"/>
        <v>4190.72</v>
      </c>
      <c r="L60" s="8">
        <f t="shared" si="17"/>
        <v>4190.2721428571431</v>
      </c>
      <c r="M60" s="68"/>
    </row>
    <row r="61" spans="1:13" s="63" customFormat="1" ht="11.25" customHeight="1" x14ac:dyDescent="0.2">
      <c r="A61" s="18" t="s">
        <v>73</v>
      </c>
      <c r="B61" s="61" t="s">
        <v>72</v>
      </c>
      <c r="C61" s="62">
        <v>4193.1400000000003</v>
      </c>
      <c r="D61" s="32">
        <v>0</v>
      </c>
      <c r="E61" s="32">
        <v>0</v>
      </c>
      <c r="F61" s="32">
        <v>0</v>
      </c>
      <c r="G61" s="32">
        <v>0</v>
      </c>
      <c r="H61" s="8">
        <f>D61+F61+'04-14-22'!H61</f>
        <v>2754</v>
      </c>
      <c r="I61" s="8">
        <f>E61+G61+'04-14-22'!I61</f>
        <v>114.28999999999999</v>
      </c>
      <c r="J61" s="8">
        <f t="shared" si="18"/>
        <v>2868.29</v>
      </c>
      <c r="K61" s="8">
        <f t="shared" si="19"/>
        <v>1324.8500000000004</v>
      </c>
      <c r="L61" s="8">
        <f t="shared" si="17"/>
        <v>794.03009740260723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118.4</v>
      </c>
      <c r="E62" s="32">
        <v>1.42</v>
      </c>
      <c r="F62" s="32">
        <v>0</v>
      </c>
      <c r="G62" s="32">
        <v>0</v>
      </c>
      <c r="H62" s="8">
        <f>D62+F62+'04-14-22'!H62</f>
        <v>4243.53</v>
      </c>
      <c r="I62" s="8">
        <f>E62+G62+'04-14-22'!I62</f>
        <v>47.13</v>
      </c>
      <c r="J62" s="8">
        <f t="shared" si="18"/>
        <v>4290.66</v>
      </c>
      <c r="K62" s="8">
        <f t="shared" si="19"/>
        <v>909.34000000000015</v>
      </c>
      <c r="L62" s="8">
        <f t="shared" si="17"/>
        <v>115.28928571429969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3">
        <v>0</v>
      </c>
      <c r="E63" s="33">
        <v>0</v>
      </c>
      <c r="F63" s="33">
        <v>37.5</v>
      </c>
      <c r="G63" s="33">
        <v>2.81</v>
      </c>
      <c r="H63" s="8">
        <f>D63+F63+'04-14-22'!H63</f>
        <v>423.75</v>
      </c>
      <c r="I63" s="8">
        <f>E63+G63+'04-14-22'!I63</f>
        <v>31.76</v>
      </c>
      <c r="J63" s="8">
        <f t="shared" si="18"/>
        <v>455.51</v>
      </c>
      <c r="K63" s="8">
        <f t="shared" si="19"/>
        <v>3293.49</v>
      </c>
      <c r="L63" s="8">
        <f t="shared" si="17"/>
        <v>3209.1910714285732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92327.109999999986</v>
      </c>
      <c r="D64" s="7">
        <f t="shared" ref="D64:L64" si="22">SUM(D38:D63)</f>
        <v>2003.0600000000002</v>
      </c>
      <c r="E64" s="7">
        <f t="shared" si="22"/>
        <v>24.010000000000005</v>
      </c>
      <c r="F64" s="7">
        <f t="shared" si="22"/>
        <v>387.5</v>
      </c>
      <c r="G64" s="7">
        <f t="shared" si="22"/>
        <v>29.06</v>
      </c>
      <c r="H64" s="7">
        <f t="shared" si="22"/>
        <v>47688.850000000006</v>
      </c>
      <c r="I64" s="7">
        <f t="shared" si="22"/>
        <v>1563.7225936</v>
      </c>
      <c r="J64" s="7">
        <f t="shared" si="22"/>
        <v>49252.572593600002</v>
      </c>
      <c r="K64" s="7">
        <f t="shared" si="22"/>
        <v>43074.537406399999</v>
      </c>
      <c r="L64" s="7">
        <f t="shared" si="22"/>
        <v>33959.61325758457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f>82.5+2359.82</f>
        <v>2442.3200000000002</v>
      </c>
      <c r="E67" s="9">
        <f>0.99+28.31</f>
        <v>29.299999999999997</v>
      </c>
      <c r="F67" s="9">
        <v>0</v>
      </c>
      <c r="G67" s="9">
        <v>0</v>
      </c>
      <c r="H67" s="8">
        <f>D67+F67+'04-14-22'!H67</f>
        <v>28712.399999999998</v>
      </c>
      <c r="I67" s="8">
        <f>E67+G67+'04-14-22'!I67</f>
        <v>413.53000000000003</v>
      </c>
      <c r="J67" s="8">
        <f t="shared" ref="J67:J68" si="23">H67+I67</f>
        <v>29125.929999999997</v>
      </c>
      <c r="K67" s="8">
        <f>C67-J67</f>
        <v>33457.070000000007</v>
      </c>
      <c r="L67" s="8">
        <f t="shared" ref="L67:L68" si="24">C67-((J67/22)*26.0714285714285)</f>
        <v>28066.881655844256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D68+F68+'04-14-22'!H68</f>
        <v>0</v>
      </c>
      <c r="I68" s="8">
        <f>E68+G68+'04-14-22'!I68</f>
        <v>0</v>
      </c>
      <c r="J68" s="8">
        <f t="shared" si="23"/>
        <v>0</v>
      </c>
      <c r="K68" s="8">
        <f>C68-J68</f>
        <v>0</v>
      </c>
      <c r="L68" s="8">
        <f t="shared" si="24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5">D67+D68</f>
        <v>2442.3200000000002</v>
      </c>
      <c r="E69" s="14">
        <f t="shared" si="25"/>
        <v>29.299999999999997</v>
      </c>
      <c r="F69" s="14">
        <f t="shared" si="25"/>
        <v>0</v>
      </c>
      <c r="G69" s="14">
        <f t="shared" si="25"/>
        <v>0</v>
      </c>
      <c r="H69" s="14">
        <f t="shared" si="25"/>
        <v>28712.399999999998</v>
      </c>
      <c r="I69" s="14">
        <f t="shared" si="25"/>
        <v>413.53000000000003</v>
      </c>
      <c r="J69" s="14">
        <f t="shared" si="25"/>
        <v>29125.929999999997</v>
      </c>
      <c r="K69" s="14">
        <f t="shared" si="25"/>
        <v>33457.070000000007</v>
      </c>
      <c r="L69" s="14">
        <f t="shared" si="25"/>
        <v>28066.881655844256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D72+F72+'04-14-22'!H72</f>
        <v>758.14</v>
      </c>
      <c r="I72" s="8">
        <f>E72+G72+'04-14-22'!I72</f>
        <v>30.26</v>
      </c>
      <c r="J72" s="8">
        <f t="shared" ref="J72" si="26">H72+I72</f>
        <v>788.4</v>
      </c>
      <c r="K72" s="8">
        <f>C72-J72</f>
        <v>36947.599999999999</v>
      </c>
      <c r="L72" s="8">
        <f>C72-((J72/22)*26.0714285714285)</f>
        <v>36801.694805194806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7">SUM(C72)</f>
        <v>37736</v>
      </c>
      <c r="D73" s="7">
        <f t="shared" si="27"/>
        <v>0</v>
      </c>
      <c r="E73" s="7">
        <f t="shared" si="27"/>
        <v>0</v>
      </c>
      <c r="F73" s="7">
        <f t="shared" si="27"/>
        <v>0</v>
      </c>
      <c r="G73" s="7">
        <f t="shared" si="27"/>
        <v>0</v>
      </c>
      <c r="H73" s="7">
        <f t="shared" si="27"/>
        <v>758.14</v>
      </c>
      <c r="I73" s="7">
        <f t="shared" si="27"/>
        <v>30.26</v>
      </c>
      <c r="J73" s="7">
        <f t="shared" si="27"/>
        <v>788.4</v>
      </c>
      <c r="K73" s="7">
        <f t="shared" si="27"/>
        <v>36947.599999999999</v>
      </c>
      <c r="L73" s="7">
        <f t="shared" si="27"/>
        <v>36801.694805194806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8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8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8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  <row r="100" spans="1:18" ht="10.5" customHeight="1" x14ac:dyDescent="0.25">
      <c r="A100" s="122" t="s">
        <v>152</v>
      </c>
      <c r="B100" s="122"/>
      <c r="C100" s="122"/>
      <c r="D100" s="122"/>
      <c r="E100" s="122"/>
      <c r="F100" s="122"/>
      <c r="G100" s="89">
        <v>1116.23</v>
      </c>
      <c r="M100" s="121"/>
      <c r="N100" s="121"/>
      <c r="O100" s="121"/>
      <c r="P100" s="121"/>
      <c r="Q100" s="121"/>
      <c r="R100" s="121"/>
    </row>
    <row r="101" spans="1:18" ht="10.5" customHeight="1" x14ac:dyDescent="0.25">
      <c r="A101" s="122" t="s">
        <v>152</v>
      </c>
      <c r="B101" s="122"/>
      <c r="C101" s="122"/>
      <c r="D101" s="122"/>
      <c r="E101" s="122"/>
      <c r="F101" s="122"/>
      <c r="G101" s="89">
        <v>1266.24</v>
      </c>
      <c r="M101" s="121"/>
      <c r="N101" s="121"/>
      <c r="O101" s="121"/>
      <c r="P101" s="121"/>
      <c r="Q101" s="121"/>
      <c r="R101" s="121"/>
    </row>
  </sheetData>
  <mergeCells count="62">
    <mergeCell ref="A64:B64"/>
    <mergeCell ref="A7:B7"/>
    <mergeCell ref="A20:B20"/>
    <mergeCell ref="A27:B27"/>
    <mergeCell ref="A32:B32"/>
    <mergeCell ref="A35:B35"/>
    <mergeCell ref="A69:B69"/>
    <mergeCell ref="A73:B73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  <mergeCell ref="A85:F85"/>
    <mergeCell ref="M85:R85"/>
    <mergeCell ref="A86:F86"/>
    <mergeCell ref="M86:R86"/>
    <mergeCell ref="A87:F87"/>
    <mergeCell ref="M87:R87"/>
    <mergeCell ref="A88:F88"/>
    <mergeCell ref="M88:R88"/>
    <mergeCell ref="A89:F89"/>
    <mergeCell ref="M89:R89"/>
    <mergeCell ref="A90:F90"/>
    <mergeCell ref="M90:R90"/>
    <mergeCell ref="A91:F91"/>
    <mergeCell ref="M91:R91"/>
    <mergeCell ref="A92:F92"/>
    <mergeCell ref="M92:R92"/>
    <mergeCell ref="A93:F93"/>
    <mergeCell ref="M93:R93"/>
    <mergeCell ref="A94:F94"/>
    <mergeCell ref="M94:R94"/>
    <mergeCell ref="A95:F95"/>
    <mergeCell ref="M95:R95"/>
    <mergeCell ref="A96:F96"/>
    <mergeCell ref="M96:R96"/>
    <mergeCell ref="A97:F97"/>
    <mergeCell ref="M97:R97"/>
    <mergeCell ref="A101:F101"/>
    <mergeCell ref="M101:R101"/>
    <mergeCell ref="A98:F98"/>
    <mergeCell ref="M98:R98"/>
    <mergeCell ref="A99:F99"/>
    <mergeCell ref="M99:R99"/>
    <mergeCell ref="A100:F100"/>
    <mergeCell ref="M100:R100"/>
  </mergeCells>
  <pageMargins left="0.25" right="0" top="0.4" bottom="0" header="0.3" footer="0"/>
  <pageSetup scale="68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CC12-63CD-4906-A4E7-80CA303DD1EC}">
  <sheetPr>
    <pageSetUpPr fitToPage="1"/>
  </sheetPr>
  <dimension ref="A1:S109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154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1000+821.59+1500+1116.23+1266.24-1000-821.59-1500-1116.23-1266.24</f>
        <v>0</v>
      </c>
      <c r="D3" s="32">
        <v>0</v>
      </c>
      <c r="E3" s="32">
        <v>0</v>
      </c>
      <c r="F3" s="32">
        <v>1177.92</v>
      </c>
      <c r="G3" s="32">
        <v>88.34</v>
      </c>
      <c r="H3" s="8">
        <f>D3+F3+'04-28-22'!H3</f>
        <v>4977.92</v>
      </c>
      <c r="I3" s="8">
        <f>E3+G3+'04-28-22'!I3</f>
        <v>133.91999999999999</v>
      </c>
      <c r="J3" s="8">
        <f>H3+I3</f>
        <v>5111.84</v>
      </c>
      <c r="K3" s="85">
        <f>C3-J3</f>
        <v>-5111.84</v>
      </c>
      <c r="L3" s="8">
        <f>C3-((J3/23)*26.0714285714285)</f>
        <v>-5794.4770186335245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31.2</v>
      </c>
      <c r="E4" s="32">
        <v>0.37</v>
      </c>
      <c r="F4" s="32">
        <v>165</v>
      </c>
      <c r="G4" s="32">
        <v>12.37</v>
      </c>
      <c r="H4" s="8">
        <f>D4+F4+'04-28-22'!H4</f>
        <v>10107.450000000001</v>
      </c>
      <c r="I4" s="8">
        <f>E4+G4+'04-28-22'!I4</f>
        <v>252.56000000000006</v>
      </c>
      <c r="J4" s="8">
        <f>H4+I4</f>
        <v>10360.01</v>
      </c>
      <c r="K4" s="8">
        <f>C4-J4</f>
        <v>439.98999999999978</v>
      </c>
      <c r="L4" s="8">
        <f t="shared" ref="L4:L6" si="0">C4-((J4/23)*26.0714285714285)</f>
        <v>-943.48959627325894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D5+F5+'04-28-22'!H5</f>
        <v>6825</v>
      </c>
      <c r="I5" s="8">
        <f>E5+G5+'04-28-22'!I5</f>
        <v>511.84000000000003</v>
      </c>
      <c r="J5" s="8">
        <f>H5+I5</f>
        <v>7336.84</v>
      </c>
      <c r="K5" s="8">
        <f>C5-J5</f>
        <v>8218.16</v>
      </c>
      <c r="L5" s="8">
        <f t="shared" si="0"/>
        <v>7238.3956521739365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D6+F6+'04-28-22'!H6</f>
        <v>4207.5</v>
      </c>
      <c r="I6" s="8">
        <f>E6+G6+'04-28-22'!I6</f>
        <v>50.45000000000001</v>
      </c>
      <c r="J6" s="8">
        <f>H6+I6</f>
        <v>4257.95</v>
      </c>
      <c r="K6" s="8">
        <f>C6-J6</f>
        <v>2192.0500000000002</v>
      </c>
      <c r="L6" s="8">
        <f t="shared" si="0"/>
        <v>1623.4417701863495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32805</v>
      </c>
      <c r="D7" s="35">
        <f t="shared" ref="D7:L7" si="1">SUM(D3:D6)</f>
        <v>31.2</v>
      </c>
      <c r="E7" s="35">
        <f t="shared" si="1"/>
        <v>0.37</v>
      </c>
      <c r="F7" s="35">
        <f t="shared" si="1"/>
        <v>1342.92</v>
      </c>
      <c r="G7" s="35">
        <f t="shared" si="1"/>
        <v>100.71000000000001</v>
      </c>
      <c r="H7" s="35">
        <f t="shared" si="1"/>
        <v>26117.870000000003</v>
      </c>
      <c r="I7" s="35">
        <f t="shared" si="1"/>
        <v>948.7700000000001</v>
      </c>
      <c r="J7" s="35">
        <f t="shared" si="1"/>
        <v>27066.640000000003</v>
      </c>
      <c r="K7" s="35">
        <f t="shared" si="1"/>
        <v>5738.36</v>
      </c>
      <c r="L7" s="35">
        <f t="shared" si="1"/>
        <v>2123.8708074535025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2">
        <v>0</v>
      </c>
      <c r="E10" s="32">
        <v>0</v>
      </c>
      <c r="F10" s="32">
        <v>0</v>
      </c>
      <c r="G10" s="32">
        <v>0</v>
      </c>
      <c r="H10" s="8">
        <f>D10+F10+'04-28-22'!H10</f>
        <v>34920.81</v>
      </c>
      <c r="I10" s="8">
        <f>E10+G10+'04-28-22'!I10</f>
        <v>2363.2799999999997</v>
      </c>
      <c r="J10" s="8">
        <f t="shared" ref="J10:J19" si="2">H10+I10</f>
        <v>37284.089999999997</v>
      </c>
      <c r="K10" s="8">
        <f t="shared" ref="K10:K19" si="3">C10-J10</f>
        <v>28715.910000000003</v>
      </c>
      <c r="L10" s="8">
        <f t="shared" ref="L10:L19" si="4">C10-((J10/23)*26.0714285714285)</f>
        <v>23736.978726708199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2229+688-2208.5</f>
        <v>708.5</v>
      </c>
      <c r="D11" s="32">
        <v>0</v>
      </c>
      <c r="E11" s="32">
        <v>0</v>
      </c>
      <c r="F11" s="32">
        <v>0</v>
      </c>
      <c r="G11" s="32">
        <v>0</v>
      </c>
      <c r="H11" s="8">
        <f>D11+F11+'04-28-22'!H11</f>
        <v>0</v>
      </c>
      <c r="I11" s="8">
        <f>E11+G11+'04-28-22'!I11</f>
        <v>0</v>
      </c>
      <c r="J11" s="8">
        <f t="shared" si="2"/>
        <v>0</v>
      </c>
      <c r="K11" s="8">
        <f t="shared" si="3"/>
        <v>708.5</v>
      </c>
      <c r="L11" s="8">
        <f t="shared" si="4"/>
        <v>708.5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v>343.21</v>
      </c>
      <c r="E12" s="9">
        <v>4.1100000000000003</v>
      </c>
      <c r="F12" s="9">
        <v>0</v>
      </c>
      <c r="G12" s="9">
        <v>0</v>
      </c>
      <c r="H12" s="8">
        <f>D12+F12+'04-28-22'!H12</f>
        <v>19039.580000000002</v>
      </c>
      <c r="I12" s="8">
        <f>E12+G12+'04-28-22'!I12</f>
        <v>228.28999999999991</v>
      </c>
      <c r="J12" s="8">
        <f t="shared" si="2"/>
        <v>19267.870000000003</v>
      </c>
      <c r="K12" s="8">
        <f t="shared" si="3"/>
        <v>5381.1299999999974</v>
      </c>
      <c r="L12" s="8">
        <f t="shared" si="4"/>
        <v>2808.0914596273869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v>375.89</v>
      </c>
      <c r="E13" s="9">
        <v>4.5</v>
      </c>
      <c r="F13" s="9">
        <v>0</v>
      </c>
      <c r="G13" s="9">
        <v>0</v>
      </c>
      <c r="H13" s="8">
        <f>D13+F13+'04-28-22'!H13</f>
        <v>13517.599999999999</v>
      </c>
      <c r="I13" s="8">
        <f>E13+G13+'04-28-22'!I13</f>
        <v>161.98000000000002</v>
      </c>
      <c r="J13" s="8">
        <f t="shared" si="2"/>
        <v>13679.579999999998</v>
      </c>
      <c r="K13" s="8">
        <f t="shared" si="3"/>
        <v>4294.4200000000019</v>
      </c>
      <c r="L13" s="8">
        <f t="shared" si="4"/>
        <v>2467.6437888199198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v>71.69</v>
      </c>
      <c r="E14" s="9">
        <v>0.85</v>
      </c>
      <c r="F14" s="9">
        <v>0</v>
      </c>
      <c r="G14" s="9">
        <v>0</v>
      </c>
      <c r="H14" s="8">
        <f>D14+F14+'04-28-22'!H14</f>
        <v>15889.72</v>
      </c>
      <c r="I14" s="8">
        <f>E14+G14+'04-28-22'!I14</f>
        <v>261.91999999999996</v>
      </c>
      <c r="J14" s="8">
        <f t="shared" si="2"/>
        <v>16151.64</v>
      </c>
      <c r="K14" s="8">
        <f t="shared" si="3"/>
        <v>1822.3600000000006</v>
      </c>
      <c r="L14" s="8">
        <f t="shared" si="4"/>
        <v>-334.53602484466683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v>755.75</v>
      </c>
      <c r="E15" s="9">
        <v>9.06</v>
      </c>
      <c r="F15" s="9">
        <v>0</v>
      </c>
      <c r="G15" s="9">
        <v>0</v>
      </c>
      <c r="H15" s="8">
        <f>D15+F15+'04-28-22'!H15</f>
        <v>18366.919999999998</v>
      </c>
      <c r="I15" s="8">
        <f>E15+G15+'04-28-22'!I15</f>
        <v>313.11</v>
      </c>
      <c r="J15" s="8">
        <f t="shared" si="2"/>
        <v>18680.03</v>
      </c>
      <c r="K15" s="8">
        <f t="shared" si="3"/>
        <v>5649.9700000000012</v>
      </c>
      <c r="L15" s="8">
        <f t="shared" si="4"/>
        <v>3155.4318322981962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v>1233.3399999999999</v>
      </c>
      <c r="E16" s="8">
        <v>14.78</v>
      </c>
      <c r="F16" s="8">
        <v>0</v>
      </c>
      <c r="G16" s="8">
        <v>0</v>
      </c>
      <c r="H16" s="8">
        <f>D16+F16+'04-28-22'!H16</f>
        <v>27042.85</v>
      </c>
      <c r="I16" s="8">
        <f>E16+G16+'04-28-22'!I16</f>
        <v>402.24</v>
      </c>
      <c r="J16" s="8">
        <f t="shared" si="2"/>
        <v>27445.09</v>
      </c>
      <c r="K16" s="8">
        <f t="shared" si="3"/>
        <v>6283.34</v>
      </c>
      <c r="L16" s="8">
        <f t="shared" si="4"/>
        <v>2618.3124534162343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v>984.02</v>
      </c>
      <c r="E17" s="8">
        <v>11.78</v>
      </c>
      <c r="F17" s="8">
        <v>137.29</v>
      </c>
      <c r="G17" s="8">
        <v>10.28</v>
      </c>
      <c r="H17" s="8">
        <f>D17+F17+'04-28-22'!H17</f>
        <v>36947.520000000004</v>
      </c>
      <c r="I17" s="8">
        <f>E17+G17+'04-28-22'!I17</f>
        <v>452.37</v>
      </c>
      <c r="J17" s="8">
        <f t="shared" si="2"/>
        <v>37399.890000000007</v>
      </c>
      <c r="K17" s="8">
        <f t="shared" si="3"/>
        <v>5341.1099999999933</v>
      </c>
      <c r="L17" s="8">
        <f t="shared" si="4"/>
        <v>346.71475155290682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v>126.39</v>
      </c>
      <c r="E18" s="9">
        <v>1.51</v>
      </c>
      <c r="F18" s="9">
        <v>0</v>
      </c>
      <c r="G18" s="9">
        <v>0</v>
      </c>
      <c r="H18" s="8">
        <f>D18+F18+'04-28-22'!H18</f>
        <v>11578.08</v>
      </c>
      <c r="I18" s="8">
        <f>E18+G18+'04-28-22'!I18</f>
        <v>138.79</v>
      </c>
      <c r="J18" s="8">
        <f t="shared" si="2"/>
        <v>11716.87</v>
      </c>
      <c r="K18" s="8">
        <f t="shared" si="3"/>
        <v>12456.13</v>
      </c>
      <c r="L18" s="8">
        <f t="shared" si="4"/>
        <v>10891.454813664634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132.22</v>
      </c>
      <c r="E19" s="9">
        <v>1.58</v>
      </c>
      <c r="F19" s="9">
        <v>0</v>
      </c>
      <c r="G19" s="9">
        <v>0</v>
      </c>
      <c r="H19" s="8">
        <f>D19+F19+'04-28-22'!H19</f>
        <v>4042.6499999999992</v>
      </c>
      <c r="I19" s="8">
        <f>E19+G19+'04-28-22'!I19</f>
        <v>57.339999999999996</v>
      </c>
      <c r="J19" s="8">
        <f t="shared" si="2"/>
        <v>4099.9899999999989</v>
      </c>
      <c r="K19" s="8">
        <f t="shared" si="3"/>
        <v>1900.0100000000011</v>
      </c>
      <c r="L19" s="8">
        <f t="shared" si="4"/>
        <v>1352.4958074534306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258277.93</v>
      </c>
      <c r="D20" s="35">
        <f t="shared" ref="D20:L20" si="5">SUM(D10:D19)</f>
        <v>4022.5099999999998</v>
      </c>
      <c r="E20" s="35">
        <f t="shared" si="5"/>
        <v>48.169999999999995</v>
      </c>
      <c r="F20" s="35">
        <f t="shared" si="5"/>
        <v>137.29</v>
      </c>
      <c r="G20" s="35">
        <f t="shared" si="5"/>
        <v>10.28</v>
      </c>
      <c r="H20" s="35">
        <f t="shared" si="5"/>
        <v>181345.72999999998</v>
      </c>
      <c r="I20" s="35">
        <f t="shared" si="5"/>
        <v>4379.32</v>
      </c>
      <c r="J20" s="35">
        <f t="shared" si="5"/>
        <v>185725.05</v>
      </c>
      <c r="K20" s="35">
        <f t="shared" si="5"/>
        <v>72552.87999999999</v>
      </c>
      <c r="L20" s="35">
        <f t="shared" si="5"/>
        <v>47751.087608696245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6">D23+F23</f>
        <v>0</v>
      </c>
      <c r="I23" s="8">
        <f t="shared" si="6"/>
        <v>0</v>
      </c>
      <c r="J23" s="8">
        <f t="shared" ref="J23:J26" si="7">H23+I23</f>
        <v>0</v>
      </c>
      <c r="K23" s="8">
        <f>C23-J23</f>
        <v>0</v>
      </c>
      <c r="L23" s="8">
        <f t="shared" ref="L23" si="8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D24+F24+'04-28-22'!H24</f>
        <v>1375.3999999999999</v>
      </c>
      <c r="I24" s="8">
        <f>E24+G24+'04-28-22'!I24</f>
        <v>16.439999999999998</v>
      </c>
      <c r="J24" s="8">
        <f>H24+I24</f>
        <v>1391.84</v>
      </c>
      <c r="K24" s="8">
        <f>C24-J24</f>
        <v>717.16000000000008</v>
      </c>
      <c r="L24" s="8">
        <f t="shared" ref="L24:L26" si="9">C24-((J24/23)*26.0714285714285)</f>
        <v>531.29316770186801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v>189.97</v>
      </c>
      <c r="E25" s="32">
        <v>2.27</v>
      </c>
      <c r="F25" s="32">
        <v>0</v>
      </c>
      <c r="G25" s="32">
        <v>0</v>
      </c>
      <c r="H25" s="8">
        <f>D25+F25+'04-28-22'!H25</f>
        <v>2102.31</v>
      </c>
      <c r="I25" s="8">
        <f>E25+G25+'04-28-22'!I25</f>
        <v>25.130000000000003</v>
      </c>
      <c r="J25" s="8">
        <f t="shared" si="7"/>
        <v>2127.44</v>
      </c>
      <c r="K25" s="8">
        <f t="shared" ref="K25:K26" si="10">C25-J25</f>
        <v>11825.56</v>
      </c>
      <c r="L25" s="8">
        <f t="shared" si="9"/>
        <v>11541.460869565224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D26+F26+'04-28-22'!H26</f>
        <v>1967.5</v>
      </c>
      <c r="I26" s="8">
        <f>E26+G26+'04-28-22'!I26</f>
        <v>23.580000000000002</v>
      </c>
      <c r="J26" s="8">
        <f t="shared" si="7"/>
        <v>1991.08</v>
      </c>
      <c r="K26" s="8">
        <f t="shared" si="10"/>
        <v>34.920000000000073</v>
      </c>
      <c r="L26" s="8">
        <f t="shared" si="9"/>
        <v>-230.96956521738502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1">SUM(C23:C26)</f>
        <v>18088</v>
      </c>
      <c r="D27" s="7">
        <f t="shared" si="11"/>
        <v>189.97</v>
      </c>
      <c r="E27" s="7">
        <f t="shared" si="11"/>
        <v>2.27</v>
      </c>
      <c r="F27" s="7">
        <f t="shared" si="11"/>
        <v>0</v>
      </c>
      <c r="G27" s="7">
        <f t="shared" si="11"/>
        <v>0</v>
      </c>
      <c r="H27" s="8">
        <f>D27+F27+'07-22-21'!H23</f>
        <v>189.97</v>
      </c>
      <c r="I27" s="8">
        <f>E27+G27+'07-22-21'!I23</f>
        <v>2.27</v>
      </c>
      <c r="J27" s="35">
        <f t="shared" si="11"/>
        <v>5510.36</v>
      </c>
      <c r="K27" s="7">
        <f t="shared" si="11"/>
        <v>12577.64</v>
      </c>
      <c r="L27" s="7">
        <f t="shared" si="11"/>
        <v>11841.784472049707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f>25000+8680.07+2208.5</f>
        <v>35888.57</v>
      </c>
      <c r="D30" s="9">
        <v>240</v>
      </c>
      <c r="E30" s="9">
        <v>2.87</v>
      </c>
      <c r="F30" s="9">
        <v>738.75</v>
      </c>
      <c r="G30" s="9">
        <v>55.4</v>
      </c>
      <c r="H30" s="8">
        <f>D30+F30+'04-28-22'!H30</f>
        <v>28539.75</v>
      </c>
      <c r="I30" s="8">
        <f>E30+G30+'04-28-22'!I30</f>
        <v>1348.8200000000002</v>
      </c>
      <c r="J30" s="8">
        <f t="shared" ref="J30:J31" si="12">H30+I30</f>
        <v>29888.57</v>
      </c>
      <c r="K30" s="8">
        <f>C30-J30</f>
        <v>6000</v>
      </c>
      <c r="L30" s="8">
        <f>C30-((J30/23)*26.0714285714285)</f>
        <v>2008.6692236025774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2"/>
        <v>0</v>
      </c>
      <c r="K31" s="8">
        <f t="shared" ref="K31" si="13">C31-J31</f>
        <v>0</v>
      </c>
      <c r="L31" s="8">
        <f t="shared" ref="L31" si="14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5">SUM(C30:C31)</f>
        <v>35888.57</v>
      </c>
      <c r="D32" s="31">
        <f t="shared" si="15"/>
        <v>240</v>
      </c>
      <c r="E32" s="31">
        <f t="shared" si="15"/>
        <v>2.87</v>
      </c>
      <c r="F32" s="31">
        <f t="shared" si="15"/>
        <v>738.75</v>
      </c>
      <c r="G32" s="31">
        <f t="shared" si="15"/>
        <v>55.4</v>
      </c>
      <c r="H32" s="31">
        <f t="shared" si="15"/>
        <v>28539.75</v>
      </c>
      <c r="I32" s="31">
        <f t="shared" si="15"/>
        <v>1348.8200000000002</v>
      </c>
      <c r="J32" s="31">
        <f t="shared" si="15"/>
        <v>29888.57</v>
      </c>
      <c r="K32" s="31">
        <f t="shared" si="15"/>
        <v>6000</v>
      </c>
      <c r="L32" s="31">
        <f t="shared" si="15"/>
        <v>2008.6692236025774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345059.5</v>
      </c>
      <c r="D35" s="24">
        <f t="shared" ref="D35:L35" si="16">D20+D27+D32+D7</f>
        <v>4483.6799999999994</v>
      </c>
      <c r="E35" s="24">
        <f t="shared" si="16"/>
        <v>53.679999999999993</v>
      </c>
      <c r="F35" s="24">
        <f t="shared" si="16"/>
        <v>2218.96</v>
      </c>
      <c r="G35" s="24">
        <f t="shared" si="16"/>
        <v>166.39</v>
      </c>
      <c r="H35" s="24">
        <f t="shared" si="16"/>
        <v>236193.31999999998</v>
      </c>
      <c r="I35" s="24">
        <f t="shared" si="16"/>
        <v>6679.18</v>
      </c>
      <c r="J35" s="24">
        <f t="shared" si="16"/>
        <v>248190.62</v>
      </c>
      <c r="K35" s="24">
        <f t="shared" si="16"/>
        <v>96868.87999999999</v>
      </c>
      <c r="L35" s="24">
        <f t="shared" si="16"/>
        <v>63725.412111802034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v>3194.08</v>
      </c>
      <c r="D38" s="32">
        <v>120</v>
      </c>
      <c r="E38" s="32">
        <v>1.43</v>
      </c>
      <c r="F38" s="32">
        <v>0</v>
      </c>
      <c r="G38" s="32">
        <v>0</v>
      </c>
      <c r="H38" s="8">
        <f>D38+F38+'04-28-22'!H38</f>
        <v>1730.94</v>
      </c>
      <c r="I38" s="8">
        <f>E38+G38+'04-28-22'!I38</f>
        <v>73.513599999999997</v>
      </c>
      <c r="J38" s="8">
        <f>H38+I38</f>
        <v>1804.4536000000001</v>
      </c>
      <c r="K38" s="8">
        <f>C38-J38</f>
        <v>1389.6263999999999</v>
      </c>
      <c r="L38" s="8">
        <f t="shared" ref="L38:L63" si="17">C38-((J38/23)*26.0714285714285)</f>
        <v>1148.6589937888255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D39+F39+'04-28-22'!H39</f>
        <v>1248</v>
      </c>
      <c r="I39" s="8">
        <f>E39+G39+'04-28-22'!I39</f>
        <v>93.6</v>
      </c>
      <c r="J39" s="8">
        <f t="shared" ref="J39:J63" si="18">H39+I39</f>
        <v>1341.6</v>
      </c>
      <c r="K39" s="8">
        <f t="shared" ref="K39:K63" si="19">C39-J39</f>
        <v>0</v>
      </c>
      <c r="L39" s="8">
        <f t="shared" si="17"/>
        <v>-179.15776397515106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v>231</v>
      </c>
      <c r="G40" s="32">
        <v>17.32</v>
      </c>
      <c r="H40" s="8">
        <f>D40+F40+'04-28-22'!H40</f>
        <v>8029</v>
      </c>
      <c r="I40" s="8">
        <f>E40+G40+'04-28-22'!I40</f>
        <v>447.34</v>
      </c>
      <c r="J40" s="8">
        <f t="shared" si="18"/>
        <v>8476.34</v>
      </c>
      <c r="K40" s="8">
        <f t="shared" si="19"/>
        <v>3082.0599999999995</v>
      </c>
      <c r="L40" s="8">
        <f t="shared" si="17"/>
        <v>1950.1263975155543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D41+F41+'04-28-22'!H41</f>
        <v>0</v>
      </c>
      <c r="I41" s="8">
        <f>E41+G41+'04-28-22'!I41</f>
        <v>0</v>
      </c>
      <c r="J41" s="8">
        <f t="shared" si="18"/>
        <v>0</v>
      </c>
      <c r="K41" s="8">
        <f t="shared" si="19"/>
        <v>0</v>
      </c>
      <c r="L41" s="8">
        <f t="shared" si="17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D42+F42+'04-28-22'!H42</f>
        <v>36.659999999999997</v>
      </c>
      <c r="I42" s="8">
        <f>E42+G42+'04-28-22'!I42</f>
        <v>0.43899359999999998</v>
      </c>
      <c r="J42" s="9">
        <f t="shared" si="18"/>
        <v>37.0989936</v>
      </c>
      <c r="K42" s="100">
        <f t="shared" si="19"/>
        <v>-37.0989936</v>
      </c>
      <c r="L42" s="8">
        <f t="shared" si="17"/>
        <v>-42.053207031055784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D43+F43+'04-28-22'!H43</f>
        <v>0</v>
      </c>
      <c r="I43" s="8">
        <f>E43+G43+'04-28-22'!I43</f>
        <v>0</v>
      </c>
      <c r="J43" s="8">
        <f t="shared" si="18"/>
        <v>0</v>
      </c>
      <c r="K43" s="8">
        <f t="shared" si="19"/>
        <v>356.53</v>
      </c>
      <c r="L43" s="8">
        <f t="shared" si="17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D44+F44+'04-28-22'!H44</f>
        <v>0</v>
      </c>
      <c r="I44" s="8">
        <f>E44+G44+'04-28-22'!I44</f>
        <v>0</v>
      </c>
      <c r="J44" s="8">
        <f t="shared" si="18"/>
        <v>0</v>
      </c>
      <c r="K44" s="8">
        <f>C44-J44</f>
        <v>554.22</v>
      </c>
      <c r="L44" s="8">
        <f t="shared" si="17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</f>
        <v>1989.2200000000003</v>
      </c>
      <c r="D45" s="32">
        <v>364.5</v>
      </c>
      <c r="E45" s="32">
        <v>4.37</v>
      </c>
      <c r="F45" s="32">
        <v>0</v>
      </c>
      <c r="G45" s="32">
        <v>0</v>
      </c>
      <c r="H45" s="8">
        <f>D45+F45+'04-28-22'!H45</f>
        <v>1574.13</v>
      </c>
      <c r="I45" s="8">
        <f>E45+G45+'04-28-22'!I45</f>
        <v>18.849999999999998</v>
      </c>
      <c r="J45" s="8">
        <f t="shared" si="18"/>
        <v>1592.98</v>
      </c>
      <c r="K45" s="8">
        <f>C45-J45</f>
        <v>396.24000000000024</v>
      </c>
      <c r="L45" s="8">
        <f t="shared" si="17"/>
        <v>183.51285714286223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D46+F46+'04-28-22'!H46</f>
        <v>3121.7</v>
      </c>
      <c r="I46" s="8">
        <f>E46+G46+'04-28-22'!I46</f>
        <v>29.869999999999997</v>
      </c>
      <c r="J46" s="9">
        <f t="shared" si="18"/>
        <v>3151.5699999999997</v>
      </c>
      <c r="K46" s="92">
        <f t="shared" ref="K46:K48" si="20">C46-J46</f>
        <v>0</v>
      </c>
      <c r="L46" s="8">
        <f t="shared" si="17"/>
        <v>-420.86183229812605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D47+F47+'04-28-22'!H47</f>
        <v>0</v>
      </c>
      <c r="I47" s="8">
        <f>E47+G47+'04-28-22'!I47</f>
        <v>0</v>
      </c>
      <c r="J47" s="9">
        <f t="shared" si="18"/>
        <v>0</v>
      </c>
      <c r="K47" s="92">
        <f t="shared" si="20"/>
        <v>1332</v>
      </c>
      <c r="L47" s="8">
        <f t="shared" si="17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55.8</v>
      </c>
      <c r="E48" s="32">
        <v>0.66</v>
      </c>
      <c r="F48" s="32">
        <v>0</v>
      </c>
      <c r="G48" s="32">
        <v>0</v>
      </c>
      <c r="H48" s="8">
        <f>D48+F48+'04-28-22'!H48</f>
        <v>2734.2</v>
      </c>
      <c r="I48" s="8">
        <f>E48+G48+'04-28-22'!I48</f>
        <v>32.700000000000003</v>
      </c>
      <c r="J48" s="8">
        <f t="shared" si="18"/>
        <v>2766.8999999999996</v>
      </c>
      <c r="K48" s="92">
        <f t="shared" si="20"/>
        <v>2233.1000000000004</v>
      </c>
      <c r="L48" s="8">
        <f t="shared" si="17"/>
        <v>1863.6071428571522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246</v>
      </c>
      <c r="E49" s="32">
        <v>2.94</v>
      </c>
      <c r="F49" s="32">
        <f>-1177.92</f>
        <v>-1177.92</v>
      </c>
      <c r="G49" s="32">
        <f>-88.34</f>
        <v>-88.34</v>
      </c>
      <c r="H49" s="8">
        <f>D49+F49+'04-28-22'!H49</f>
        <v>7256.8</v>
      </c>
      <c r="I49" s="8">
        <f>E49+G49+'04-28-22'!I49</f>
        <v>329.68999999999994</v>
      </c>
      <c r="J49" s="8">
        <f t="shared" si="18"/>
        <v>7586.49</v>
      </c>
      <c r="K49" s="8">
        <f>C49-J49</f>
        <v>3104.8600000000006</v>
      </c>
      <c r="L49" s="8">
        <f t="shared" si="17"/>
        <v>2091.7572981366702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D50+F50+'04-28-22'!H50</f>
        <v>0</v>
      </c>
      <c r="I50" s="8">
        <f>E50+G50+'04-28-22'!I50</f>
        <v>0</v>
      </c>
      <c r="J50" s="8">
        <f t="shared" si="18"/>
        <v>0</v>
      </c>
      <c r="K50" s="8">
        <f t="shared" ref="K50" si="21">C50-J50</f>
        <v>1481.58</v>
      </c>
      <c r="L50" s="8">
        <f t="shared" si="17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147.25</v>
      </c>
      <c r="E51" s="32">
        <v>1.76</v>
      </c>
      <c r="F51" s="32">
        <v>0</v>
      </c>
      <c r="G51" s="32">
        <v>0</v>
      </c>
      <c r="H51" s="8">
        <f>D51+F51+'04-28-22'!H51</f>
        <v>11190.990000000002</v>
      </c>
      <c r="I51" s="8">
        <f>E51+G51+'04-28-22'!I51</f>
        <v>134.19</v>
      </c>
      <c r="J51" s="8">
        <f t="shared" si="18"/>
        <v>11325.180000000002</v>
      </c>
      <c r="K51" s="8">
        <f>C51-J51</f>
        <v>7874.8199999999979</v>
      </c>
      <c r="L51" s="8">
        <f t="shared" si="17"/>
        <v>6362.4512422360585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0</v>
      </c>
      <c r="E52" s="32">
        <v>0</v>
      </c>
      <c r="F52" s="32">
        <v>0</v>
      </c>
      <c r="G52" s="32">
        <v>0</v>
      </c>
      <c r="H52" s="8">
        <f>D52+F52+'04-28-22'!H52</f>
        <v>1754.38</v>
      </c>
      <c r="I52" s="8">
        <f>E52+G52+'04-28-22'!I52</f>
        <v>131.57</v>
      </c>
      <c r="J52" s="8">
        <f t="shared" si="18"/>
        <v>1885.95</v>
      </c>
      <c r="K52" s="8">
        <f>C52-J52</f>
        <v>2384.9000000000005</v>
      </c>
      <c r="L52" s="8">
        <f t="shared" si="17"/>
        <v>2133.0495341614969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120</v>
      </c>
      <c r="E53" s="32">
        <v>1.43</v>
      </c>
      <c r="F53" s="32">
        <v>0</v>
      </c>
      <c r="G53" s="32">
        <v>0</v>
      </c>
      <c r="H53" s="8">
        <f>D53+F53+'04-28-22'!H53</f>
        <v>1695</v>
      </c>
      <c r="I53" s="8">
        <f>E53+G53+'04-28-22'!I53</f>
        <v>20.329999999999998</v>
      </c>
      <c r="J53" s="8">
        <f t="shared" si="18"/>
        <v>1715.33</v>
      </c>
      <c r="K53" s="8">
        <f>C53-J53</f>
        <v>1984.67</v>
      </c>
      <c r="L53" s="8">
        <f t="shared" si="17"/>
        <v>1755.6041925465893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D54+F54+'04-28-22'!H54</f>
        <v>0</v>
      </c>
      <c r="I54" s="8">
        <f>E54+G54+'04-28-22'!I54</f>
        <v>0</v>
      </c>
      <c r="J54" s="8">
        <f t="shared" si="18"/>
        <v>0</v>
      </c>
      <c r="K54" s="8">
        <f t="shared" si="19"/>
        <v>0</v>
      </c>
      <c r="L54" s="8">
        <f t="shared" si="17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D55+F55+'04-28-22'!H55</f>
        <v>0</v>
      </c>
      <c r="I55" s="8">
        <f>E55+G55+'04-28-22'!I55</f>
        <v>0</v>
      </c>
      <c r="J55" s="8">
        <f t="shared" si="18"/>
        <v>0</v>
      </c>
      <c r="K55" s="8">
        <f t="shared" si="19"/>
        <v>202.01</v>
      </c>
      <c r="L55" s="8">
        <f t="shared" si="17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D56+F56+'04-28-22'!H56</f>
        <v>0</v>
      </c>
      <c r="I56" s="8">
        <f>E56+G56+'04-28-22'!I56</f>
        <v>0</v>
      </c>
      <c r="J56" s="8">
        <f t="shared" si="18"/>
        <v>0</v>
      </c>
      <c r="K56" s="8">
        <f t="shared" si="19"/>
        <v>0</v>
      </c>
      <c r="L56" s="8">
        <f t="shared" si="17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D57+F57+'04-28-22'!H57</f>
        <v>0</v>
      </c>
      <c r="I57" s="8">
        <f>E57+G57+'04-28-22'!I57</f>
        <v>0</v>
      </c>
      <c r="J57" s="8">
        <f t="shared" si="18"/>
        <v>0</v>
      </c>
      <c r="K57" s="8">
        <f t="shared" si="19"/>
        <v>3655.06</v>
      </c>
      <c r="L57" s="8">
        <f t="shared" si="17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D58+F58+'04-28-22'!H58</f>
        <v>0</v>
      </c>
      <c r="I58" s="8">
        <f>E58+G58+'04-28-22'!I58</f>
        <v>0</v>
      </c>
      <c r="J58" s="8">
        <f t="shared" si="18"/>
        <v>0</v>
      </c>
      <c r="K58" s="8">
        <f t="shared" si="19"/>
        <v>0</v>
      </c>
      <c r="L58" s="8">
        <f t="shared" si="17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274.3</v>
      </c>
      <c r="E59" s="32">
        <v>3.29</v>
      </c>
      <c r="F59" s="32">
        <v>0</v>
      </c>
      <c r="G59" s="32">
        <v>0</v>
      </c>
      <c r="H59" s="8">
        <f>D59+F59+'04-28-22'!H59</f>
        <v>274.3</v>
      </c>
      <c r="I59" s="8">
        <f>E59+G59+'04-28-22'!I59</f>
        <v>3.29</v>
      </c>
      <c r="J59" s="8">
        <f t="shared" si="18"/>
        <v>277.59000000000003</v>
      </c>
      <c r="K59" s="8">
        <f t="shared" si="19"/>
        <v>3035.77</v>
      </c>
      <c r="L59" s="8">
        <f t="shared" si="17"/>
        <v>2998.7005279503114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D60+F60+'04-28-22'!H60</f>
        <v>2.4</v>
      </c>
      <c r="I60" s="8">
        <f>E60+G60+'04-28-22'!I60</f>
        <v>0.02</v>
      </c>
      <c r="J60" s="8">
        <f t="shared" si="18"/>
        <v>2.42</v>
      </c>
      <c r="K60" s="8">
        <f t="shared" si="19"/>
        <v>4190.72</v>
      </c>
      <c r="L60" s="8">
        <f t="shared" si="17"/>
        <v>4190.3968322981373</v>
      </c>
      <c r="M60" s="68"/>
    </row>
    <row r="61" spans="1:13" s="63" customFormat="1" ht="11.25" customHeight="1" x14ac:dyDescent="0.2">
      <c r="A61" s="18" t="s">
        <v>73</v>
      </c>
      <c r="B61" s="61" t="s">
        <v>72</v>
      </c>
      <c r="C61" s="62">
        <v>4193.1400000000003</v>
      </c>
      <c r="D61" s="32">
        <v>0</v>
      </c>
      <c r="E61" s="32">
        <v>0</v>
      </c>
      <c r="F61" s="32">
        <v>0</v>
      </c>
      <c r="G61" s="32">
        <v>0</v>
      </c>
      <c r="H61" s="8">
        <f>D61+F61+'04-28-22'!H61</f>
        <v>2754</v>
      </c>
      <c r="I61" s="8">
        <f>E61+G61+'04-28-22'!I61</f>
        <v>114.28999999999999</v>
      </c>
      <c r="J61" s="8">
        <f t="shared" si="18"/>
        <v>2868.29</v>
      </c>
      <c r="K61" s="8">
        <f t="shared" si="19"/>
        <v>1324.8500000000004</v>
      </c>
      <c r="L61" s="8">
        <f t="shared" si="17"/>
        <v>941.81748447205882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47.36</v>
      </c>
      <c r="E62" s="32">
        <v>0.56000000000000005</v>
      </c>
      <c r="F62" s="32">
        <v>0</v>
      </c>
      <c r="G62" s="32">
        <v>0</v>
      </c>
      <c r="H62" s="8">
        <f>D62+F62+'04-28-22'!H62</f>
        <v>4290.8899999999994</v>
      </c>
      <c r="I62" s="8">
        <f>E62+G62+'04-28-22'!I62</f>
        <v>47.690000000000005</v>
      </c>
      <c r="J62" s="8">
        <f t="shared" si="18"/>
        <v>4338.579999999999</v>
      </c>
      <c r="K62" s="8">
        <f t="shared" si="19"/>
        <v>861.42000000000098</v>
      </c>
      <c r="L62" s="8">
        <f t="shared" si="17"/>
        <v>282.04440993790286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3">
        <v>0</v>
      </c>
      <c r="E63" s="33">
        <v>0</v>
      </c>
      <c r="F63" s="33">
        <v>11.25</v>
      </c>
      <c r="G63" s="33">
        <v>0.84</v>
      </c>
      <c r="H63" s="8">
        <f>D63+F63+'04-28-22'!H63</f>
        <v>435</v>
      </c>
      <c r="I63" s="8">
        <f>E63+G63+'04-28-22'!I63</f>
        <v>32.6</v>
      </c>
      <c r="J63" s="8">
        <f t="shared" si="18"/>
        <v>467.6</v>
      </c>
      <c r="K63" s="8">
        <f t="shared" si="19"/>
        <v>3281.4</v>
      </c>
      <c r="L63" s="8">
        <f t="shared" si="17"/>
        <v>3218.9565217391319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92327.109999999986</v>
      </c>
      <c r="D64" s="7">
        <f t="shared" ref="D64:L64" si="22">SUM(D38:D63)</f>
        <v>1375.2099999999998</v>
      </c>
      <c r="E64" s="7">
        <f t="shared" si="22"/>
        <v>16.439999999999998</v>
      </c>
      <c r="F64" s="7">
        <f t="shared" si="22"/>
        <v>-935.67000000000007</v>
      </c>
      <c r="G64" s="7">
        <f t="shared" si="22"/>
        <v>-70.180000000000007</v>
      </c>
      <c r="H64" s="7">
        <f t="shared" si="22"/>
        <v>48128.39</v>
      </c>
      <c r="I64" s="7">
        <f t="shared" si="22"/>
        <v>1509.9825935999997</v>
      </c>
      <c r="J64" s="7">
        <f t="shared" si="22"/>
        <v>49638.37259359999</v>
      </c>
      <c r="K64" s="7">
        <f t="shared" si="22"/>
        <v>42688.737406399996</v>
      </c>
      <c r="L64" s="7">
        <f t="shared" si="22"/>
        <v>36060.010631478421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v>920.28</v>
      </c>
      <c r="E67" s="9">
        <v>11.03</v>
      </c>
      <c r="F67" s="9">
        <v>0</v>
      </c>
      <c r="G67" s="9">
        <v>0</v>
      </c>
      <c r="H67" s="8">
        <f>D67+F67+'04-28-22'!H67</f>
        <v>29632.679999999997</v>
      </c>
      <c r="I67" s="8">
        <f>E67+G67+'04-28-22'!I67</f>
        <v>424.56</v>
      </c>
      <c r="J67" s="8">
        <f t="shared" ref="J67:J68" si="23">H67+I67</f>
        <v>30057.239999999998</v>
      </c>
      <c r="K67" s="8">
        <f>C67-J67</f>
        <v>32525.760000000002</v>
      </c>
      <c r="L67" s="8">
        <f t="shared" ref="L67:L68" si="24">C67-((J67/23)*26.0714285714285)</f>
        <v>28511.904968944196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D68+F68+'04-28-22'!H68</f>
        <v>0</v>
      </c>
      <c r="I68" s="8">
        <f>E68+G68+'04-28-22'!I68</f>
        <v>0</v>
      </c>
      <c r="J68" s="8">
        <f t="shared" si="23"/>
        <v>0</v>
      </c>
      <c r="K68" s="8">
        <f>C68-J68</f>
        <v>0</v>
      </c>
      <c r="L68" s="8">
        <f t="shared" si="24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5">D67+D68</f>
        <v>920.28</v>
      </c>
      <c r="E69" s="14">
        <f t="shared" si="25"/>
        <v>11.03</v>
      </c>
      <c r="F69" s="14">
        <f t="shared" si="25"/>
        <v>0</v>
      </c>
      <c r="G69" s="14">
        <f t="shared" si="25"/>
        <v>0</v>
      </c>
      <c r="H69" s="14">
        <f t="shared" si="25"/>
        <v>29632.679999999997</v>
      </c>
      <c r="I69" s="14">
        <f t="shared" si="25"/>
        <v>424.56</v>
      </c>
      <c r="J69" s="14">
        <f t="shared" si="25"/>
        <v>30057.239999999998</v>
      </c>
      <c r="K69" s="14">
        <f t="shared" si="25"/>
        <v>32525.760000000002</v>
      </c>
      <c r="L69" s="14">
        <f t="shared" si="25"/>
        <v>28511.904968944196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D72+F72+'04-28-22'!H72</f>
        <v>758.14</v>
      </c>
      <c r="I72" s="8">
        <f>E72+G72+'04-28-22'!I72</f>
        <v>30.26</v>
      </c>
      <c r="J72" s="8">
        <f t="shared" ref="J72" si="26">H72+I72</f>
        <v>788.4</v>
      </c>
      <c r="K72" s="8">
        <f>C72-J72</f>
        <v>36947.599999999999</v>
      </c>
      <c r="L72" s="8">
        <f>C72-((J72/23)*26.0714285714285)</f>
        <v>36842.316770186335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7">SUM(C72)</f>
        <v>37736</v>
      </c>
      <c r="D73" s="7">
        <f t="shared" si="27"/>
        <v>0</v>
      </c>
      <c r="E73" s="7">
        <f t="shared" si="27"/>
        <v>0</v>
      </c>
      <c r="F73" s="7">
        <f t="shared" si="27"/>
        <v>0</v>
      </c>
      <c r="G73" s="7">
        <f t="shared" si="27"/>
        <v>0</v>
      </c>
      <c r="H73" s="7">
        <f t="shared" si="27"/>
        <v>758.14</v>
      </c>
      <c r="I73" s="7">
        <f t="shared" si="27"/>
        <v>30.26</v>
      </c>
      <c r="J73" s="7">
        <f t="shared" si="27"/>
        <v>788.4</v>
      </c>
      <c r="K73" s="7">
        <f t="shared" si="27"/>
        <v>36947.599999999999</v>
      </c>
      <c r="L73" s="7">
        <f t="shared" si="27"/>
        <v>36842.316770186335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9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9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9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  <row r="100" spans="1:19" ht="10.5" customHeight="1" x14ac:dyDescent="0.25">
      <c r="A100" s="122" t="s">
        <v>152</v>
      </c>
      <c r="B100" s="122"/>
      <c r="C100" s="122"/>
      <c r="D100" s="122"/>
      <c r="E100" s="122"/>
      <c r="F100" s="122"/>
      <c r="G100" s="89">
        <v>1116.23</v>
      </c>
      <c r="M100" s="121"/>
      <c r="N100" s="121"/>
      <c r="O100" s="121"/>
      <c r="P100" s="121"/>
      <c r="Q100" s="121"/>
      <c r="R100" s="121"/>
    </row>
    <row r="101" spans="1:19" ht="10.5" customHeight="1" x14ac:dyDescent="0.25">
      <c r="A101" s="122" t="s">
        <v>152</v>
      </c>
      <c r="B101" s="122"/>
      <c r="C101" s="122"/>
      <c r="D101" s="122"/>
      <c r="E101" s="122"/>
      <c r="F101" s="122"/>
      <c r="G101" s="89">
        <v>1266.24</v>
      </c>
      <c r="M101" s="121"/>
      <c r="N101" s="121"/>
      <c r="O101" s="121"/>
      <c r="P101" s="121"/>
      <c r="Q101" s="121"/>
      <c r="R101" s="121"/>
    </row>
    <row r="102" spans="1:19" s="2" customFormat="1" ht="10.5" customHeight="1" x14ac:dyDescent="0.25">
      <c r="A102" s="122" t="s">
        <v>155</v>
      </c>
      <c r="B102" s="122"/>
      <c r="C102" s="122"/>
      <c r="D102" s="122"/>
      <c r="E102" s="122"/>
      <c r="F102" s="122"/>
      <c r="G102" s="89">
        <v>7700</v>
      </c>
      <c r="M102" s="121"/>
      <c r="N102" s="121"/>
      <c r="O102" s="121"/>
      <c r="P102" s="121"/>
      <c r="Q102" s="121"/>
      <c r="R102" s="121"/>
      <c r="S102" s="89"/>
    </row>
    <row r="103" spans="1:19" s="2" customFormat="1" ht="10.5" customHeight="1" x14ac:dyDescent="0.25">
      <c r="A103" s="122" t="s">
        <v>157</v>
      </c>
      <c r="B103" s="122"/>
      <c r="C103" s="122"/>
      <c r="D103" s="122"/>
      <c r="E103" s="122"/>
      <c r="F103" s="122"/>
      <c r="G103" s="89">
        <v>8680.07</v>
      </c>
      <c r="M103" s="121"/>
      <c r="N103" s="121"/>
      <c r="O103" s="121"/>
      <c r="P103" s="121"/>
      <c r="Q103" s="121"/>
      <c r="R103" s="121"/>
      <c r="S103" s="89"/>
    </row>
    <row r="104" spans="1:19" ht="10.5" customHeight="1" x14ac:dyDescent="0.25">
      <c r="A104" s="122" t="s">
        <v>156</v>
      </c>
      <c r="B104" s="122"/>
      <c r="C104" s="122"/>
      <c r="D104" s="122"/>
      <c r="E104" s="122"/>
      <c r="F104" s="122"/>
      <c r="G104" s="89">
        <v>2208.5</v>
      </c>
      <c r="M104" s="121"/>
      <c r="N104" s="121"/>
      <c r="O104" s="121"/>
      <c r="P104" s="121"/>
      <c r="Q104" s="121"/>
      <c r="R104" s="121"/>
    </row>
    <row r="105" spans="1:19" ht="10.5" customHeight="1" x14ac:dyDescent="0.25">
      <c r="A105" s="122" t="s">
        <v>158</v>
      </c>
      <c r="B105" s="122"/>
      <c r="C105" s="122"/>
      <c r="D105" s="122"/>
      <c r="E105" s="122"/>
      <c r="F105" s="122"/>
      <c r="G105" s="89">
        <v>1000</v>
      </c>
      <c r="M105" s="121"/>
      <c r="N105" s="121"/>
      <c r="O105" s="121"/>
      <c r="P105" s="121"/>
      <c r="Q105" s="121"/>
      <c r="R105" s="121"/>
    </row>
    <row r="106" spans="1:19" ht="10.5" customHeight="1" x14ac:dyDescent="0.25">
      <c r="A106" s="122" t="s">
        <v>158</v>
      </c>
      <c r="B106" s="122"/>
      <c r="C106" s="122"/>
      <c r="D106" s="122"/>
      <c r="E106" s="122"/>
      <c r="F106" s="122"/>
      <c r="G106" s="89">
        <v>821.59</v>
      </c>
      <c r="M106" s="121"/>
      <c r="N106" s="121"/>
      <c r="O106" s="121"/>
      <c r="P106" s="121"/>
      <c r="Q106" s="121"/>
      <c r="R106" s="121"/>
    </row>
    <row r="107" spans="1:19" ht="10.5" customHeight="1" x14ac:dyDescent="0.25">
      <c r="A107" s="122" t="s">
        <v>158</v>
      </c>
      <c r="B107" s="122"/>
      <c r="C107" s="122"/>
      <c r="D107" s="122"/>
      <c r="E107" s="122"/>
      <c r="F107" s="122"/>
      <c r="G107" s="89">
        <v>1500</v>
      </c>
      <c r="M107" s="121"/>
      <c r="N107" s="121"/>
      <c r="O107" s="121"/>
      <c r="P107" s="121"/>
      <c r="Q107" s="121"/>
      <c r="R107" s="121"/>
    </row>
    <row r="108" spans="1:19" ht="10.5" customHeight="1" x14ac:dyDescent="0.25">
      <c r="A108" s="122" t="s">
        <v>158</v>
      </c>
      <c r="B108" s="122"/>
      <c r="C108" s="122"/>
      <c r="D108" s="122"/>
      <c r="E108" s="122"/>
      <c r="F108" s="122"/>
      <c r="G108" s="89">
        <v>1116.23</v>
      </c>
      <c r="M108" s="121"/>
      <c r="N108" s="121"/>
      <c r="O108" s="121"/>
      <c r="P108" s="121"/>
      <c r="Q108" s="121"/>
      <c r="R108" s="121"/>
    </row>
    <row r="109" spans="1:19" ht="10.5" customHeight="1" x14ac:dyDescent="0.25">
      <c r="A109" s="122" t="s">
        <v>158</v>
      </c>
      <c r="B109" s="122"/>
      <c r="C109" s="122"/>
      <c r="D109" s="122"/>
      <c r="E109" s="122"/>
      <c r="F109" s="122"/>
      <c r="G109" s="89">
        <v>1266.24</v>
      </c>
      <c r="M109" s="121"/>
      <c r="N109" s="121"/>
      <c r="O109" s="121"/>
      <c r="P109" s="121"/>
      <c r="Q109" s="121"/>
      <c r="R109" s="121"/>
    </row>
  </sheetData>
  <mergeCells count="78">
    <mergeCell ref="A109:F109"/>
    <mergeCell ref="M109:R109"/>
    <mergeCell ref="A106:F106"/>
    <mergeCell ref="M106:R106"/>
    <mergeCell ref="A107:F107"/>
    <mergeCell ref="M107:R107"/>
    <mergeCell ref="A108:F108"/>
    <mergeCell ref="M108:R108"/>
    <mergeCell ref="A64:B64"/>
    <mergeCell ref="A7:B7"/>
    <mergeCell ref="A20:B20"/>
    <mergeCell ref="A27:B27"/>
    <mergeCell ref="A32:B32"/>
    <mergeCell ref="A35:B35"/>
    <mergeCell ref="A69:B69"/>
    <mergeCell ref="A73:B73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  <mergeCell ref="A85:F85"/>
    <mergeCell ref="M85:R85"/>
    <mergeCell ref="A86:F86"/>
    <mergeCell ref="M86:R86"/>
    <mergeCell ref="A87:F87"/>
    <mergeCell ref="M87:R87"/>
    <mergeCell ref="A88:F88"/>
    <mergeCell ref="M88:R88"/>
    <mergeCell ref="A89:F89"/>
    <mergeCell ref="M89:R89"/>
    <mergeCell ref="A90:F90"/>
    <mergeCell ref="M90:R90"/>
    <mergeCell ref="A91:F91"/>
    <mergeCell ref="M91:R91"/>
    <mergeCell ref="A92:F92"/>
    <mergeCell ref="M92:R92"/>
    <mergeCell ref="A93:F93"/>
    <mergeCell ref="M93:R93"/>
    <mergeCell ref="A94:F94"/>
    <mergeCell ref="M94:R94"/>
    <mergeCell ref="A95:F95"/>
    <mergeCell ref="M95:R95"/>
    <mergeCell ref="A96:F96"/>
    <mergeCell ref="M96:R96"/>
    <mergeCell ref="A97:F97"/>
    <mergeCell ref="M97:R97"/>
    <mergeCell ref="A101:F101"/>
    <mergeCell ref="M101:R101"/>
    <mergeCell ref="A98:F98"/>
    <mergeCell ref="M98:R98"/>
    <mergeCell ref="A99:F99"/>
    <mergeCell ref="M99:R99"/>
    <mergeCell ref="A100:F100"/>
    <mergeCell ref="M100:R100"/>
    <mergeCell ref="A105:F105"/>
    <mergeCell ref="M104:R104"/>
    <mergeCell ref="M105:R105"/>
    <mergeCell ref="A102:F102"/>
    <mergeCell ref="M102:R102"/>
    <mergeCell ref="A103:F103"/>
    <mergeCell ref="M103:R103"/>
    <mergeCell ref="A104:F104"/>
  </mergeCells>
  <pageMargins left="0.25" right="0" top="0.4" bottom="0" header="0.3" footer="0"/>
  <pageSetup scale="68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E7A4-EEED-485D-A54A-86B6B4EAD9F2}">
  <sheetPr>
    <pageSetUpPr fitToPage="1"/>
  </sheetPr>
  <dimension ref="A1:S109"/>
  <sheetViews>
    <sheetView zoomScale="145" zoomScaleNormal="145" workbookViewId="0">
      <pane ySplit="2" topLeftCell="A18" activePane="bottomLeft" state="frozen"/>
      <selection pane="bottomLeft" activeCell="L25" sqref="L25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159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1000+821.59+1500+1116.23+1266.24-1000-821.59-1500-1116.23-1266.24</f>
        <v>0</v>
      </c>
      <c r="D3" s="32">
        <f>-3800</f>
        <v>-3800</v>
      </c>
      <c r="E3" s="32">
        <f>-45.6</f>
        <v>-45.6</v>
      </c>
      <c r="F3" s="32">
        <f>-1177.92</f>
        <v>-1177.92</v>
      </c>
      <c r="G3" s="32">
        <f>-88.34</f>
        <v>-88.34</v>
      </c>
      <c r="H3" s="8">
        <f>D3+F3+'05-12-22'!H3</f>
        <v>0</v>
      </c>
      <c r="I3" s="8">
        <f>E3+G3+'05-12-22'!I3</f>
        <v>-2.0000000000010232E-2</v>
      </c>
      <c r="J3" s="8">
        <f>H3+I3</f>
        <v>-2.0000000000010232E-2</v>
      </c>
      <c r="K3" s="8">
        <f>C3-J3</f>
        <v>2.0000000000010232E-2</v>
      </c>
      <c r="L3" s="8">
        <f>C3-((J3/24)*26.0714285714285)</f>
        <v>2.1726190476201532E-2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0</v>
      </c>
      <c r="E4" s="32">
        <v>0</v>
      </c>
      <c r="F4" s="32">
        <v>0</v>
      </c>
      <c r="G4" s="32">
        <v>0</v>
      </c>
      <c r="H4" s="8">
        <f>D4+F4+'05-12-22'!H4</f>
        <v>10107.450000000001</v>
      </c>
      <c r="I4" s="8">
        <f>E4+G4+'05-12-22'!I4</f>
        <v>252.56000000000006</v>
      </c>
      <c r="J4" s="8">
        <f>H4+I4</f>
        <v>10360.01</v>
      </c>
      <c r="K4" s="8">
        <f>C4-J4</f>
        <v>439.98999999999978</v>
      </c>
      <c r="L4" s="8">
        <f t="shared" ref="L4:L6" si="0">C4-((J4/24)*26.0714285714285)</f>
        <v>-454.1775297618733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D5+F5+'05-12-22'!H5</f>
        <v>6825</v>
      </c>
      <c r="I5" s="8">
        <f>E5+G5+'05-12-22'!I5</f>
        <v>511.84000000000003</v>
      </c>
      <c r="J5" s="8">
        <f>H5+I5</f>
        <v>7336.84</v>
      </c>
      <c r="K5" s="8">
        <f>C5-J5</f>
        <v>8218.16</v>
      </c>
      <c r="L5" s="8">
        <f t="shared" si="0"/>
        <v>7584.9208333333563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D6+F6+'05-12-22'!H6</f>
        <v>4207.5</v>
      </c>
      <c r="I6" s="8">
        <f>E6+G6+'05-12-22'!I6</f>
        <v>50.45000000000001</v>
      </c>
      <c r="J6" s="8">
        <f>H6+I6</f>
        <v>4257.95</v>
      </c>
      <c r="K6" s="8">
        <f>C6-J6</f>
        <v>2192.0500000000002</v>
      </c>
      <c r="L6" s="8">
        <f t="shared" si="0"/>
        <v>1824.5483630952513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32805</v>
      </c>
      <c r="D7" s="35">
        <f t="shared" ref="D7:L7" si="1">SUM(D3:D6)</f>
        <v>-3800</v>
      </c>
      <c r="E7" s="35">
        <f t="shared" si="1"/>
        <v>-45.6</v>
      </c>
      <c r="F7" s="35">
        <f t="shared" si="1"/>
        <v>-1177.92</v>
      </c>
      <c r="G7" s="35">
        <f t="shared" si="1"/>
        <v>-88.34</v>
      </c>
      <c r="H7" s="35">
        <f t="shared" si="1"/>
        <v>21139.95</v>
      </c>
      <c r="I7" s="35">
        <f t="shared" si="1"/>
        <v>814.83000000000015</v>
      </c>
      <c r="J7" s="35">
        <f t="shared" si="1"/>
        <v>21954.780000000002</v>
      </c>
      <c r="K7" s="35">
        <f t="shared" si="1"/>
        <v>10850.220000000001</v>
      </c>
      <c r="L7" s="35">
        <f t="shared" si="1"/>
        <v>8955.3133928572097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2">
        <v>0</v>
      </c>
      <c r="E10" s="32">
        <v>0</v>
      </c>
      <c r="F10" s="32">
        <f>-27975.15+3506</f>
        <v>-24469.15</v>
      </c>
      <c r="G10" s="32">
        <f>-2098.13+262.95</f>
        <v>-1835.18</v>
      </c>
      <c r="H10" s="8">
        <f>D10+F10+'05-12-22'!H10</f>
        <v>10451.659999999996</v>
      </c>
      <c r="I10" s="8">
        <f>E10+G10+'05-12-22'!I10</f>
        <v>528.09999999999968</v>
      </c>
      <c r="J10" s="8">
        <f t="shared" ref="J10:J19" si="2">H10+I10</f>
        <v>10979.759999999997</v>
      </c>
      <c r="K10" s="8">
        <f t="shared" ref="K10:K19" si="3">C10-J10</f>
        <v>55020.240000000005</v>
      </c>
      <c r="L10" s="8">
        <f t="shared" ref="L10:L19" si="4">C10-((J10/24)*26.0714285714285)</f>
        <v>54072.58214285718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2229+688-2208.5</f>
        <v>708.5</v>
      </c>
      <c r="D11" s="32">
        <v>0</v>
      </c>
      <c r="E11" s="32">
        <v>0</v>
      </c>
      <c r="F11" s="32">
        <v>0</v>
      </c>
      <c r="G11" s="32">
        <v>0</v>
      </c>
      <c r="H11" s="8">
        <f>D11+F11+'05-12-22'!H11</f>
        <v>0</v>
      </c>
      <c r="I11" s="8">
        <f>E11+G11+'05-12-22'!I11</f>
        <v>0</v>
      </c>
      <c r="J11" s="8">
        <f t="shared" si="2"/>
        <v>0</v>
      </c>
      <c r="K11" s="8">
        <f t="shared" si="3"/>
        <v>708.5</v>
      </c>
      <c r="L11" s="8">
        <f t="shared" si="4"/>
        <v>708.5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v>593.54999999999995</v>
      </c>
      <c r="E12" s="9">
        <v>7.12</v>
      </c>
      <c r="F12" s="9">
        <v>356.25</v>
      </c>
      <c r="G12" s="9">
        <v>26.71</v>
      </c>
      <c r="H12" s="8">
        <f>D12+F12+'05-12-22'!H12</f>
        <v>19989.38</v>
      </c>
      <c r="I12" s="8">
        <f>E12+G12+'05-12-22'!I12</f>
        <v>262.11999999999989</v>
      </c>
      <c r="J12" s="8">
        <f t="shared" si="2"/>
        <v>20251.5</v>
      </c>
      <c r="K12" s="8">
        <f t="shared" si="3"/>
        <v>4397.5</v>
      </c>
      <c r="L12" s="8">
        <f t="shared" si="4"/>
        <v>2649.6026785714894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f>158.7+619.01</f>
        <v>777.71</v>
      </c>
      <c r="E13" s="9">
        <f>1.9+7.42</f>
        <v>9.32</v>
      </c>
      <c r="F13" s="9">
        <v>997.35</v>
      </c>
      <c r="G13" s="9">
        <v>74.81</v>
      </c>
      <c r="H13" s="8">
        <f>D13+F13+'05-12-22'!H13</f>
        <v>15292.659999999998</v>
      </c>
      <c r="I13" s="8">
        <f>E13+G13+'05-12-22'!I13</f>
        <v>246.11</v>
      </c>
      <c r="J13" s="8">
        <f t="shared" si="2"/>
        <v>15538.769999999999</v>
      </c>
      <c r="K13" s="8">
        <f t="shared" si="3"/>
        <v>2435.2300000000014</v>
      </c>
      <c r="L13" s="8">
        <f t="shared" si="4"/>
        <v>1094.0861607143343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f>437.76+380.88</f>
        <v>818.64</v>
      </c>
      <c r="E14" s="9">
        <f>5.25+4.57</f>
        <v>9.82</v>
      </c>
      <c r="F14" s="9">
        <v>0</v>
      </c>
      <c r="G14" s="9">
        <v>0</v>
      </c>
      <c r="H14" s="8">
        <f>D14+F14+'05-12-22'!H14</f>
        <v>16708.36</v>
      </c>
      <c r="I14" s="8">
        <f>E14+G14+'05-12-22'!I14</f>
        <v>271.73999999999995</v>
      </c>
      <c r="J14" s="8">
        <f t="shared" si="2"/>
        <v>16980.100000000002</v>
      </c>
      <c r="K14" s="8">
        <f t="shared" si="3"/>
        <v>993.89999999999782</v>
      </c>
      <c r="L14" s="8">
        <f t="shared" si="4"/>
        <v>-471.64434523804448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v>713.31</v>
      </c>
      <c r="E15" s="9">
        <v>8.5500000000000007</v>
      </c>
      <c r="F15" s="9">
        <v>0</v>
      </c>
      <c r="G15" s="9">
        <v>0</v>
      </c>
      <c r="H15" s="8">
        <f>D15+F15+'05-12-22'!H15</f>
        <v>19080.23</v>
      </c>
      <c r="I15" s="8">
        <f>E15+G15+'05-12-22'!I15</f>
        <v>321.66000000000003</v>
      </c>
      <c r="J15" s="8">
        <f t="shared" si="2"/>
        <v>19401.89</v>
      </c>
      <c r="K15" s="8">
        <f t="shared" si="3"/>
        <v>4928.1100000000006</v>
      </c>
      <c r="L15" s="8">
        <f t="shared" si="4"/>
        <v>3253.5421130953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f>19.11+2034.05</f>
        <v>2053.16</v>
      </c>
      <c r="E16" s="8">
        <f>0.22+24.4</f>
        <v>24.619999999999997</v>
      </c>
      <c r="F16" s="8">
        <v>527.04</v>
      </c>
      <c r="G16" s="8">
        <v>39.520000000000003</v>
      </c>
      <c r="H16" s="8">
        <f>D16+F16+'05-12-22'!H16</f>
        <v>29623.05</v>
      </c>
      <c r="I16" s="8">
        <f>E16+G16+'05-12-22'!I16</f>
        <v>466.38</v>
      </c>
      <c r="J16" s="8">
        <f t="shared" si="2"/>
        <v>30089.43</v>
      </c>
      <c r="K16" s="8">
        <f t="shared" si="3"/>
        <v>3639</v>
      </c>
      <c r="L16" s="8">
        <f t="shared" si="4"/>
        <v>1041.9956250000942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f>589.86+2046.48</f>
        <v>2636.34</v>
      </c>
      <c r="E17" s="8">
        <f>7.07+24.55</f>
        <v>31.62</v>
      </c>
      <c r="F17" s="8">
        <v>435.2</v>
      </c>
      <c r="G17" s="8">
        <v>32.64</v>
      </c>
      <c r="H17" s="8">
        <f>D17+F17+'05-12-22'!H17</f>
        <v>40019.060000000005</v>
      </c>
      <c r="I17" s="8">
        <f>E17+G17+'05-12-22'!I17</f>
        <v>516.63</v>
      </c>
      <c r="J17" s="8">
        <f t="shared" si="2"/>
        <v>40535.69</v>
      </c>
      <c r="K17" s="8">
        <f t="shared" si="3"/>
        <v>2205.3099999999977</v>
      </c>
      <c r="L17" s="8">
        <f t="shared" si="4"/>
        <v>-1293.3061011903555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f>1800+344.69</f>
        <v>2144.69</v>
      </c>
      <c r="E18" s="9">
        <f>21.6+4.13</f>
        <v>25.73</v>
      </c>
      <c r="F18" s="9">
        <f>1177.92</f>
        <v>1177.92</v>
      </c>
      <c r="G18" s="9">
        <f>88.34</f>
        <v>88.34</v>
      </c>
      <c r="H18" s="8">
        <f>D18+F18+'05-12-22'!H18</f>
        <v>14900.69</v>
      </c>
      <c r="I18" s="8">
        <f>E18+G18+'05-12-22'!I18</f>
        <v>252.86</v>
      </c>
      <c r="J18" s="8">
        <f t="shared" si="2"/>
        <v>15153.550000000001</v>
      </c>
      <c r="K18" s="8">
        <f t="shared" si="3"/>
        <v>9019.4499999999989</v>
      </c>
      <c r="L18" s="8">
        <f t="shared" si="4"/>
        <v>7711.5543154762381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264.44</v>
      </c>
      <c r="E19" s="9">
        <v>3.17</v>
      </c>
      <c r="F19" s="9">
        <v>0</v>
      </c>
      <c r="G19" s="9">
        <v>0</v>
      </c>
      <c r="H19" s="8">
        <f>D19+F19+'05-12-22'!H19</f>
        <v>4307.0899999999992</v>
      </c>
      <c r="I19" s="8">
        <f>E19+G19+'05-12-22'!I19</f>
        <v>60.51</v>
      </c>
      <c r="J19" s="8">
        <f t="shared" si="2"/>
        <v>4367.5999999999995</v>
      </c>
      <c r="K19" s="8">
        <f t="shared" si="3"/>
        <v>1632.4000000000005</v>
      </c>
      <c r="L19" s="8">
        <f t="shared" si="4"/>
        <v>1255.4345238095375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258277.93</v>
      </c>
      <c r="D20" s="35">
        <f t="shared" ref="D20:L20" si="5">SUM(D10:D19)</f>
        <v>10001.84</v>
      </c>
      <c r="E20" s="35">
        <f t="shared" si="5"/>
        <v>119.95</v>
      </c>
      <c r="F20" s="35">
        <f t="shared" si="5"/>
        <v>-20975.39</v>
      </c>
      <c r="G20" s="35">
        <f t="shared" si="5"/>
        <v>-1573.16</v>
      </c>
      <c r="H20" s="35">
        <f t="shared" si="5"/>
        <v>170372.18</v>
      </c>
      <c r="I20" s="35">
        <f t="shared" si="5"/>
        <v>2926.11</v>
      </c>
      <c r="J20" s="35">
        <f t="shared" si="5"/>
        <v>173298.28999999998</v>
      </c>
      <c r="K20" s="35">
        <f t="shared" si="5"/>
        <v>84979.64</v>
      </c>
      <c r="L20" s="35">
        <f t="shared" si="5"/>
        <v>70022.347113095777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6">D23+F23</f>
        <v>0</v>
      </c>
      <c r="I23" s="8">
        <f t="shared" si="6"/>
        <v>0</v>
      </c>
      <c r="J23" s="8">
        <f t="shared" ref="J23:J26" si="7">H23+I23</f>
        <v>0</v>
      </c>
      <c r="K23" s="8">
        <f>C23-J23</f>
        <v>0</v>
      </c>
      <c r="L23" s="8">
        <f t="shared" ref="L23" si="8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D24+F24+'05-12-22'!H24</f>
        <v>1375.3999999999999</v>
      </c>
      <c r="I24" s="8">
        <f>E24+G24+'05-12-22'!I24</f>
        <v>16.439999999999998</v>
      </c>
      <c r="J24" s="8">
        <f>H24+I24</f>
        <v>1391.84</v>
      </c>
      <c r="K24" s="8">
        <f>C24-J24</f>
        <v>717.16000000000008</v>
      </c>
      <c r="L24" s="8">
        <f t="shared" ref="L24:L26" si="9">C24-((J24/24)*26.0714285714285)</f>
        <v>597.03095238095671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f>2000+675.19</f>
        <v>2675.19</v>
      </c>
      <c r="E25" s="32">
        <f>24+8.1</f>
        <v>32.1</v>
      </c>
      <c r="F25" s="32">
        <v>0</v>
      </c>
      <c r="G25" s="32">
        <v>0</v>
      </c>
      <c r="H25" s="8">
        <f>D25+F25+'05-12-22'!H25</f>
        <v>4777.5</v>
      </c>
      <c r="I25" s="8">
        <f>E25+G25+'05-12-22'!I25</f>
        <v>57.230000000000004</v>
      </c>
      <c r="J25" s="8">
        <f t="shared" si="7"/>
        <v>4834.7299999999996</v>
      </c>
      <c r="K25" s="8">
        <f t="shared" ref="K25:K26" si="10">C25-J25</f>
        <v>9118.27</v>
      </c>
      <c r="L25" s="8">
        <f t="shared" si="9"/>
        <v>8700.9867559523955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D26+F26+'05-12-22'!H26</f>
        <v>1967.5</v>
      </c>
      <c r="I26" s="8">
        <f>E26+G26+'05-12-22'!I26</f>
        <v>23.580000000000002</v>
      </c>
      <c r="J26" s="8">
        <f t="shared" si="7"/>
        <v>1991.08</v>
      </c>
      <c r="K26" s="8">
        <f t="shared" si="10"/>
        <v>34.920000000000073</v>
      </c>
      <c r="L26" s="8">
        <f t="shared" si="9"/>
        <v>-136.92916666666042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1">SUM(C23:C26)</f>
        <v>18088</v>
      </c>
      <c r="D27" s="7">
        <f t="shared" si="11"/>
        <v>2675.19</v>
      </c>
      <c r="E27" s="7">
        <f t="shared" si="11"/>
        <v>32.1</v>
      </c>
      <c r="F27" s="7">
        <f t="shared" si="11"/>
        <v>0</v>
      </c>
      <c r="G27" s="7">
        <f t="shared" si="11"/>
        <v>0</v>
      </c>
      <c r="H27" s="8">
        <f>D27+F27+'07-22-21'!H23</f>
        <v>2675.19</v>
      </c>
      <c r="I27" s="8">
        <f>E27+G27+'07-22-21'!I23</f>
        <v>32.1</v>
      </c>
      <c r="J27" s="35">
        <f t="shared" si="11"/>
        <v>8217.65</v>
      </c>
      <c r="K27" s="7">
        <f t="shared" si="11"/>
        <v>9870.35</v>
      </c>
      <c r="L27" s="7">
        <f t="shared" si="11"/>
        <v>9161.0885416666933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f>25000+8680.07+2208.5</f>
        <v>35888.57</v>
      </c>
      <c r="D30" s="9">
        <v>720</v>
      </c>
      <c r="E30" s="9">
        <v>8.64</v>
      </c>
      <c r="F30" s="9">
        <v>1106.325</v>
      </c>
      <c r="G30" s="9">
        <v>82.96</v>
      </c>
      <c r="H30" s="8">
        <f>D30+F30+'05-12-22'!H30</f>
        <v>30366.075000000001</v>
      </c>
      <c r="I30" s="8">
        <f>E30+G30+'05-12-22'!I30</f>
        <v>1440.42</v>
      </c>
      <c r="J30" s="8">
        <f t="shared" ref="J30:J31" si="12">H30+I30</f>
        <v>31806.495000000003</v>
      </c>
      <c r="K30" s="8">
        <f>C30-J30</f>
        <v>4082.0749999999971</v>
      </c>
      <c r="L30" s="8">
        <f>C30-((J30/24)*26.0714285714285)</f>
        <v>1336.8715625000914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2"/>
        <v>0</v>
      </c>
      <c r="K31" s="8">
        <f t="shared" ref="K31" si="13">C31-J31</f>
        <v>0</v>
      </c>
      <c r="L31" s="8">
        <f t="shared" ref="L31" si="14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5">SUM(C30:C31)</f>
        <v>35888.57</v>
      </c>
      <c r="D32" s="31">
        <f t="shared" si="15"/>
        <v>720</v>
      </c>
      <c r="E32" s="31">
        <f t="shared" si="15"/>
        <v>8.64</v>
      </c>
      <c r="F32" s="31">
        <f t="shared" si="15"/>
        <v>1106.325</v>
      </c>
      <c r="G32" s="31">
        <f t="shared" si="15"/>
        <v>82.96</v>
      </c>
      <c r="H32" s="31">
        <f t="shared" si="15"/>
        <v>30366.075000000001</v>
      </c>
      <c r="I32" s="31">
        <f t="shared" si="15"/>
        <v>1440.42</v>
      </c>
      <c r="J32" s="31">
        <f t="shared" si="15"/>
        <v>31806.495000000003</v>
      </c>
      <c r="K32" s="31">
        <f t="shared" si="15"/>
        <v>4082.0749999999971</v>
      </c>
      <c r="L32" s="31">
        <f t="shared" si="15"/>
        <v>1336.8715625000914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345059.5</v>
      </c>
      <c r="D35" s="24">
        <f t="shared" ref="D35:L35" si="16">D20+D27+D32+D7</f>
        <v>9597.0300000000007</v>
      </c>
      <c r="E35" s="24">
        <f t="shared" si="16"/>
        <v>115.09</v>
      </c>
      <c r="F35" s="24">
        <f t="shared" si="16"/>
        <v>-21046.985000000001</v>
      </c>
      <c r="G35" s="24">
        <f t="shared" si="16"/>
        <v>-1578.54</v>
      </c>
      <c r="H35" s="24">
        <f t="shared" si="16"/>
        <v>224553.39500000002</v>
      </c>
      <c r="I35" s="24">
        <f t="shared" si="16"/>
        <v>5213.46</v>
      </c>
      <c r="J35" s="24">
        <f t="shared" si="16"/>
        <v>235277.21499999997</v>
      </c>
      <c r="K35" s="24">
        <f t="shared" si="16"/>
        <v>109782.285</v>
      </c>
      <c r="L35" s="24">
        <f t="shared" si="16"/>
        <v>89475.62061011976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f>3194.08+19111.04</f>
        <v>22305.120000000003</v>
      </c>
      <c r="D38" s="32">
        <v>0</v>
      </c>
      <c r="E38" s="32">
        <v>0</v>
      </c>
      <c r="F38" s="32">
        <f>17777.72</f>
        <v>17777.72</v>
      </c>
      <c r="G38" s="32">
        <f>1333.32</f>
        <v>1333.32</v>
      </c>
      <c r="H38" s="8">
        <f>D38+F38+'05-12-22'!H38</f>
        <v>19508.66</v>
      </c>
      <c r="I38" s="8">
        <f>E38+G38+'05-12-22'!I38</f>
        <v>1406.8335999999999</v>
      </c>
      <c r="J38" s="8">
        <f>H38+I38</f>
        <v>20915.493600000002</v>
      </c>
      <c r="K38" s="8">
        <f>C38-J38</f>
        <v>1389.626400000001</v>
      </c>
      <c r="L38" s="8">
        <f t="shared" ref="L38:L63" si="17">C38-((J38/24)*26.0714285714285)</f>
        <v>-415.57989285707663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D39+F39+'05-12-22'!H39</f>
        <v>1248</v>
      </c>
      <c r="I39" s="8">
        <f>E39+G39+'05-12-22'!I39</f>
        <v>93.6</v>
      </c>
      <c r="J39" s="8">
        <f t="shared" ref="J39:J63" si="18">H39+I39</f>
        <v>1341.6</v>
      </c>
      <c r="K39" s="8">
        <f t="shared" ref="K39:K63" si="19">C39-J39</f>
        <v>0</v>
      </c>
      <c r="L39" s="8">
        <f t="shared" si="17"/>
        <v>-115.79285714285311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f>483</f>
        <v>483</v>
      </c>
      <c r="G40" s="32">
        <f>36.22</f>
        <v>36.22</v>
      </c>
      <c r="H40" s="8">
        <f>D40+F40+'05-12-22'!H40</f>
        <v>8512</v>
      </c>
      <c r="I40" s="8">
        <f>E40+G40+'05-12-22'!I40</f>
        <v>483.55999999999995</v>
      </c>
      <c r="J40" s="8">
        <f t="shared" si="18"/>
        <v>8995.56</v>
      </c>
      <c r="K40" s="8">
        <f t="shared" si="19"/>
        <v>2562.84</v>
      </c>
      <c r="L40" s="8">
        <f t="shared" si="17"/>
        <v>1786.4375000000273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D41+F41+'05-12-22'!H41</f>
        <v>0</v>
      </c>
      <c r="I41" s="8">
        <f>E41+G41+'05-12-22'!I41</f>
        <v>0</v>
      </c>
      <c r="J41" s="8">
        <f t="shared" si="18"/>
        <v>0</v>
      </c>
      <c r="K41" s="8">
        <f t="shared" si="19"/>
        <v>0</v>
      </c>
      <c r="L41" s="8">
        <f t="shared" si="17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D42+F42+'05-12-22'!H42</f>
        <v>36.659999999999997</v>
      </c>
      <c r="I42" s="8">
        <f>E42+G42+'05-12-22'!I42</f>
        <v>0.43899359999999998</v>
      </c>
      <c r="J42" s="9">
        <f t="shared" si="18"/>
        <v>37.0989936</v>
      </c>
      <c r="K42" s="100">
        <f t="shared" si="19"/>
        <v>-37.0989936</v>
      </c>
      <c r="L42" s="8">
        <f t="shared" si="17"/>
        <v>-40.300990071428458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D43+F43+'05-12-22'!H43</f>
        <v>0</v>
      </c>
      <c r="I43" s="8">
        <f>E43+G43+'05-12-22'!I43</f>
        <v>0</v>
      </c>
      <c r="J43" s="8">
        <f t="shared" si="18"/>
        <v>0</v>
      </c>
      <c r="K43" s="8">
        <f t="shared" si="19"/>
        <v>356.53</v>
      </c>
      <c r="L43" s="8">
        <f t="shared" si="17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D44+F44+'05-12-22'!H44</f>
        <v>0</v>
      </c>
      <c r="I44" s="8">
        <f>E44+G44+'05-12-22'!I44</f>
        <v>0</v>
      </c>
      <c r="J44" s="8">
        <f t="shared" si="18"/>
        <v>0</v>
      </c>
      <c r="K44" s="8">
        <f>C44-J44</f>
        <v>554.22</v>
      </c>
      <c r="L44" s="8">
        <f t="shared" si="17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</f>
        <v>1989.2200000000003</v>
      </c>
      <c r="D45" s="32">
        <v>763.51</v>
      </c>
      <c r="E45" s="32">
        <v>9.16</v>
      </c>
      <c r="F45" s="32">
        <v>0</v>
      </c>
      <c r="G45" s="32">
        <v>0</v>
      </c>
      <c r="H45" s="8">
        <f>D45+F45+'05-12-22'!H45</f>
        <v>2337.6400000000003</v>
      </c>
      <c r="I45" s="8">
        <f>E45+G45+'05-12-22'!I45</f>
        <v>28.009999999999998</v>
      </c>
      <c r="J45" s="8">
        <f t="shared" si="18"/>
        <v>2365.6500000000005</v>
      </c>
      <c r="K45" s="85">
        <f>C45-J45</f>
        <v>-376.43000000000029</v>
      </c>
      <c r="L45" s="8">
        <f t="shared" si="17"/>
        <v>-580.60812499999292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D46+F46+'05-12-22'!H46</f>
        <v>3121.7</v>
      </c>
      <c r="I46" s="8">
        <f>E46+G46+'05-12-22'!I46</f>
        <v>29.869999999999997</v>
      </c>
      <c r="J46" s="9">
        <f t="shared" si="18"/>
        <v>3151.5699999999997</v>
      </c>
      <c r="K46" s="92">
        <f t="shared" ref="K46:K48" si="20">C46-J46</f>
        <v>0</v>
      </c>
      <c r="L46" s="8">
        <f t="shared" si="17"/>
        <v>-272.0105059523712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D47+F47+'05-12-22'!H47</f>
        <v>0</v>
      </c>
      <c r="I47" s="8">
        <f>E47+G47+'05-12-22'!I47</f>
        <v>0</v>
      </c>
      <c r="J47" s="9">
        <f t="shared" si="18"/>
        <v>0</v>
      </c>
      <c r="K47" s="92">
        <f t="shared" si="20"/>
        <v>1332</v>
      </c>
      <c r="L47" s="8">
        <f t="shared" si="17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0</v>
      </c>
      <c r="E48" s="32">
        <v>0</v>
      </c>
      <c r="F48" s="32">
        <v>0</v>
      </c>
      <c r="G48" s="32">
        <v>0</v>
      </c>
      <c r="H48" s="8">
        <f>D48+F48+'05-12-22'!H48</f>
        <v>2734.2</v>
      </c>
      <c r="I48" s="8">
        <f>E48+G48+'05-12-22'!I48</f>
        <v>32.700000000000003</v>
      </c>
      <c r="J48" s="8">
        <f t="shared" si="18"/>
        <v>2766.8999999999996</v>
      </c>
      <c r="K48" s="92">
        <f t="shared" si="20"/>
        <v>2233.1000000000004</v>
      </c>
      <c r="L48" s="8">
        <f t="shared" si="17"/>
        <v>1994.2901785714375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96</v>
      </c>
      <c r="E49" s="32">
        <v>1.1499999999999999</v>
      </c>
      <c r="F49" s="32">
        <v>96</v>
      </c>
      <c r="G49" s="32">
        <v>7.2</v>
      </c>
      <c r="H49" s="8">
        <f>D49+F49+'05-12-22'!H49</f>
        <v>7448.8</v>
      </c>
      <c r="I49" s="8">
        <f>E49+G49+'05-12-22'!I49</f>
        <v>338.03999999999996</v>
      </c>
      <c r="J49" s="8">
        <f t="shared" si="18"/>
        <v>7786.84</v>
      </c>
      <c r="K49" s="8">
        <f>C49-J49</f>
        <v>2904.51</v>
      </c>
      <c r="L49" s="8">
        <f t="shared" si="17"/>
        <v>2232.4315476190714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D50+F50+'05-12-22'!H50</f>
        <v>0</v>
      </c>
      <c r="I50" s="8">
        <f>E50+G50+'05-12-22'!I50</f>
        <v>0</v>
      </c>
      <c r="J50" s="8">
        <f t="shared" si="18"/>
        <v>0</v>
      </c>
      <c r="K50" s="8">
        <f t="shared" ref="K50" si="21">C50-J50</f>
        <v>1481.58</v>
      </c>
      <c r="L50" s="8">
        <f t="shared" si="17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765.7</v>
      </c>
      <c r="E51" s="32">
        <v>9.18</v>
      </c>
      <c r="F51" s="32">
        <v>0</v>
      </c>
      <c r="G51" s="32">
        <v>0</v>
      </c>
      <c r="H51" s="8">
        <f>D51+F51+'05-12-22'!H51</f>
        <v>11956.690000000002</v>
      </c>
      <c r="I51" s="8">
        <f>E51+G51+'05-12-22'!I51</f>
        <v>143.37</v>
      </c>
      <c r="J51" s="8">
        <f t="shared" si="18"/>
        <v>12100.060000000003</v>
      </c>
      <c r="K51" s="8">
        <f>C51-J51</f>
        <v>7099.9399999999969</v>
      </c>
      <c r="L51" s="8">
        <f t="shared" si="17"/>
        <v>6055.589583333367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820.4</v>
      </c>
      <c r="E52" s="32">
        <v>9.84</v>
      </c>
      <c r="F52" s="32">
        <v>0</v>
      </c>
      <c r="G52" s="32">
        <v>0</v>
      </c>
      <c r="H52" s="8">
        <f>D52+F52+'05-12-22'!H52</f>
        <v>2574.7800000000002</v>
      </c>
      <c r="I52" s="8">
        <f>E52+G52+'05-12-22'!I52</f>
        <v>141.41</v>
      </c>
      <c r="J52" s="8">
        <f t="shared" si="18"/>
        <v>2716.19</v>
      </c>
      <c r="K52" s="8">
        <f>C52-J52</f>
        <v>1554.6600000000003</v>
      </c>
      <c r="L52" s="8">
        <f t="shared" si="17"/>
        <v>1320.2269345238183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435</v>
      </c>
      <c r="E53" s="32">
        <v>5.22</v>
      </c>
      <c r="F53" s="32">
        <v>0</v>
      </c>
      <c r="G53" s="32">
        <v>0</v>
      </c>
      <c r="H53" s="8">
        <f>D53+F53+'05-12-22'!H53</f>
        <v>2130</v>
      </c>
      <c r="I53" s="8">
        <f>E53+G53+'05-12-22'!I53</f>
        <v>25.549999999999997</v>
      </c>
      <c r="J53" s="8">
        <f t="shared" si="18"/>
        <v>2155.5500000000002</v>
      </c>
      <c r="K53" s="8">
        <f>C53-J53</f>
        <v>1544.4499999999998</v>
      </c>
      <c r="L53" s="8">
        <f t="shared" si="17"/>
        <v>1358.4055059523871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D54+F54+'05-12-22'!H54</f>
        <v>0</v>
      </c>
      <c r="I54" s="8">
        <f>E54+G54+'05-12-22'!I54</f>
        <v>0</v>
      </c>
      <c r="J54" s="8">
        <f t="shared" si="18"/>
        <v>0</v>
      </c>
      <c r="K54" s="8">
        <f t="shared" si="19"/>
        <v>0</v>
      </c>
      <c r="L54" s="8">
        <f t="shared" si="17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D55+F55+'05-12-22'!H55</f>
        <v>0</v>
      </c>
      <c r="I55" s="8">
        <f>E55+G55+'05-12-22'!I55</f>
        <v>0</v>
      </c>
      <c r="J55" s="8">
        <f t="shared" si="18"/>
        <v>0</v>
      </c>
      <c r="K55" s="8">
        <f t="shared" si="19"/>
        <v>202.01</v>
      </c>
      <c r="L55" s="8">
        <f t="shared" si="17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D56+F56+'05-12-22'!H56</f>
        <v>0</v>
      </c>
      <c r="I56" s="8">
        <f>E56+G56+'05-12-22'!I56</f>
        <v>0</v>
      </c>
      <c r="J56" s="8">
        <f t="shared" si="18"/>
        <v>0</v>
      </c>
      <c r="K56" s="8">
        <f t="shared" si="19"/>
        <v>0</v>
      </c>
      <c r="L56" s="8">
        <f t="shared" si="17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D57+F57+'05-12-22'!H57</f>
        <v>0</v>
      </c>
      <c r="I57" s="8">
        <f>E57+G57+'05-12-22'!I57</f>
        <v>0</v>
      </c>
      <c r="J57" s="8">
        <f t="shared" si="18"/>
        <v>0</v>
      </c>
      <c r="K57" s="8">
        <f t="shared" si="19"/>
        <v>3655.06</v>
      </c>
      <c r="L57" s="8">
        <f t="shared" si="17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D58+F58+'05-12-22'!H58</f>
        <v>0</v>
      </c>
      <c r="I58" s="8">
        <f>E58+G58+'05-12-22'!I58</f>
        <v>0</v>
      </c>
      <c r="J58" s="8">
        <f t="shared" si="18"/>
        <v>0</v>
      </c>
      <c r="K58" s="8">
        <f t="shared" si="19"/>
        <v>0</v>
      </c>
      <c r="L58" s="8">
        <f t="shared" si="17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0</v>
      </c>
      <c r="E59" s="32">
        <v>0</v>
      </c>
      <c r="F59" s="32">
        <v>201.5</v>
      </c>
      <c r="G59" s="32">
        <v>15.11</v>
      </c>
      <c r="H59" s="8">
        <f>D59+F59+'05-12-22'!H59</f>
        <v>475.8</v>
      </c>
      <c r="I59" s="8">
        <f>E59+G59+'05-12-22'!I59</f>
        <v>18.399999999999999</v>
      </c>
      <c r="J59" s="8">
        <f t="shared" si="18"/>
        <v>494.2</v>
      </c>
      <c r="K59" s="8">
        <f t="shared" si="19"/>
        <v>2819.1600000000003</v>
      </c>
      <c r="L59" s="8">
        <f t="shared" si="17"/>
        <v>2776.505833333335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D60+F60+'05-12-22'!H60</f>
        <v>2.4</v>
      </c>
      <c r="I60" s="8">
        <f>E60+G60+'05-12-22'!I60</f>
        <v>0.02</v>
      </c>
      <c r="J60" s="8">
        <f t="shared" si="18"/>
        <v>2.42</v>
      </c>
      <c r="K60" s="8">
        <f t="shared" si="19"/>
        <v>4190.72</v>
      </c>
      <c r="L60" s="8">
        <f t="shared" si="17"/>
        <v>4190.5111309523809</v>
      </c>
      <c r="M60" s="68"/>
    </row>
    <row r="61" spans="1:13" s="63" customFormat="1" ht="11.25" customHeight="1" x14ac:dyDescent="0.2">
      <c r="A61" s="18" t="s">
        <v>73</v>
      </c>
      <c r="B61" s="61" t="s">
        <v>72</v>
      </c>
      <c r="C61" s="62">
        <v>4193.1400000000003</v>
      </c>
      <c r="D61" s="32">
        <v>0</v>
      </c>
      <c r="E61" s="32">
        <v>0</v>
      </c>
      <c r="F61" s="32">
        <v>0</v>
      </c>
      <c r="G61" s="32">
        <v>0</v>
      </c>
      <c r="H61" s="8">
        <f>D61+F61+'05-12-22'!H61</f>
        <v>2754</v>
      </c>
      <c r="I61" s="8">
        <f>E61+G61+'05-12-22'!I61</f>
        <v>114.28999999999999</v>
      </c>
      <c r="J61" s="8">
        <f t="shared" si="18"/>
        <v>2868.29</v>
      </c>
      <c r="K61" s="8">
        <f t="shared" si="19"/>
        <v>1324.8500000000004</v>
      </c>
      <c r="L61" s="8">
        <f t="shared" si="17"/>
        <v>1077.2892559523898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0</v>
      </c>
      <c r="E62" s="32">
        <v>0</v>
      </c>
      <c r="F62" s="32">
        <v>236.8</v>
      </c>
      <c r="G62" s="32">
        <v>17.760000000000002</v>
      </c>
      <c r="H62" s="8">
        <f>D62+F62+'05-12-22'!H62</f>
        <v>4527.6899999999996</v>
      </c>
      <c r="I62" s="8">
        <f>E62+G62+'05-12-22'!I62</f>
        <v>65.45</v>
      </c>
      <c r="J62" s="8">
        <f t="shared" si="18"/>
        <v>4593.1399999999994</v>
      </c>
      <c r="K62" s="8">
        <f t="shared" si="19"/>
        <v>606.86000000000058</v>
      </c>
      <c r="L62" s="8">
        <f t="shared" si="17"/>
        <v>210.42827380953895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2">
        <v>0</v>
      </c>
      <c r="E63" s="32">
        <v>0</v>
      </c>
      <c r="F63" s="32">
        <v>0</v>
      </c>
      <c r="G63" s="32">
        <v>0</v>
      </c>
      <c r="H63" s="8">
        <f>D63+F63+'05-12-22'!H63</f>
        <v>435</v>
      </c>
      <c r="I63" s="8">
        <f>E63+G63+'05-12-22'!I63</f>
        <v>32.6</v>
      </c>
      <c r="J63" s="8">
        <f t="shared" si="18"/>
        <v>467.6</v>
      </c>
      <c r="K63" s="8">
        <f t="shared" si="19"/>
        <v>3281.4</v>
      </c>
      <c r="L63" s="8">
        <f t="shared" si="17"/>
        <v>3241.0416666666679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111438.15</v>
      </c>
      <c r="D64" s="7">
        <f t="shared" ref="D64:L64" si="22">SUM(D38:D63)</f>
        <v>2880.61</v>
      </c>
      <c r="E64" s="7">
        <f t="shared" si="22"/>
        <v>34.550000000000004</v>
      </c>
      <c r="F64" s="7">
        <f t="shared" si="22"/>
        <v>18795.02</v>
      </c>
      <c r="G64" s="7">
        <f t="shared" si="22"/>
        <v>1409.61</v>
      </c>
      <c r="H64" s="7">
        <f t="shared" si="22"/>
        <v>69804.02</v>
      </c>
      <c r="I64" s="7">
        <f t="shared" si="22"/>
        <v>2954.1425935999991</v>
      </c>
      <c r="J64" s="7">
        <f t="shared" si="22"/>
        <v>72758.162593600005</v>
      </c>
      <c r="K64" s="7">
        <f t="shared" si="22"/>
        <v>38679.987406399996</v>
      </c>
      <c r="L64" s="7">
        <f t="shared" si="22"/>
        <v>32400.265039690701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v>1127.73</v>
      </c>
      <c r="E67" s="9">
        <v>13.52</v>
      </c>
      <c r="F67" s="9">
        <v>0</v>
      </c>
      <c r="G67" s="9">
        <v>0</v>
      </c>
      <c r="H67" s="8">
        <f>D67+F67+'05-12-22'!H67</f>
        <v>30760.409999999996</v>
      </c>
      <c r="I67" s="8">
        <f>E67+G67+'05-12-22'!I67</f>
        <v>438.08</v>
      </c>
      <c r="J67" s="8">
        <f t="shared" ref="J67:J68" si="23">H67+I67</f>
        <v>31198.489999999998</v>
      </c>
      <c r="K67" s="8">
        <f>C67-J67</f>
        <v>31384.510000000002</v>
      </c>
      <c r="L67" s="8">
        <f t="shared" ref="L67:L68" si="24">C67-((J67/24)*26.0714285714285)</f>
        <v>28691.783184523905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D68+F68+'05-12-22'!H68</f>
        <v>0</v>
      </c>
      <c r="I68" s="8">
        <f>E68+G68+'05-12-22'!I68</f>
        <v>0</v>
      </c>
      <c r="J68" s="8">
        <f t="shared" si="23"/>
        <v>0</v>
      </c>
      <c r="K68" s="8">
        <f>C68-J68</f>
        <v>0</v>
      </c>
      <c r="L68" s="8">
        <f t="shared" si="24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5">D67+D68</f>
        <v>1127.73</v>
      </c>
      <c r="E69" s="14">
        <f t="shared" si="25"/>
        <v>13.52</v>
      </c>
      <c r="F69" s="14">
        <f t="shared" si="25"/>
        <v>0</v>
      </c>
      <c r="G69" s="14">
        <f t="shared" si="25"/>
        <v>0</v>
      </c>
      <c r="H69" s="14">
        <f t="shared" si="25"/>
        <v>30760.409999999996</v>
      </c>
      <c r="I69" s="14">
        <f t="shared" si="25"/>
        <v>438.08</v>
      </c>
      <c r="J69" s="14">
        <f t="shared" si="25"/>
        <v>31198.489999999998</v>
      </c>
      <c r="K69" s="14">
        <f t="shared" si="25"/>
        <v>31384.510000000002</v>
      </c>
      <c r="L69" s="14">
        <f t="shared" si="25"/>
        <v>28691.783184523905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D72+F72+'05-12-22'!H72</f>
        <v>758.14</v>
      </c>
      <c r="I72" s="8">
        <f>E72+G72+'05-12-22'!I72</f>
        <v>30.26</v>
      </c>
      <c r="J72" s="8">
        <f t="shared" ref="J72" si="26">H72+I72</f>
        <v>788.4</v>
      </c>
      <c r="K72" s="8">
        <f>C72-J72</f>
        <v>36947.599999999999</v>
      </c>
      <c r="L72" s="8">
        <f>C72-((J72/24)*26.0714285714285)</f>
        <v>36879.553571428572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7">SUM(C72)</f>
        <v>37736</v>
      </c>
      <c r="D73" s="7">
        <f t="shared" si="27"/>
        <v>0</v>
      </c>
      <c r="E73" s="7">
        <f t="shared" si="27"/>
        <v>0</v>
      </c>
      <c r="F73" s="7">
        <f t="shared" si="27"/>
        <v>0</v>
      </c>
      <c r="G73" s="7">
        <f t="shared" si="27"/>
        <v>0</v>
      </c>
      <c r="H73" s="7">
        <f t="shared" si="27"/>
        <v>758.14</v>
      </c>
      <c r="I73" s="7">
        <f t="shared" si="27"/>
        <v>30.26</v>
      </c>
      <c r="J73" s="7">
        <f t="shared" si="27"/>
        <v>788.4</v>
      </c>
      <c r="K73" s="7">
        <f t="shared" si="27"/>
        <v>36947.599999999999</v>
      </c>
      <c r="L73" s="7">
        <f t="shared" si="27"/>
        <v>36879.553571428572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9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9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9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  <row r="100" spans="1:19" ht="10.5" customHeight="1" x14ac:dyDescent="0.25">
      <c r="A100" s="122" t="s">
        <v>152</v>
      </c>
      <c r="B100" s="122"/>
      <c r="C100" s="122"/>
      <c r="D100" s="122"/>
      <c r="E100" s="122"/>
      <c r="F100" s="122"/>
      <c r="G100" s="89">
        <v>1116.23</v>
      </c>
      <c r="M100" s="121"/>
      <c r="N100" s="121"/>
      <c r="O100" s="121"/>
      <c r="P100" s="121"/>
      <c r="Q100" s="121"/>
      <c r="R100" s="121"/>
    </row>
    <row r="101" spans="1:19" ht="10.5" customHeight="1" x14ac:dyDescent="0.25">
      <c r="A101" s="122" t="s">
        <v>152</v>
      </c>
      <c r="B101" s="122"/>
      <c r="C101" s="122"/>
      <c r="D101" s="122"/>
      <c r="E101" s="122"/>
      <c r="F101" s="122"/>
      <c r="G101" s="89">
        <v>1266.24</v>
      </c>
      <c r="M101" s="121"/>
      <c r="N101" s="121"/>
      <c r="O101" s="121"/>
      <c r="P101" s="121"/>
      <c r="Q101" s="121"/>
      <c r="R101" s="121"/>
    </row>
    <row r="102" spans="1:19" s="2" customFormat="1" ht="10.5" customHeight="1" x14ac:dyDescent="0.25">
      <c r="A102" s="122" t="s">
        <v>155</v>
      </c>
      <c r="B102" s="122"/>
      <c r="C102" s="122"/>
      <c r="D102" s="122"/>
      <c r="E102" s="122"/>
      <c r="F102" s="122"/>
      <c r="G102" s="89">
        <v>7700</v>
      </c>
      <c r="M102" s="121"/>
      <c r="N102" s="121"/>
      <c r="O102" s="121"/>
      <c r="P102" s="121"/>
      <c r="Q102" s="121"/>
      <c r="R102" s="121"/>
      <c r="S102" s="89"/>
    </row>
    <row r="103" spans="1:19" s="2" customFormat="1" ht="10.5" customHeight="1" x14ac:dyDescent="0.25">
      <c r="A103" s="122" t="s">
        <v>157</v>
      </c>
      <c r="B103" s="122"/>
      <c r="C103" s="122"/>
      <c r="D103" s="122"/>
      <c r="E103" s="122"/>
      <c r="F103" s="122"/>
      <c r="G103" s="89">
        <v>8680.07</v>
      </c>
      <c r="M103" s="121"/>
      <c r="N103" s="121"/>
      <c r="O103" s="121"/>
      <c r="P103" s="121"/>
      <c r="Q103" s="121"/>
      <c r="R103" s="121"/>
      <c r="S103" s="89"/>
    </row>
    <row r="104" spans="1:19" ht="10.5" customHeight="1" x14ac:dyDescent="0.25">
      <c r="A104" s="122" t="s">
        <v>156</v>
      </c>
      <c r="B104" s="122"/>
      <c r="C104" s="122"/>
      <c r="D104" s="122"/>
      <c r="E104" s="122"/>
      <c r="F104" s="122"/>
      <c r="G104" s="89">
        <v>2208.5</v>
      </c>
      <c r="M104" s="121"/>
      <c r="N104" s="121"/>
      <c r="O104" s="121"/>
      <c r="P104" s="121"/>
      <c r="Q104" s="121"/>
      <c r="R104" s="121"/>
    </row>
    <row r="105" spans="1:19" ht="10.5" customHeight="1" x14ac:dyDescent="0.25">
      <c r="A105" s="122" t="s">
        <v>158</v>
      </c>
      <c r="B105" s="122"/>
      <c r="C105" s="122"/>
      <c r="D105" s="122"/>
      <c r="E105" s="122"/>
      <c r="F105" s="122"/>
      <c r="G105" s="89">
        <v>1000</v>
      </c>
      <c r="M105" s="121"/>
      <c r="N105" s="121"/>
      <c r="O105" s="121"/>
      <c r="P105" s="121"/>
      <c r="Q105" s="121"/>
      <c r="R105" s="121"/>
    </row>
    <row r="106" spans="1:19" ht="10.5" customHeight="1" x14ac:dyDescent="0.25">
      <c r="A106" s="122" t="s">
        <v>158</v>
      </c>
      <c r="B106" s="122"/>
      <c r="C106" s="122"/>
      <c r="D106" s="122"/>
      <c r="E106" s="122"/>
      <c r="F106" s="122"/>
      <c r="G106" s="89">
        <v>821.59</v>
      </c>
      <c r="M106" s="121"/>
      <c r="N106" s="121"/>
      <c r="O106" s="121"/>
      <c r="P106" s="121"/>
      <c r="Q106" s="121"/>
      <c r="R106" s="121"/>
    </row>
    <row r="107" spans="1:19" ht="10.5" customHeight="1" x14ac:dyDescent="0.25">
      <c r="A107" s="122" t="s">
        <v>158</v>
      </c>
      <c r="B107" s="122"/>
      <c r="C107" s="122"/>
      <c r="D107" s="122"/>
      <c r="E107" s="122"/>
      <c r="F107" s="122"/>
      <c r="G107" s="89">
        <v>1500</v>
      </c>
      <c r="M107" s="121"/>
      <c r="N107" s="121"/>
      <c r="O107" s="121"/>
      <c r="P107" s="121"/>
      <c r="Q107" s="121"/>
      <c r="R107" s="121"/>
    </row>
    <row r="108" spans="1:19" ht="10.5" customHeight="1" x14ac:dyDescent="0.25">
      <c r="A108" s="122" t="s">
        <v>158</v>
      </c>
      <c r="B108" s="122"/>
      <c r="C108" s="122"/>
      <c r="D108" s="122"/>
      <c r="E108" s="122"/>
      <c r="F108" s="122"/>
      <c r="G108" s="89">
        <v>1116.23</v>
      </c>
      <c r="M108" s="121"/>
      <c r="N108" s="121"/>
      <c r="O108" s="121"/>
      <c r="P108" s="121"/>
      <c r="Q108" s="121"/>
      <c r="R108" s="121"/>
    </row>
    <row r="109" spans="1:19" ht="10.5" customHeight="1" x14ac:dyDescent="0.25">
      <c r="A109" s="122" t="s">
        <v>158</v>
      </c>
      <c r="B109" s="122"/>
      <c r="C109" s="122"/>
      <c r="D109" s="122"/>
      <c r="E109" s="122"/>
      <c r="F109" s="122"/>
      <c r="G109" s="89">
        <v>1266.24</v>
      </c>
      <c r="M109" s="121"/>
      <c r="N109" s="121"/>
      <c r="O109" s="121"/>
      <c r="P109" s="121"/>
      <c r="Q109" s="121"/>
      <c r="R109" s="121"/>
    </row>
  </sheetData>
  <mergeCells count="78">
    <mergeCell ref="A64:B64"/>
    <mergeCell ref="A7:B7"/>
    <mergeCell ref="A20:B20"/>
    <mergeCell ref="A27:B27"/>
    <mergeCell ref="A32:B32"/>
    <mergeCell ref="A35:B35"/>
    <mergeCell ref="A69:B69"/>
    <mergeCell ref="A73:B73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  <mergeCell ref="A85:F85"/>
    <mergeCell ref="M85:R85"/>
    <mergeCell ref="A86:F86"/>
    <mergeCell ref="M86:R86"/>
    <mergeCell ref="A87:F87"/>
    <mergeCell ref="M87:R87"/>
    <mergeCell ref="A88:F88"/>
    <mergeCell ref="M88:R88"/>
    <mergeCell ref="A89:F89"/>
    <mergeCell ref="M89:R89"/>
    <mergeCell ref="A90:F90"/>
    <mergeCell ref="M90:R90"/>
    <mergeCell ref="A91:F91"/>
    <mergeCell ref="M91:R91"/>
    <mergeCell ref="A92:F92"/>
    <mergeCell ref="M92:R92"/>
    <mergeCell ref="A93:F93"/>
    <mergeCell ref="M93:R93"/>
    <mergeCell ref="A94:F94"/>
    <mergeCell ref="M94:R94"/>
    <mergeCell ref="A95:F95"/>
    <mergeCell ref="M95:R95"/>
    <mergeCell ref="A96:F96"/>
    <mergeCell ref="M96:R96"/>
    <mergeCell ref="A97:F97"/>
    <mergeCell ref="M97:R97"/>
    <mergeCell ref="A98:F98"/>
    <mergeCell ref="M98:R98"/>
    <mergeCell ref="A99:F99"/>
    <mergeCell ref="M99:R99"/>
    <mergeCell ref="A100:F100"/>
    <mergeCell ref="M100:R100"/>
    <mergeCell ref="A101:F101"/>
    <mergeCell ref="M101:R101"/>
    <mergeCell ref="A102:F102"/>
    <mergeCell ref="M102:R102"/>
    <mergeCell ref="A103:F103"/>
    <mergeCell ref="M103:R103"/>
    <mergeCell ref="A104:F104"/>
    <mergeCell ref="M104:R104"/>
    <mergeCell ref="A105:F105"/>
    <mergeCell ref="M105:R105"/>
    <mergeCell ref="A106:F106"/>
    <mergeCell ref="M106:R106"/>
    <mergeCell ref="A107:F107"/>
    <mergeCell ref="M107:R107"/>
    <mergeCell ref="A108:F108"/>
    <mergeCell ref="M108:R108"/>
    <mergeCell ref="A109:F109"/>
    <mergeCell ref="M109:R109"/>
  </mergeCells>
  <pageMargins left="0.25" right="0" top="0.4" bottom="0" header="0.3" footer="0"/>
  <pageSetup scale="68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5E63-A64E-4EA9-BD99-3DE1597A33DB}">
  <sheetPr>
    <pageSetUpPr fitToPage="1"/>
  </sheetPr>
  <dimension ref="A1:S110"/>
  <sheetViews>
    <sheetView zoomScale="130" zoomScaleNormal="13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160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1000+821.59+1500+1116.23+1266.24-1000-821.59-1500-1116.23-1266.24</f>
        <v>0</v>
      </c>
      <c r="D3" s="32">
        <v>0</v>
      </c>
      <c r="E3" s="32">
        <v>0</v>
      </c>
      <c r="F3" s="32">
        <v>0</v>
      </c>
      <c r="G3" s="32">
        <v>0</v>
      </c>
      <c r="H3" s="8">
        <f>D3+F3+'05-26-22'!H3</f>
        <v>0</v>
      </c>
      <c r="I3" s="8">
        <f>E3+G3+'05-26-22'!I3</f>
        <v>-2.0000000000010232E-2</v>
      </c>
      <c r="J3" s="8">
        <f>H3+I3</f>
        <v>-2.0000000000010232E-2</v>
      </c>
      <c r="K3" s="8">
        <f>C3-J3</f>
        <v>2.0000000000010232E-2</v>
      </c>
      <c r="L3" s="8">
        <f>C3-((J3/25)*26.0714285714285)</f>
        <v>2.0857142857153472E-2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0</v>
      </c>
      <c r="E4" s="32">
        <v>0</v>
      </c>
      <c r="F4" s="32">
        <v>0</v>
      </c>
      <c r="G4" s="32">
        <v>0</v>
      </c>
      <c r="H4" s="8">
        <f>D4+F4+'05-26-22'!H4</f>
        <v>10107.450000000001</v>
      </c>
      <c r="I4" s="8">
        <f>E4+G4+'05-26-22'!I4</f>
        <v>252.56000000000006</v>
      </c>
      <c r="J4" s="8">
        <f>H4+I4</f>
        <v>10360.01</v>
      </c>
      <c r="K4" s="8">
        <f>C4-J4</f>
        <v>439.98999999999978</v>
      </c>
      <c r="L4" s="8">
        <f t="shared" ref="L4:L6" si="0">C4-((J4/25)*26.0714285714285)</f>
        <v>-4.0104285713987338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D5+F5+'05-26-22'!H5</f>
        <v>6825</v>
      </c>
      <c r="I5" s="8">
        <f>E5+G5+'05-26-22'!I5</f>
        <v>511.84000000000003</v>
      </c>
      <c r="J5" s="8">
        <f>H5+I5</f>
        <v>7336.84</v>
      </c>
      <c r="K5" s="8">
        <f>C5-J5</f>
        <v>8218.16</v>
      </c>
      <c r="L5" s="8">
        <f t="shared" si="0"/>
        <v>7903.7240000000202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D6+F6+'05-26-22'!H6</f>
        <v>4207.5</v>
      </c>
      <c r="I6" s="8">
        <f>E6+G6+'05-26-22'!I6</f>
        <v>50.45000000000001</v>
      </c>
      <c r="J6" s="8">
        <f>H6+I6</f>
        <v>4257.95</v>
      </c>
      <c r="K6" s="8">
        <f>C6-J6</f>
        <v>2192.0500000000002</v>
      </c>
      <c r="L6" s="8">
        <f t="shared" si="0"/>
        <v>2009.5664285714411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32805</v>
      </c>
      <c r="D7" s="35">
        <f t="shared" ref="D7:L7" si="1">SUM(D3:D6)</f>
        <v>0</v>
      </c>
      <c r="E7" s="35">
        <f t="shared" si="1"/>
        <v>0</v>
      </c>
      <c r="F7" s="35">
        <f t="shared" si="1"/>
        <v>0</v>
      </c>
      <c r="G7" s="35">
        <f t="shared" si="1"/>
        <v>0</v>
      </c>
      <c r="H7" s="35">
        <f t="shared" si="1"/>
        <v>21139.95</v>
      </c>
      <c r="I7" s="35">
        <f t="shared" si="1"/>
        <v>814.83000000000015</v>
      </c>
      <c r="J7" s="35">
        <f t="shared" si="1"/>
        <v>21954.780000000002</v>
      </c>
      <c r="K7" s="35">
        <f t="shared" si="1"/>
        <v>10850.220000000001</v>
      </c>
      <c r="L7" s="35">
        <f t="shared" si="1"/>
        <v>9909.30085714292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2">
        <v>0</v>
      </c>
      <c r="E10" s="32">
        <v>0</v>
      </c>
      <c r="F10" s="32">
        <v>0</v>
      </c>
      <c r="G10" s="32">
        <v>0</v>
      </c>
      <c r="H10" s="8">
        <f>D10+F10+'05-26-22'!H10</f>
        <v>10451.659999999996</v>
      </c>
      <c r="I10" s="8">
        <f>E10+G10+'05-26-22'!I10</f>
        <v>528.09999999999968</v>
      </c>
      <c r="J10" s="8">
        <f t="shared" ref="J10:J19" si="2">H10+I10</f>
        <v>10979.759999999997</v>
      </c>
      <c r="K10" s="8">
        <f t="shared" ref="K10:K19" si="3">C10-J10</f>
        <v>55020.240000000005</v>
      </c>
      <c r="L10" s="8">
        <f t="shared" ref="L10:L19" si="4">C10-((J10/25)*26.0714285714285)</f>
        <v>54549.678857142892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2229+688-2208.5</f>
        <v>708.5</v>
      </c>
      <c r="D11" s="32">
        <v>0</v>
      </c>
      <c r="E11" s="32">
        <v>0</v>
      </c>
      <c r="F11" s="32">
        <v>0</v>
      </c>
      <c r="G11" s="32">
        <v>0</v>
      </c>
      <c r="H11" s="8">
        <f>D11+F11+'05-26-22'!H11</f>
        <v>0</v>
      </c>
      <c r="I11" s="8">
        <f>E11+G11+'05-26-22'!I11</f>
        <v>0</v>
      </c>
      <c r="J11" s="8">
        <f t="shared" si="2"/>
        <v>0</v>
      </c>
      <c r="K11" s="8">
        <f t="shared" si="3"/>
        <v>708.5</v>
      </c>
      <c r="L11" s="8">
        <f t="shared" si="4"/>
        <v>708.5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v>1121.1500000000001</v>
      </c>
      <c r="E12" s="9">
        <v>13.44</v>
      </c>
      <c r="F12" s="9">
        <v>400</v>
      </c>
      <c r="G12" s="9">
        <v>29.99</v>
      </c>
      <c r="H12" s="8">
        <f>D12+F12+'05-26-22'!H12</f>
        <v>21510.530000000002</v>
      </c>
      <c r="I12" s="8">
        <f>E12+G12+'05-26-22'!I12</f>
        <v>305.5499999999999</v>
      </c>
      <c r="J12" s="8">
        <f t="shared" si="2"/>
        <v>21816.080000000002</v>
      </c>
      <c r="K12" s="8">
        <f t="shared" si="3"/>
        <v>2832.9199999999983</v>
      </c>
      <c r="L12" s="8">
        <f t="shared" si="4"/>
        <v>1897.9451428572029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v>548.08000000000004</v>
      </c>
      <c r="E13" s="9">
        <v>6.56</v>
      </c>
      <c r="F13" s="9">
        <v>882</v>
      </c>
      <c r="G13" s="9">
        <v>66.150000000000006</v>
      </c>
      <c r="H13" s="8">
        <f>D13+F13+'05-26-22'!H13</f>
        <v>16722.739999999998</v>
      </c>
      <c r="I13" s="8">
        <f>E13+G13+'05-26-22'!I13</f>
        <v>318.82000000000005</v>
      </c>
      <c r="J13" s="8">
        <f t="shared" si="2"/>
        <v>17041.559999999998</v>
      </c>
      <c r="K13" s="8">
        <f t="shared" si="3"/>
        <v>932.44000000000233</v>
      </c>
      <c r="L13" s="8">
        <f t="shared" si="4"/>
        <v>202.08742857148172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v>115.94</v>
      </c>
      <c r="E14" s="9">
        <v>1.38</v>
      </c>
      <c r="F14" s="9">
        <v>0</v>
      </c>
      <c r="G14" s="9">
        <v>0</v>
      </c>
      <c r="H14" s="8">
        <f>D14+F14+'05-26-22'!H14</f>
        <v>16824.3</v>
      </c>
      <c r="I14" s="8">
        <f>E14+G14+'05-26-22'!I14</f>
        <v>273.11999999999995</v>
      </c>
      <c r="J14" s="8">
        <f t="shared" si="2"/>
        <v>17097.419999999998</v>
      </c>
      <c r="K14" s="8">
        <f t="shared" si="3"/>
        <v>876.58000000000175</v>
      </c>
      <c r="L14" s="8">
        <f t="shared" si="4"/>
        <v>143.83342857147727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f>172.8+910.07</f>
        <v>1082.8700000000001</v>
      </c>
      <c r="E15" s="9">
        <f>2.07+10.92</f>
        <v>12.99</v>
      </c>
      <c r="F15" s="9">
        <v>0</v>
      </c>
      <c r="G15" s="9">
        <v>0</v>
      </c>
      <c r="H15" s="8">
        <f>D15+F15+'05-26-22'!H15</f>
        <v>20163.099999999999</v>
      </c>
      <c r="I15" s="8">
        <f>E15+G15+'05-26-22'!I15</f>
        <v>334.65000000000003</v>
      </c>
      <c r="J15" s="8">
        <f t="shared" si="2"/>
        <v>20497.75</v>
      </c>
      <c r="K15" s="8">
        <f t="shared" si="3"/>
        <v>3832.25</v>
      </c>
      <c r="L15" s="8">
        <f t="shared" si="4"/>
        <v>2953.7750000000597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f>862.33+1918.71</f>
        <v>2781.04</v>
      </c>
      <c r="E16" s="8">
        <f>10.34+23.01</f>
        <v>33.35</v>
      </c>
      <c r="F16" s="8">
        <v>350.6</v>
      </c>
      <c r="G16" s="8">
        <v>26.29</v>
      </c>
      <c r="H16" s="8">
        <f>D16+F16+'05-26-22'!H16</f>
        <v>32754.69</v>
      </c>
      <c r="I16" s="8">
        <f>E16+G16+'05-26-22'!I16</f>
        <v>526.02</v>
      </c>
      <c r="J16" s="8">
        <f t="shared" si="2"/>
        <v>33280.71</v>
      </c>
      <c r="K16" s="8">
        <f t="shared" si="3"/>
        <v>447.72000000000116</v>
      </c>
      <c r="L16" s="8">
        <f t="shared" si="4"/>
        <v>-978.59614285704447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f>81.6+1960.71</f>
        <v>2042.31</v>
      </c>
      <c r="E17" s="8">
        <f>0.97+23.52</f>
        <v>24.49</v>
      </c>
      <c r="F17" s="8">
        <v>380.8</v>
      </c>
      <c r="G17" s="8">
        <v>28.55</v>
      </c>
      <c r="H17" s="8">
        <f>D17+F17+'05-26-22'!H17</f>
        <v>42442.170000000006</v>
      </c>
      <c r="I17" s="8">
        <f>E17+G17+'05-26-22'!I17</f>
        <v>569.66999999999996</v>
      </c>
      <c r="J17" s="8">
        <f t="shared" si="2"/>
        <v>43011.840000000004</v>
      </c>
      <c r="K17" s="8">
        <f t="shared" si="3"/>
        <v>-270.84000000000378</v>
      </c>
      <c r="L17" s="8">
        <f t="shared" si="4"/>
        <v>-2114.2045714284541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v>298.74</v>
      </c>
      <c r="E18" s="9">
        <v>3.58</v>
      </c>
      <c r="F18" s="9">
        <v>0</v>
      </c>
      <c r="G18" s="9">
        <v>0</v>
      </c>
      <c r="H18" s="8">
        <f>D18+F18+'05-26-22'!H18</f>
        <v>15199.43</v>
      </c>
      <c r="I18" s="8">
        <f>E18+G18+'05-26-22'!I18</f>
        <v>256.44</v>
      </c>
      <c r="J18" s="8">
        <f t="shared" si="2"/>
        <v>15455.87</v>
      </c>
      <c r="K18" s="8">
        <f t="shared" si="3"/>
        <v>8717.1299999999992</v>
      </c>
      <c r="L18" s="8">
        <f t="shared" si="4"/>
        <v>8054.735571428615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264.44</v>
      </c>
      <c r="E19" s="9">
        <v>3.17</v>
      </c>
      <c r="F19" s="9">
        <v>0</v>
      </c>
      <c r="G19" s="9">
        <v>0</v>
      </c>
      <c r="H19" s="8">
        <f>D19+F19+'05-26-22'!H19</f>
        <v>4571.5299999999988</v>
      </c>
      <c r="I19" s="8">
        <f>E19+G19+'05-26-22'!I19</f>
        <v>63.68</v>
      </c>
      <c r="J19" s="8">
        <f t="shared" si="2"/>
        <v>4635.2099999999991</v>
      </c>
      <c r="K19" s="8">
        <f t="shared" si="3"/>
        <v>1364.7900000000009</v>
      </c>
      <c r="L19" s="8">
        <f t="shared" si="4"/>
        <v>1166.1381428571567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258277.93</v>
      </c>
      <c r="D20" s="35">
        <f t="shared" ref="D20:L20" si="5">SUM(D10:D19)</f>
        <v>8254.57</v>
      </c>
      <c r="E20" s="35">
        <f t="shared" si="5"/>
        <v>98.96</v>
      </c>
      <c r="F20" s="35">
        <f t="shared" si="5"/>
        <v>2013.3999999999999</v>
      </c>
      <c r="G20" s="35">
        <f t="shared" si="5"/>
        <v>150.98000000000002</v>
      </c>
      <c r="H20" s="35">
        <f t="shared" si="5"/>
        <v>180640.15</v>
      </c>
      <c r="I20" s="35">
        <f t="shared" si="5"/>
        <v>3176.0499999999997</v>
      </c>
      <c r="J20" s="35">
        <f t="shared" si="5"/>
        <v>183816.19999999998</v>
      </c>
      <c r="K20" s="35">
        <f t="shared" si="5"/>
        <v>74461.73000000001</v>
      </c>
      <c r="L20" s="35">
        <f t="shared" si="5"/>
        <v>66583.892857143393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6">D23+F23</f>
        <v>0</v>
      </c>
      <c r="I23" s="8">
        <f t="shared" si="6"/>
        <v>0</v>
      </c>
      <c r="J23" s="8">
        <f t="shared" ref="J23:J26" si="7">H23+I23</f>
        <v>0</v>
      </c>
      <c r="K23" s="8">
        <f>C23-J23</f>
        <v>0</v>
      </c>
      <c r="L23" s="8">
        <f t="shared" ref="L23" si="8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D24+F24+'05-26-22'!H24</f>
        <v>1375.3999999999999</v>
      </c>
      <c r="I24" s="8">
        <f>E24+G24+'05-26-22'!I24</f>
        <v>16.439999999999998</v>
      </c>
      <c r="J24" s="8">
        <f>H24+I24</f>
        <v>1391.84</v>
      </c>
      <c r="K24" s="8">
        <f>C24-J24</f>
        <v>717.16000000000008</v>
      </c>
      <c r="L24" s="8">
        <f t="shared" ref="L24:L26" si="9">C24-((J24/25)*26.0714285714285)</f>
        <v>657.50971428571847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v>589.44000000000005</v>
      </c>
      <c r="E25" s="32">
        <v>7.05</v>
      </c>
      <c r="F25" s="32">
        <v>0</v>
      </c>
      <c r="G25" s="32">
        <v>0</v>
      </c>
      <c r="H25" s="8">
        <f>D25+F25+'05-26-22'!H25</f>
        <v>5366.9400000000005</v>
      </c>
      <c r="I25" s="8">
        <f>E25+G25+'05-26-22'!I25</f>
        <v>64.28</v>
      </c>
      <c r="J25" s="8">
        <f t="shared" si="7"/>
        <v>5431.22</v>
      </c>
      <c r="K25" s="8">
        <f t="shared" ref="K25:K26" si="10">C25-J25</f>
        <v>8521.7799999999988</v>
      </c>
      <c r="L25" s="8">
        <f t="shared" si="9"/>
        <v>8289.0134285714448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D26+F26+'05-26-22'!H26</f>
        <v>1967.5</v>
      </c>
      <c r="I26" s="8">
        <f>E26+G26+'05-26-22'!I26</f>
        <v>23.580000000000002</v>
      </c>
      <c r="J26" s="8">
        <f t="shared" si="7"/>
        <v>1991.08</v>
      </c>
      <c r="K26" s="8">
        <f t="shared" si="10"/>
        <v>34.920000000000073</v>
      </c>
      <c r="L26" s="8">
        <f t="shared" si="9"/>
        <v>-50.411999999993895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1">SUM(C23:C26)</f>
        <v>18088</v>
      </c>
      <c r="D27" s="7">
        <f t="shared" si="11"/>
        <v>589.44000000000005</v>
      </c>
      <c r="E27" s="7">
        <f t="shared" si="11"/>
        <v>7.05</v>
      </c>
      <c r="F27" s="7">
        <f t="shared" si="11"/>
        <v>0</v>
      </c>
      <c r="G27" s="7">
        <f t="shared" si="11"/>
        <v>0</v>
      </c>
      <c r="H27" s="8">
        <f>D27+F27+'07-22-21'!H23</f>
        <v>589.44000000000005</v>
      </c>
      <c r="I27" s="8">
        <f>E27+G27+'07-22-21'!I23</f>
        <v>7.05</v>
      </c>
      <c r="J27" s="35">
        <f t="shared" si="11"/>
        <v>8814.14</v>
      </c>
      <c r="K27" s="7">
        <f t="shared" si="11"/>
        <v>9273.8599999999988</v>
      </c>
      <c r="L27" s="7">
        <f t="shared" si="11"/>
        <v>8896.1111428571712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f>25000+8680.07+2208.5</f>
        <v>35888.57</v>
      </c>
      <c r="D30" s="9">
        <v>555</v>
      </c>
      <c r="E30" s="9">
        <v>6.64</v>
      </c>
      <c r="F30" s="9">
        <v>723.75</v>
      </c>
      <c r="G30" s="9">
        <v>54.28</v>
      </c>
      <c r="H30" s="8">
        <f>D30+F30+'05-26-22'!H30</f>
        <v>31644.825000000001</v>
      </c>
      <c r="I30" s="8">
        <f>E30+G30+'05-26-22'!I30</f>
        <v>1501.3400000000001</v>
      </c>
      <c r="J30" s="8">
        <f t="shared" ref="J30:J31" si="12">H30+I30</f>
        <v>33146.165000000001</v>
      </c>
      <c r="K30" s="8">
        <f>C30-J30</f>
        <v>2742.4049999999988</v>
      </c>
      <c r="L30" s="8">
        <f>C30-((J30/25)*26.0714285714285)</f>
        <v>1321.8550714286685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2"/>
        <v>0</v>
      </c>
      <c r="K31" s="8">
        <f t="shared" ref="K31" si="13">C31-J31</f>
        <v>0</v>
      </c>
      <c r="L31" s="8">
        <f t="shared" ref="L31" si="14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5">SUM(C30:C31)</f>
        <v>35888.57</v>
      </c>
      <c r="D32" s="31">
        <f t="shared" si="15"/>
        <v>555</v>
      </c>
      <c r="E32" s="31">
        <f t="shared" si="15"/>
        <v>6.64</v>
      </c>
      <c r="F32" s="31">
        <f t="shared" si="15"/>
        <v>723.75</v>
      </c>
      <c r="G32" s="31">
        <f t="shared" si="15"/>
        <v>54.28</v>
      </c>
      <c r="H32" s="31">
        <f t="shared" si="15"/>
        <v>31644.825000000001</v>
      </c>
      <c r="I32" s="31">
        <f t="shared" si="15"/>
        <v>1501.3400000000001</v>
      </c>
      <c r="J32" s="31">
        <f t="shared" si="15"/>
        <v>33146.165000000001</v>
      </c>
      <c r="K32" s="31">
        <f t="shared" si="15"/>
        <v>2742.4049999999988</v>
      </c>
      <c r="L32" s="31">
        <f t="shared" si="15"/>
        <v>1321.8550714286685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345059.5</v>
      </c>
      <c r="D35" s="24">
        <f t="shared" ref="D35:L35" si="16">D20+D27+D32+D7</f>
        <v>9399.01</v>
      </c>
      <c r="E35" s="24">
        <f t="shared" si="16"/>
        <v>112.64999999999999</v>
      </c>
      <c r="F35" s="24">
        <f t="shared" si="16"/>
        <v>2737.1499999999996</v>
      </c>
      <c r="G35" s="24">
        <f t="shared" si="16"/>
        <v>205.26000000000002</v>
      </c>
      <c r="H35" s="24">
        <f t="shared" si="16"/>
        <v>234014.36500000002</v>
      </c>
      <c r="I35" s="24">
        <f t="shared" si="16"/>
        <v>5499.27</v>
      </c>
      <c r="J35" s="24">
        <f t="shared" si="16"/>
        <v>247731.28499999997</v>
      </c>
      <c r="K35" s="24">
        <f t="shared" si="16"/>
        <v>97328.215000000011</v>
      </c>
      <c r="L35" s="24">
        <f t="shared" si="16"/>
        <v>86711.15992857216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f>3194.08+19111.04</f>
        <v>22305.120000000003</v>
      </c>
      <c r="D38" s="32">
        <v>0</v>
      </c>
      <c r="E38" s="32">
        <v>0</v>
      </c>
      <c r="F38" s="32">
        <v>0</v>
      </c>
      <c r="G38" s="32">
        <v>0</v>
      </c>
      <c r="H38" s="8">
        <f>D38+F38+'05-26-22'!H38</f>
        <v>19508.66</v>
      </c>
      <c r="I38" s="8">
        <f>E38+G38+'05-26-22'!I38</f>
        <v>1406.8335999999999</v>
      </c>
      <c r="J38" s="8">
        <f>H38+I38</f>
        <v>20915.493600000002</v>
      </c>
      <c r="K38" s="8">
        <f>C38-J38</f>
        <v>1389.626400000001</v>
      </c>
      <c r="L38" s="8">
        <f t="shared" ref="L38:L63" si="17">C38-((J38/25)*26.0714285714285)</f>
        <v>493.24810285720378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D39+F39+'05-26-22'!H39</f>
        <v>1248</v>
      </c>
      <c r="I39" s="8">
        <f>E39+G39+'05-26-22'!I39</f>
        <v>93.6</v>
      </c>
      <c r="J39" s="8">
        <f t="shared" ref="J39:J63" si="18">H39+I39</f>
        <v>1341.6</v>
      </c>
      <c r="K39" s="8">
        <f t="shared" ref="K39:K63" si="19">C39-J39</f>
        <v>0</v>
      </c>
      <c r="L39" s="8">
        <f t="shared" si="17"/>
        <v>-57.497142857138897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v>560</v>
      </c>
      <c r="G40" s="32">
        <v>42</v>
      </c>
      <c r="H40" s="8">
        <f>D40+F40+'05-26-22'!H40</f>
        <v>9072</v>
      </c>
      <c r="I40" s="8">
        <f>E40+G40+'05-26-22'!I40</f>
        <v>525.55999999999995</v>
      </c>
      <c r="J40" s="8">
        <f t="shared" si="18"/>
        <v>9597.56</v>
      </c>
      <c r="K40" s="8">
        <f t="shared" si="19"/>
        <v>1960.8400000000001</v>
      </c>
      <c r="L40" s="8">
        <f t="shared" si="17"/>
        <v>1549.5160000000269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D41+F41+'05-26-22'!H41</f>
        <v>0</v>
      </c>
      <c r="I41" s="8">
        <f>E41+G41+'05-26-22'!I41</f>
        <v>0</v>
      </c>
      <c r="J41" s="8">
        <f t="shared" si="18"/>
        <v>0</v>
      </c>
      <c r="K41" s="8">
        <f t="shared" si="19"/>
        <v>0</v>
      </c>
      <c r="L41" s="8">
        <f t="shared" si="17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D42+F42+'05-26-22'!H42</f>
        <v>36.659999999999997</v>
      </c>
      <c r="I42" s="8">
        <f>E42+G42+'05-26-22'!I42</f>
        <v>0.43899359999999998</v>
      </c>
      <c r="J42" s="9">
        <f t="shared" si="18"/>
        <v>37.0989936</v>
      </c>
      <c r="K42" s="100">
        <f t="shared" si="19"/>
        <v>-37.0989936</v>
      </c>
      <c r="L42" s="8">
        <f t="shared" si="17"/>
        <v>-38.688950468571321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D43+F43+'05-26-22'!H43</f>
        <v>0</v>
      </c>
      <c r="I43" s="8">
        <f>E43+G43+'05-26-22'!I43</f>
        <v>0</v>
      </c>
      <c r="J43" s="8">
        <f t="shared" si="18"/>
        <v>0</v>
      </c>
      <c r="K43" s="8">
        <f t="shared" si="19"/>
        <v>356.53</v>
      </c>
      <c r="L43" s="8">
        <f t="shared" si="17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D44+F44+'05-26-22'!H44</f>
        <v>0</v>
      </c>
      <c r="I44" s="8">
        <f>E44+G44+'05-26-22'!I44</f>
        <v>0</v>
      </c>
      <c r="J44" s="8">
        <f t="shared" si="18"/>
        <v>0</v>
      </c>
      <c r="K44" s="8">
        <f>C44-J44</f>
        <v>554.22</v>
      </c>
      <c r="L44" s="8">
        <f t="shared" si="17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6710-6120.78+1400+1020.82</f>
        <v>3010.0400000000004</v>
      </c>
      <c r="D45" s="32">
        <v>636.75</v>
      </c>
      <c r="E45" s="32">
        <v>7.64</v>
      </c>
      <c r="F45" s="32">
        <v>0</v>
      </c>
      <c r="G45" s="32">
        <v>0</v>
      </c>
      <c r="H45" s="8">
        <f>D45+F45+'05-26-22'!H45</f>
        <v>2974.3900000000003</v>
      </c>
      <c r="I45" s="8">
        <f>E45+G45+'05-26-22'!I45</f>
        <v>35.65</v>
      </c>
      <c r="J45" s="8">
        <f t="shared" si="18"/>
        <v>3010.0400000000004</v>
      </c>
      <c r="K45" s="8">
        <f>C45-J45</f>
        <v>0</v>
      </c>
      <c r="L45" s="8">
        <f t="shared" si="17"/>
        <v>-129.00171428570548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D46+F46+'05-26-22'!H46</f>
        <v>3121.7</v>
      </c>
      <c r="I46" s="8">
        <f>E46+G46+'05-26-22'!I46</f>
        <v>29.869999999999997</v>
      </c>
      <c r="J46" s="9">
        <f t="shared" si="18"/>
        <v>3151.5699999999997</v>
      </c>
      <c r="K46" s="92">
        <f t="shared" ref="K46:K48" si="20">C46-J46</f>
        <v>0</v>
      </c>
      <c r="L46" s="8">
        <f t="shared" si="17"/>
        <v>-135.06728571427584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D47+F47+'05-26-22'!H47</f>
        <v>0</v>
      </c>
      <c r="I47" s="8">
        <f>E47+G47+'05-26-22'!I47</f>
        <v>0</v>
      </c>
      <c r="J47" s="9">
        <f t="shared" si="18"/>
        <v>0</v>
      </c>
      <c r="K47" s="92">
        <f t="shared" si="20"/>
        <v>1332</v>
      </c>
      <c r="L47" s="8">
        <f t="shared" si="17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0</v>
      </c>
      <c r="E48" s="32">
        <v>0</v>
      </c>
      <c r="F48" s="32">
        <v>0</v>
      </c>
      <c r="G48" s="32">
        <v>0</v>
      </c>
      <c r="H48" s="8">
        <f>D48+F48+'05-26-22'!H48</f>
        <v>2734.2</v>
      </c>
      <c r="I48" s="8">
        <f>E48+G48+'05-26-22'!I48</f>
        <v>32.700000000000003</v>
      </c>
      <c r="J48" s="8">
        <f t="shared" si="18"/>
        <v>2766.8999999999996</v>
      </c>
      <c r="K48" s="92">
        <f t="shared" si="20"/>
        <v>2233.1000000000004</v>
      </c>
      <c r="L48" s="8">
        <f t="shared" si="17"/>
        <v>2114.5185714285799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30</v>
      </c>
      <c r="E49" s="32">
        <v>0.36</v>
      </c>
      <c r="F49" s="32">
        <v>96</v>
      </c>
      <c r="G49" s="32">
        <v>7.2</v>
      </c>
      <c r="H49" s="8">
        <f>D49+F49+'05-26-22'!H49</f>
        <v>7574.8</v>
      </c>
      <c r="I49" s="8">
        <f>E49+G49+'05-26-22'!I49</f>
        <v>345.59999999999997</v>
      </c>
      <c r="J49" s="8">
        <f t="shared" si="18"/>
        <v>7920.4000000000005</v>
      </c>
      <c r="K49" s="8">
        <f>C49-J49</f>
        <v>2770.95</v>
      </c>
      <c r="L49" s="8">
        <f t="shared" si="17"/>
        <v>2431.5042857143089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D50+F50+'05-26-22'!H50</f>
        <v>0</v>
      </c>
      <c r="I50" s="8">
        <f>E50+G50+'05-26-22'!I50</f>
        <v>0</v>
      </c>
      <c r="J50" s="8">
        <f t="shared" si="18"/>
        <v>0</v>
      </c>
      <c r="K50" s="8">
        <f t="shared" ref="K50" si="21">C50-J50</f>
        <v>1481.58</v>
      </c>
      <c r="L50" s="8">
        <f t="shared" si="17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530.1</v>
      </c>
      <c r="E51" s="32">
        <v>6.35</v>
      </c>
      <c r="F51" s="32">
        <v>0</v>
      </c>
      <c r="G51" s="32">
        <v>0</v>
      </c>
      <c r="H51" s="8">
        <f>D51+F51+'05-26-22'!H51</f>
        <v>12486.790000000003</v>
      </c>
      <c r="I51" s="8">
        <f>E51+G51+'05-26-22'!I51</f>
        <v>149.72</v>
      </c>
      <c r="J51" s="8">
        <f t="shared" si="18"/>
        <v>12636.510000000002</v>
      </c>
      <c r="K51" s="8">
        <f>C51-J51</f>
        <v>6563.489999999998</v>
      </c>
      <c r="L51" s="8">
        <f t="shared" si="17"/>
        <v>6021.9252857143201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820.4</v>
      </c>
      <c r="E52" s="32">
        <v>9.83</v>
      </c>
      <c r="F52" s="32">
        <v>0</v>
      </c>
      <c r="G52" s="32">
        <v>0</v>
      </c>
      <c r="H52" s="8">
        <f>D52+F52+'05-26-22'!H52</f>
        <v>3395.1800000000003</v>
      </c>
      <c r="I52" s="8">
        <f>E52+G52+'05-26-22'!I52</f>
        <v>151.24</v>
      </c>
      <c r="J52" s="8">
        <f t="shared" si="18"/>
        <v>3546.42</v>
      </c>
      <c r="K52" s="8">
        <f>C52-J52</f>
        <v>724.43000000000029</v>
      </c>
      <c r="L52" s="8">
        <f t="shared" si="17"/>
        <v>572.44057142858219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360</v>
      </c>
      <c r="E53" s="32">
        <v>4.32</v>
      </c>
      <c r="F53" s="32">
        <v>0</v>
      </c>
      <c r="G53" s="32">
        <v>0</v>
      </c>
      <c r="H53" s="8">
        <f>D53+F53+'05-26-22'!H53</f>
        <v>2490</v>
      </c>
      <c r="I53" s="8">
        <f>E53+G53+'05-26-22'!I53</f>
        <v>29.869999999999997</v>
      </c>
      <c r="J53" s="8">
        <f t="shared" si="18"/>
        <v>2519.87</v>
      </c>
      <c r="K53" s="8">
        <f>C53-J53</f>
        <v>1180.1300000000001</v>
      </c>
      <c r="L53" s="8">
        <f t="shared" si="17"/>
        <v>1072.1355714285787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D54+F54+'05-26-22'!H54</f>
        <v>0</v>
      </c>
      <c r="I54" s="8">
        <f>E54+G54+'05-26-22'!I54</f>
        <v>0</v>
      </c>
      <c r="J54" s="8">
        <f t="shared" si="18"/>
        <v>0</v>
      </c>
      <c r="K54" s="8">
        <f t="shared" si="19"/>
        <v>0</v>
      </c>
      <c r="L54" s="8">
        <f t="shared" si="17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D55+F55+'05-26-22'!H55</f>
        <v>0</v>
      </c>
      <c r="I55" s="8">
        <f>E55+G55+'05-26-22'!I55</f>
        <v>0</v>
      </c>
      <c r="J55" s="8">
        <f t="shared" si="18"/>
        <v>0</v>
      </c>
      <c r="K55" s="8">
        <f t="shared" si="19"/>
        <v>202.01</v>
      </c>
      <c r="L55" s="8">
        <f t="shared" si="17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D56+F56+'05-26-22'!H56</f>
        <v>0</v>
      </c>
      <c r="I56" s="8">
        <f>E56+G56+'05-26-22'!I56</f>
        <v>0</v>
      </c>
      <c r="J56" s="8">
        <f t="shared" si="18"/>
        <v>0</v>
      </c>
      <c r="K56" s="8">
        <f t="shared" si="19"/>
        <v>0</v>
      </c>
      <c r="L56" s="8">
        <f t="shared" si="17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D57+F57+'05-26-22'!H57</f>
        <v>0</v>
      </c>
      <c r="I57" s="8">
        <f>E57+G57+'05-26-22'!I57</f>
        <v>0</v>
      </c>
      <c r="J57" s="8">
        <f t="shared" si="18"/>
        <v>0</v>
      </c>
      <c r="K57" s="8">
        <f t="shared" si="19"/>
        <v>3655.06</v>
      </c>
      <c r="L57" s="8">
        <f t="shared" si="17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D58+F58+'05-26-22'!H58</f>
        <v>0</v>
      </c>
      <c r="I58" s="8">
        <f>E58+G58+'05-26-22'!I58</f>
        <v>0</v>
      </c>
      <c r="J58" s="8">
        <f t="shared" si="18"/>
        <v>0</v>
      </c>
      <c r="K58" s="8">
        <f t="shared" si="19"/>
        <v>0</v>
      </c>
      <c r="L58" s="8">
        <f t="shared" si="17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0</v>
      </c>
      <c r="E59" s="32">
        <v>0</v>
      </c>
      <c r="F59" s="32">
        <v>390</v>
      </c>
      <c r="G59" s="32">
        <v>29.25</v>
      </c>
      <c r="H59" s="8">
        <f>D59+F59+'05-26-22'!H59</f>
        <v>865.8</v>
      </c>
      <c r="I59" s="8">
        <f>E59+G59+'05-26-22'!I59</f>
        <v>47.65</v>
      </c>
      <c r="J59" s="8">
        <f t="shared" si="18"/>
        <v>913.44999999999993</v>
      </c>
      <c r="K59" s="8">
        <f t="shared" si="19"/>
        <v>2399.9100000000003</v>
      </c>
      <c r="L59" s="8">
        <f t="shared" si="17"/>
        <v>2360.7621428571456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D60+F60+'05-26-22'!H60</f>
        <v>2.4</v>
      </c>
      <c r="I60" s="8">
        <f>E60+G60+'05-26-22'!I60</f>
        <v>0.02</v>
      </c>
      <c r="J60" s="8">
        <f t="shared" si="18"/>
        <v>2.42</v>
      </c>
      <c r="K60" s="8">
        <f t="shared" si="19"/>
        <v>4190.72</v>
      </c>
      <c r="L60" s="8">
        <f t="shared" si="17"/>
        <v>4190.6162857142863</v>
      </c>
      <c r="M60" s="68"/>
    </row>
    <row r="61" spans="1:13" s="63" customFormat="1" ht="11.25" customHeight="1" x14ac:dyDescent="0.2">
      <c r="A61" s="18" t="s">
        <v>162</v>
      </c>
      <c r="B61" s="61" t="s">
        <v>72</v>
      </c>
      <c r="C61" s="62">
        <v>4193.1400000000003</v>
      </c>
      <c r="D61" s="32">
        <v>880</v>
      </c>
      <c r="E61" s="32">
        <v>10.55</v>
      </c>
      <c r="F61" s="32">
        <v>0</v>
      </c>
      <c r="G61" s="32">
        <v>0</v>
      </c>
      <c r="H61" s="8">
        <f>D61+F61+'05-26-22'!H61</f>
        <v>3634</v>
      </c>
      <c r="I61" s="8">
        <f>E61+G61+'05-26-22'!I61</f>
        <v>124.83999999999999</v>
      </c>
      <c r="J61" s="8">
        <f t="shared" si="18"/>
        <v>3758.84</v>
      </c>
      <c r="K61" s="8">
        <f t="shared" si="19"/>
        <v>434.30000000000018</v>
      </c>
      <c r="L61" s="8">
        <f t="shared" si="17"/>
        <v>273.20685714286856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0</v>
      </c>
      <c r="E62" s="32">
        <v>0</v>
      </c>
      <c r="F62" s="32">
        <v>224.96</v>
      </c>
      <c r="G62" s="32">
        <v>16.86</v>
      </c>
      <c r="H62" s="8">
        <f>D62+F62+'05-26-22'!H62</f>
        <v>4752.6499999999996</v>
      </c>
      <c r="I62" s="8">
        <f>E62+G62+'05-26-22'!I62</f>
        <v>82.31</v>
      </c>
      <c r="J62" s="8">
        <f t="shared" si="18"/>
        <v>4834.96</v>
      </c>
      <c r="K62" s="8">
        <f t="shared" si="19"/>
        <v>365.03999999999996</v>
      </c>
      <c r="L62" s="8">
        <f t="shared" si="17"/>
        <v>157.8274285714424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2">
        <v>0</v>
      </c>
      <c r="E63" s="32">
        <v>0</v>
      </c>
      <c r="F63" s="32">
        <v>0</v>
      </c>
      <c r="G63" s="32">
        <v>0</v>
      </c>
      <c r="H63" s="8">
        <f>D63+F63+'05-26-22'!H63</f>
        <v>435</v>
      </c>
      <c r="I63" s="8">
        <f>E63+G63+'05-26-22'!I63</f>
        <v>32.6</v>
      </c>
      <c r="J63" s="8">
        <f t="shared" si="18"/>
        <v>467.6</v>
      </c>
      <c r="K63" s="8">
        <f t="shared" si="19"/>
        <v>3281.4</v>
      </c>
      <c r="L63" s="8">
        <f t="shared" si="17"/>
        <v>3261.3600000000015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112458.97</v>
      </c>
      <c r="D64" s="7">
        <f t="shared" ref="D64:L64" si="22">SUM(D38:D63)</f>
        <v>3257.25</v>
      </c>
      <c r="E64" s="7">
        <f t="shared" si="22"/>
        <v>39.049999999999997</v>
      </c>
      <c r="F64" s="7">
        <f t="shared" si="22"/>
        <v>1270.96</v>
      </c>
      <c r="G64" s="7">
        <f t="shared" si="22"/>
        <v>95.31</v>
      </c>
      <c r="H64" s="7">
        <f t="shared" si="22"/>
        <v>74332.23</v>
      </c>
      <c r="I64" s="7">
        <f t="shared" si="22"/>
        <v>3088.5025935999993</v>
      </c>
      <c r="J64" s="7">
        <f t="shared" si="22"/>
        <v>77420.732593599998</v>
      </c>
      <c r="K64" s="7">
        <f t="shared" si="22"/>
        <v>35038.237406400003</v>
      </c>
      <c r="L64" s="7">
        <f t="shared" si="22"/>
        <v>31720.206009531648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v>480.22</v>
      </c>
      <c r="E67" s="9">
        <v>5.74</v>
      </c>
      <c r="F67" s="9">
        <v>0</v>
      </c>
      <c r="G67" s="9">
        <v>0</v>
      </c>
      <c r="H67" s="8">
        <f>D67+F67+'05-26-22'!H67</f>
        <v>31240.629999999997</v>
      </c>
      <c r="I67" s="8">
        <f>E67+G67+'05-26-22'!I67</f>
        <v>443.82</v>
      </c>
      <c r="J67" s="8">
        <f t="shared" ref="J67:J68" si="23">H67+I67</f>
        <v>31684.449999999997</v>
      </c>
      <c r="K67" s="8">
        <f>C67-J67</f>
        <v>30898.550000000003</v>
      </c>
      <c r="L67" s="8">
        <f t="shared" ref="L67:L68" si="24">C67-((J67/25)*26.0714285714285)</f>
        <v>29540.645000000091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D68+F68+'05-26-22'!H68</f>
        <v>0</v>
      </c>
      <c r="I68" s="8">
        <f>E68+G68+'05-26-22'!I68</f>
        <v>0</v>
      </c>
      <c r="J68" s="8">
        <f t="shared" si="23"/>
        <v>0</v>
      </c>
      <c r="K68" s="8">
        <f>C68-J68</f>
        <v>0</v>
      </c>
      <c r="L68" s="8">
        <f t="shared" si="24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5">D67+D68</f>
        <v>480.22</v>
      </c>
      <c r="E69" s="14">
        <f t="shared" si="25"/>
        <v>5.74</v>
      </c>
      <c r="F69" s="14">
        <f t="shared" si="25"/>
        <v>0</v>
      </c>
      <c r="G69" s="14">
        <f t="shared" si="25"/>
        <v>0</v>
      </c>
      <c r="H69" s="14">
        <f t="shared" si="25"/>
        <v>31240.629999999997</v>
      </c>
      <c r="I69" s="14">
        <f t="shared" si="25"/>
        <v>443.82</v>
      </c>
      <c r="J69" s="14">
        <f t="shared" si="25"/>
        <v>31684.449999999997</v>
      </c>
      <c r="K69" s="14">
        <f t="shared" si="25"/>
        <v>30898.550000000003</v>
      </c>
      <c r="L69" s="14">
        <f t="shared" si="25"/>
        <v>29540.645000000091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D72+F72+'05-26-22'!H72</f>
        <v>758.14</v>
      </c>
      <c r="I72" s="8">
        <f>E72+G72+'05-26-22'!I72</f>
        <v>30.26</v>
      </c>
      <c r="J72" s="8">
        <f t="shared" ref="J72" si="26">H72+I72</f>
        <v>788.4</v>
      </c>
      <c r="K72" s="8">
        <f>C72-J72</f>
        <v>36947.599999999999</v>
      </c>
      <c r="L72" s="8">
        <f>C72-((J72/25)*26.0714285714285)</f>
        <v>36913.811428571433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7">SUM(C72)</f>
        <v>37736</v>
      </c>
      <c r="D73" s="7">
        <f t="shared" si="27"/>
        <v>0</v>
      </c>
      <c r="E73" s="7">
        <f t="shared" si="27"/>
        <v>0</v>
      </c>
      <c r="F73" s="7">
        <f t="shared" si="27"/>
        <v>0</v>
      </c>
      <c r="G73" s="7">
        <f t="shared" si="27"/>
        <v>0</v>
      </c>
      <c r="H73" s="7">
        <f t="shared" si="27"/>
        <v>758.14</v>
      </c>
      <c r="I73" s="7">
        <f t="shared" si="27"/>
        <v>30.26</v>
      </c>
      <c r="J73" s="7">
        <f t="shared" si="27"/>
        <v>788.4</v>
      </c>
      <c r="K73" s="7">
        <f t="shared" si="27"/>
        <v>36947.599999999999</v>
      </c>
      <c r="L73" s="7">
        <f t="shared" si="27"/>
        <v>36913.811428571433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9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9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9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  <row r="100" spans="1:19" ht="10.5" customHeight="1" x14ac:dyDescent="0.25">
      <c r="A100" s="122" t="s">
        <v>152</v>
      </c>
      <c r="B100" s="122"/>
      <c r="C100" s="122"/>
      <c r="D100" s="122"/>
      <c r="E100" s="122"/>
      <c r="F100" s="122"/>
      <c r="G100" s="89">
        <v>1116.23</v>
      </c>
      <c r="M100" s="121"/>
      <c r="N100" s="121"/>
      <c r="O100" s="121"/>
      <c r="P100" s="121"/>
      <c r="Q100" s="121"/>
      <c r="R100" s="121"/>
    </row>
    <row r="101" spans="1:19" ht="10.5" customHeight="1" x14ac:dyDescent="0.25">
      <c r="A101" s="122" t="s">
        <v>152</v>
      </c>
      <c r="B101" s="122"/>
      <c r="C101" s="122"/>
      <c r="D101" s="122"/>
      <c r="E101" s="122"/>
      <c r="F101" s="122"/>
      <c r="G101" s="89">
        <v>1266.24</v>
      </c>
      <c r="M101" s="121"/>
      <c r="N101" s="121"/>
      <c r="O101" s="121"/>
      <c r="P101" s="121"/>
      <c r="Q101" s="121"/>
      <c r="R101" s="121"/>
    </row>
    <row r="102" spans="1:19" s="2" customFormat="1" ht="10.5" customHeight="1" x14ac:dyDescent="0.25">
      <c r="A102" s="122" t="s">
        <v>155</v>
      </c>
      <c r="B102" s="122"/>
      <c r="C102" s="122"/>
      <c r="D102" s="122"/>
      <c r="E102" s="122"/>
      <c r="F102" s="122"/>
      <c r="G102" s="89">
        <v>7700</v>
      </c>
      <c r="M102" s="121"/>
      <c r="N102" s="121"/>
      <c r="O102" s="121"/>
      <c r="P102" s="121"/>
      <c r="Q102" s="121"/>
      <c r="R102" s="121"/>
      <c r="S102" s="89"/>
    </row>
    <row r="103" spans="1:19" s="2" customFormat="1" ht="10.5" customHeight="1" x14ac:dyDescent="0.25">
      <c r="A103" s="122" t="s">
        <v>157</v>
      </c>
      <c r="B103" s="122"/>
      <c r="C103" s="122"/>
      <c r="D103" s="122"/>
      <c r="E103" s="122"/>
      <c r="F103" s="122"/>
      <c r="G103" s="89">
        <v>8680.07</v>
      </c>
      <c r="M103" s="121"/>
      <c r="N103" s="121"/>
      <c r="O103" s="121"/>
      <c r="P103" s="121"/>
      <c r="Q103" s="121"/>
      <c r="R103" s="121"/>
      <c r="S103" s="89"/>
    </row>
    <row r="104" spans="1:19" ht="10.5" customHeight="1" x14ac:dyDescent="0.25">
      <c r="A104" s="122" t="s">
        <v>156</v>
      </c>
      <c r="B104" s="122"/>
      <c r="C104" s="122"/>
      <c r="D104" s="122"/>
      <c r="E104" s="122"/>
      <c r="F104" s="122"/>
      <c r="G104" s="89">
        <v>2208.5</v>
      </c>
      <c r="M104" s="121"/>
      <c r="N104" s="121"/>
      <c r="O104" s="121"/>
      <c r="P104" s="121"/>
      <c r="Q104" s="121"/>
      <c r="R104" s="121"/>
    </row>
    <row r="105" spans="1:19" ht="10.5" customHeight="1" x14ac:dyDescent="0.25">
      <c r="A105" s="122" t="s">
        <v>158</v>
      </c>
      <c r="B105" s="122"/>
      <c r="C105" s="122"/>
      <c r="D105" s="122"/>
      <c r="E105" s="122"/>
      <c r="F105" s="122"/>
      <c r="G105" s="89">
        <v>1000</v>
      </c>
      <c r="M105" s="121"/>
      <c r="N105" s="121"/>
      <c r="O105" s="121"/>
      <c r="P105" s="121"/>
      <c r="Q105" s="121"/>
      <c r="R105" s="121"/>
    </row>
    <row r="106" spans="1:19" ht="10.5" customHeight="1" x14ac:dyDescent="0.25">
      <c r="A106" s="122" t="s">
        <v>158</v>
      </c>
      <c r="B106" s="122"/>
      <c r="C106" s="122"/>
      <c r="D106" s="122"/>
      <c r="E106" s="122"/>
      <c r="F106" s="122"/>
      <c r="G106" s="89">
        <v>821.59</v>
      </c>
      <c r="M106" s="121"/>
      <c r="N106" s="121"/>
      <c r="O106" s="121"/>
      <c r="P106" s="121"/>
      <c r="Q106" s="121"/>
      <c r="R106" s="121"/>
    </row>
    <row r="107" spans="1:19" ht="10.5" customHeight="1" x14ac:dyDescent="0.25">
      <c r="A107" s="122" t="s">
        <v>158</v>
      </c>
      <c r="B107" s="122"/>
      <c r="C107" s="122"/>
      <c r="D107" s="122"/>
      <c r="E107" s="122"/>
      <c r="F107" s="122"/>
      <c r="G107" s="89">
        <v>1500</v>
      </c>
      <c r="M107" s="121"/>
      <c r="N107" s="121"/>
      <c r="O107" s="121"/>
      <c r="P107" s="121"/>
      <c r="Q107" s="121"/>
      <c r="R107" s="121"/>
    </row>
    <row r="108" spans="1:19" ht="10.5" customHeight="1" x14ac:dyDescent="0.25">
      <c r="A108" s="122" t="s">
        <v>158</v>
      </c>
      <c r="B108" s="122"/>
      <c r="C108" s="122"/>
      <c r="D108" s="122"/>
      <c r="E108" s="122"/>
      <c r="F108" s="122"/>
      <c r="G108" s="89">
        <v>1116.23</v>
      </c>
      <c r="M108" s="121"/>
      <c r="N108" s="121"/>
      <c r="O108" s="121"/>
      <c r="P108" s="121"/>
      <c r="Q108" s="121"/>
      <c r="R108" s="121"/>
    </row>
    <row r="109" spans="1:19" ht="10.5" customHeight="1" x14ac:dyDescent="0.25">
      <c r="A109" s="122" t="s">
        <v>158</v>
      </c>
      <c r="B109" s="122"/>
      <c r="C109" s="122"/>
      <c r="D109" s="122"/>
      <c r="E109" s="122"/>
      <c r="F109" s="122"/>
      <c r="G109" s="89">
        <v>1266.24</v>
      </c>
      <c r="M109" s="121"/>
      <c r="N109" s="121"/>
      <c r="O109" s="121"/>
      <c r="P109" s="121"/>
      <c r="Q109" s="121"/>
      <c r="R109" s="121"/>
    </row>
    <row r="110" spans="1:19" ht="10.5" customHeight="1" x14ac:dyDescent="0.25">
      <c r="A110" s="122" t="s">
        <v>161</v>
      </c>
      <c r="B110" s="122"/>
      <c r="C110" s="122"/>
      <c r="D110" s="122"/>
      <c r="E110" s="122"/>
      <c r="F110" s="122"/>
      <c r="G110" s="89">
        <v>1020.82</v>
      </c>
      <c r="M110" s="121"/>
      <c r="N110" s="121"/>
      <c r="O110" s="121"/>
      <c r="P110" s="121"/>
      <c r="Q110" s="121"/>
      <c r="R110" s="121"/>
    </row>
  </sheetData>
  <mergeCells count="80">
    <mergeCell ref="A108:F108"/>
    <mergeCell ref="M108:R108"/>
    <mergeCell ref="A109:F109"/>
    <mergeCell ref="M109:R109"/>
    <mergeCell ref="A105:F105"/>
    <mergeCell ref="M105:R105"/>
    <mergeCell ref="A106:F106"/>
    <mergeCell ref="M106:R106"/>
    <mergeCell ref="A107:F107"/>
    <mergeCell ref="M107:R107"/>
    <mergeCell ref="A102:F102"/>
    <mergeCell ref="M102:R102"/>
    <mergeCell ref="A103:F103"/>
    <mergeCell ref="M103:R103"/>
    <mergeCell ref="A104:F104"/>
    <mergeCell ref="M104:R104"/>
    <mergeCell ref="A99:F99"/>
    <mergeCell ref="M99:R99"/>
    <mergeCell ref="A100:F100"/>
    <mergeCell ref="M100:R100"/>
    <mergeCell ref="A101:F101"/>
    <mergeCell ref="M101:R101"/>
    <mergeCell ref="A96:F96"/>
    <mergeCell ref="M96:R96"/>
    <mergeCell ref="A97:F97"/>
    <mergeCell ref="M97:R97"/>
    <mergeCell ref="A98:F98"/>
    <mergeCell ref="M98:R98"/>
    <mergeCell ref="A93:F93"/>
    <mergeCell ref="M93:R93"/>
    <mergeCell ref="A94:F94"/>
    <mergeCell ref="M94:R94"/>
    <mergeCell ref="A95:F95"/>
    <mergeCell ref="M95:R95"/>
    <mergeCell ref="A90:F90"/>
    <mergeCell ref="M90:R90"/>
    <mergeCell ref="A91:F91"/>
    <mergeCell ref="M91:R91"/>
    <mergeCell ref="A92:F92"/>
    <mergeCell ref="M92:R92"/>
    <mergeCell ref="A87:F87"/>
    <mergeCell ref="M87:R87"/>
    <mergeCell ref="A88:F88"/>
    <mergeCell ref="M88:R88"/>
    <mergeCell ref="A89:F89"/>
    <mergeCell ref="M89:R89"/>
    <mergeCell ref="A84:F84"/>
    <mergeCell ref="M84:R84"/>
    <mergeCell ref="A85:F85"/>
    <mergeCell ref="M85:R85"/>
    <mergeCell ref="A86:F86"/>
    <mergeCell ref="M86:R86"/>
    <mergeCell ref="A81:F81"/>
    <mergeCell ref="M81:R81"/>
    <mergeCell ref="A82:F82"/>
    <mergeCell ref="M82:R82"/>
    <mergeCell ref="A83:F83"/>
    <mergeCell ref="M83:R83"/>
    <mergeCell ref="A78:F78"/>
    <mergeCell ref="M78:R78"/>
    <mergeCell ref="A79:F79"/>
    <mergeCell ref="M79:R79"/>
    <mergeCell ref="A80:F80"/>
    <mergeCell ref="M80:R80"/>
    <mergeCell ref="A110:F110"/>
    <mergeCell ref="M110:R110"/>
    <mergeCell ref="A64:B64"/>
    <mergeCell ref="A7:B7"/>
    <mergeCell ref="A20:B20"/>
    <mergeCell ref="A27:B27"/>
    <mergeCell ref="A32:B32"/>
    <mergeCell ref="A35:B35"/>
    <mergeCell ref="A69:B69"/>
    <mergeCell ref="A73:B73"/>
    <mergeCell ref="A75:F75"/>
    <mergeCell ref="M75:R75"/>
    <mergeCell ref="A76:F76"/>
    <mergeCell ref="M76:R76"/>
    <mergeCell ref="A77:F77"/>
    <mergeCell ref="M77:R77"/>
  </mergeCells>
  <pageMargins left="0.25" right="0" top="0.4" bottom="0" header="0.3" footer="0"/>
  <pageSetup scale="68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D03D-F498-408B-ABF4-C6D2ED277975}">
  <sheetPr>
    <pageSetUpPr fitToPage="1"/>
  </sheetPr>
  <dimension ref="A1:S110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163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1000+821.59+1500+1116.23+1266.24-1000-821.59-1500-1116.23-1266.24</f>
        <v>0</v>
      </c>
      <c r="D3" s="32">
        <v>0</v>
      </c>
      <c r="E3" s="32">
        <v>0</v>
      </c>
      <c r="F3" s="32">
        <v>0</v>
      </c>
      <c r="G3" s="32">
        <v>0</v>
      </c>
      <c r="H3" s="8">
        <f>D3+F3+'06-09-22'!H3</f>
        <v>0</v>
      </c>
      <c r="I3" s="8">
        <f>E3+G3+'06-09-22'!I3</f>
        <v>-2.0000000000010232E-2</v>
      </c>
      <c r="J3" s="8">
        <f>H3+I3</f>
        <v>-2.0000000000010232E-2</v>
      </c>
      <c r="K3" s="8">
        <f>C3-J3</f>
        <v>2.0000000000010232E-2</v>
      </c>
      <c r="L3" s="8">
        <f>C3-((J3/26)*26.0714285714285)</f>
        <v>2.005494505495526E-2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0</v>
      </c>
      <c r="E4" s="32">
        <v>0</v>
      </c>
      <c r="F4" s="32">
        <v>0</v>
      </c>
      <c r="G4" s="32">
        <v>0</v>
      </c>
      <c r="H4" s="8">
        <f>D4+F4+'06-09-22'!H4</f>
        <v>10107.450000000001</v>
      </c>
      <c r="I4" s="8">
        <f>E4+G4+'06-09-22'!I4</f>
        <v>252.56000000000006</v>
      </c>
      <c r="J4" s="8">
        <f>H4+I4</f>
        <v>10360.01</v>
      </c>
      <c r="K4" s="8">
        <f>C4-J4</f>
        <v>439.98999999999978</v>
      </c>
      <c r="L4" s="8">
        <f>C4-((J4/26)*26.0714285714285)</f>
        <v>411.52843406596367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D5+F5+'06-09-22'!H5</f>
        <v>6825</v>
      </c>
      <c r="I5" s="8">
        <f>E5+G5+'06-09-22'!I5</f>
        <v>511.84000000000003</v>
      </c>
      <c r="J5" s="8">
        <f>H5+I5</f>
        <v>7336.84</v>
      </c>
      <c r="K5" s="8">
        <f>C5-J5</f>
        <v>8218.16</v>
      </c>
      <c r="L5" s="8">
        <f t="shared" ref="L5:L6" si="0">C5-((J5/26)*26.0714285714285)</f>
        <v>8198.0038461538679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D6+F6+'06-09-22'!H6</f>
        <v>4207.5</v>
      </c>
      <c r="I6" s="8">
        <f>E6+G6+'06-09-22'!I6</f>
        <v>50.45000000000001</v>
      </c>
      <c r="J6" s="8">
        <f>H6+I6</f>
        <v>4257.95</v>
      </c>
      <c r="K6" s="8">
        <f>C6-J6</f>
        <v>2192.0500000000002</v>
      </c>
      <c r="L6" s="8">
        <f t="shared" si="0"/>
        <v>2180.3523351648473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32805</v>
      </c>
      <c r="D7" s="35">
        <f t="shared" ref="D7:L7" si="1">SUM(D3:D6)</f>
        <v>0</v>
      </c>
      <c r="E7" s="35">
        <f t="shared" si="1"/>
        <v>0</v>
      </c>
      <c r="F7" s="35">
        <f t="shared" si="1"/>
        <v>0</v>
      </c>
      <c r="G7" s="35">
        <f t="shared" si="1"/>
        <v>0</v>
      </c>
      <c r="H7" s="35">
        <f t="shared" si="1"/>
        <v>21139.95</v>
      </c>
      <c r="I7" s="35">
        <f t="shared" si="1"/>
        <v>814.83000000000015</v>
      </c>
      <c r="J7" s="35">
        <f t="shared" si="1"/>
        <v>21954.780000000002</v>
      </c>
      <c r="K7" s="35">
        <f t="shared" si="1"/>
        <v>10850.220000000001</v>
      </c>
      <c r="L7" s="35">
        <f t="shared" si="1"/>
        <v>10789.904670329734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2">
        <v>1506.26</v>
      </c>
      <c r="E10" s="32">
        <v>18.07</v>
      </c>
      <c r="F10" s="32">
        <v>0</v>
      </c>
      <c r="G10" s="32">
        <v>0</v>
      </c>
      <c r="H10" s="8">
        <f>D10+F10+'06-09-22'!H10</f>
        <v>11957.919999999996</v>
      </c>
      <c r="I10" s="8">
        <f>E10+G10+'06-09-22'!I10</f>
        <v>546.16999999999973</v>
      </c>
      <c r="J10" s="8">
        <f t="shared" ref="J10:J19" si="2">H10+I10</f>
        <v>12504.089999999997</v>
      </c>
      <c r="K10" s="8">
        <f t="shared" ref="K10:K19" si="3">C10-J10</f>
        <v>53495.91</v>
      </c>
      <c r="L10" s="8">
        <f t="shared" ref="L10:L19" si="4">C10-((J10/26)*26.0714285714285)</f>
        <v>53461.558104395641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2229+688-2208.5</f>
        <v>708.5</v>
      </c>
      <c r="D11" s="32">
        <v>0</v>
      </c>
      <c r="E11" s="32">
        <v>0</v>
      </c>
      <c r="F11" s="32">
        <v>0</v>
      </c>
      <c r="G11" s="32">
        <v>0</v>
      </c>
      <c r="H11" s="8">
        <f>D11+F11+'06-09-22'!H11</f>
        <v>0</v>
      </c>
      <c r="I11" s="8">
        <f>E11+G11+'06-09-22'!I11</f>
        <v>0</v>
      </c>
      <c r="J11" s="8">
        <f t="shared" si="2"/>
        <v>0</v>
      </c>
      <c r="K11" s="8">
        <f t="shared" si="3"/>
        <v>708.5</v>
      </c>
      <c r="L11" s="8">
        <f t="shared" si="4"/>
        <v>708.5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f>356.72+856.8</f>
        <v>1213.52</v>
      </c>
      <c r="E12" s="9">
        <f>4.28+10.28</f>
        <v>14.559999999999999</v>
      </c>
      <c r="F12" s="9">
        <v>46.88</v>
      </c>
      <c r="G12" s="9">
        <v>3.51</v>
      </c>
      <c r="H12" s="8">
        <f>D12+F12+'06-09-22'!H12</f>
        <v>22770.930000000004</v>
      </c>
      <c r="I12" s="8">
        <f>E12+G12+'06-09-22'!I12</f>
        <v>323.61999999999989</v>
      </c>
      <c r="J12" s="8">
        <f t="shared" si="2"/>
        <v>23094.550000000003</v>
      </c>
      <c r="K12" s="8">
        <f t="shared" si="3"/>
        <v>1554.4499999999971</v>
      </c>
      <c r="L12" s="8">
        <f t="shared" si="4"/>
        <v>1491.003434065995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v>387.2</v>
      </c>
      <c r="E13" s="9">
        <v>4.6399999999999997</v>
      </c>
      <c r="F13" s="9">
        <v>1043</v>
      </c>
      <c r="G13" s="9">
        <v>78.22</v>
      </c>
      <c r="H13" s="8">
        <f>D13+F13+'06-09-22'!H13</f>
        <v>18152.939999999999</v>
      </c>
      <c r="I13" s="8">
        <f>E13+G13+'06-09-22'!I13</f>
        <v>401.68000000000006</v>
      </c>
      <c r="J13" s="8">
        <f t="shared" si="2"/>
        <v>18554.62</v>
      </c>
      <c r="K13" s="8">
        <f t="shared" si="3"/>
        <v>-580.61999999999898</v>
      </c>
      <c r="L13" s="8">
        <f t="shared" si="4"/>
        <v>-631.59423076917665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v>126.3</v>
      </c>
      <c r="E14" s="9">
        <v>1.51</v>
      </c>
      <c r="F14" s="9">
        <v>0</v>
      </c>
      <c r="G14" s="9">
        <v>0</v>
      </c>
      <c r="H14" s="8">
        <f>D14+F14+'06-09-22'!H14</f>
        <v>16950.599999999999</v>
      </c>
      <c r="I14" s="8">
        <f>E14+G14+'06-09-22'!I14</f>
        <v>274.62999999999994</v>
      </c>
      <c r="J14" s="8">
        <f t="shared" si="2"/>
        <v>17225.23</v>
      </c>
      <c r="K14" s="8">
        <f t="shared" si="3"/>
        <v>748.77000000000044</v>
      </c>
      <c r="L14" s="8">
        <f t="shared" si="4"/>
        <v>701.44793956049034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v>1469.28</v>
      </c>
      <c r="E15" s="9">
        <v>17.63</v>
      </c>
      <c r="F15" s="9">
        <v>0</v>
      </c>
      <c r="G15" s="9">
        <v>0</v>
      </c>
      <c r="H15" s="8">
        <f>D15+F15+'06-09-22'!H15</f>
        <v>21632.379999999997</v>
      </c>
      <c r="I15" s="8">
        <f>E15+G15+'06-09-22'!I15</f>
        <v>352.28000000000003</v>
      </c>
      <c r="J15" s="8">
        <f t="shared" si="2"/>
        <v>21984.659999999996</v>
      </c>
      <c r="K15" s="8">
        <f t="shared" si="3"/>
        <v>2345.3400000000038</v>
      </c>
      <c r="L15" s="8">
        <f t="shared" si="4"/>
        <v>2284.9425824176469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v>531.39</v>
      </c>
      <c r="E16" s="8">
        <v>6.38</v>
      </c>
      <c r="F16" s="8">
        <v>370.6</v>
      </c>
      <c r="G16" s="8">
        <v>27.79</v>
      </c>
      <c r="H16" s="8">
        <f>D16+F16+'06-09-22'!H16</f>
        <v>33656.68</v>
      </c>
      <c r="I16" s="8">
        <f>E16+G16+'06-09-22'!I16</f>
        <v>560.18999999999994</v>
      </c>
      <c r="J16" s="8">
        <f t="shared" si="2"/>
        <v>34216.870000000003</v>
      </c>
      <c r="K16" s="8">
        <f t="shared" si="3"/>
        <v>-488.44000000000233</v>
      </c>
      <c r="L16" s="8">
        <f t="shared" si="4"/>
        <v>-582.44239010979072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f>-261.12+2565.16</f>
        <v>2304.04</v>
      </c>
      <c r="E17" s="8">
        <f>-3.13+30.78</f>
        <v>27.650000000000002</v>
      </c>
      <c r="F17" s="8">
        <v>435.2</v>
      </c>
      <c r="G17" s="8">
        <v>32.64</v>
      </c>
      <c r="H17" s="8">
        <f>D17+F17+'06-09-22'!H17</f>
        <v>45181.41</v>
      </c>
      <c r="I17" s="8">
        <f>E17+G17+'06-09-22'!I17</f>
        <v>629.95999999999992</v>
      </c>
      <c r="J17" s="8">
        <f t="shared" si="2"/>
        <v>45811.37</v>
      </c>
      <c r="K17" s="8">
        <f t="shared" si="3"/>
        <v>-3070.3700000000026</v>
      </c>
      <c r="L17" s="8">
        <f t="shared" si="4"/>
        <v>-3196.2254120877842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v>766.96</v>
      </c>
      <c r="E18" s="9">
        <v>9.1999999999999993</v>
      </c>
      <c r="F18" s="9">
        <v>0</v>
      </c>
      <c r="G18" s="9">
        <v>0</v>
      </c>
      <c r="H18" s="8">
        <f>D18+F18+'06-09-22'!H18</f>
        <v>15966.39</v>
      </c>
      <c r="I18" s="8">
        <f>E18+G18+'06-09-22'!I18</f>
        <v>265.64</v>
      </c>
      <c r="J18" s="8">
        <f t="shared" si="2"/>
        <v>16232.029999999999</v>
      </c>
      <c r="K18" s="8">
        <f t="shared" si="3"/>
        <v>7940.9700000000012</v>
      </c>
      <c r="L18" s="8">
        <f t="shared" si="4"/>
        <v>7896.3765109890555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156.26</v>
      </c>
      <c r="E19" s="9">
        <v>1.87</v>
      </c>
      <c r="F19" s="9">
        <v>0</v>
      </c>
      <c r="G19" s="9">
        <v>0</v>
      </c>
      <c r="H19" s="8">
        <f>D19+F19+'06-09-22'!H19</f>
        <v>4727.7899999999991</v>
      </c>
      <c r="I19" s="8">
        <f>E19+G19+'06-09-22'!I19</f>
        <v>65.55</v>
      </c>
      <c r="J19" s="8">
        <f t="shared" si="2"/>
        <v>4793.3399999999992</v>
      </c>
      <c r="K19" s="8">
        <f t="shared" si="3"/>
        <v>1206.6600000000008</v>
      </c>
      <c r="L19" s="8">
        <f t="shared" si="4"/>
        <v>1193.4914835164973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258277.93</v>
      </c>
      <c r="D20" s="35">
        <f t="shared" ref="D20:L20" si="5">SUM(D10:D19)</f>
        <v>8461.2100000000009</v>
      </c>
      <c r="E20" s="35">
        <f t="shared" si="5"/>
        <v>101.51</v>
      </c>
      <c r="F20" s="35">
        <f t="shared" si="5"/>
        <v>1895.68</v>
      </c>
      <c r="G20" s="35">
        <f t="shared" si="5"/>
        <v>142.16000000000003</v>
      </c>
      <c r="H20" s="35">
        <f t="shared" si="5"/>
        <v>190997.04</v>
      </c>
      <c r="I20" s="35">
        <f t="shared" si="5"/>
        <v>3419.72</v>
      </c>
      <c r="J20" s="35">
        <f t="shared" si="5"/>
        <v>194416.75999999998</v>
      </c>
      <c r="K20" s="35">
        <f t="shared" si="5"/>
        <v>63861.170000000013</v>
      </c>
      <c r="L20" s="35">
        <f t="shared" si="5"/>
        <v>63327.058021978577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6">D23+F23</f>
        <v>0</v>
      </c>
      <c r="I23" s="8">
        <f t="shared" si="6"/>
        <v>0</v>
      </c>
      <c r="J23" s="8">
        <f t="shared" ref="J23:J26" si="7">H23+I23</f>
        <v>0</v>
      </c>
      <c r="K23" s="8">
        <f>C23-J23</f>
        <v>0</v>
      </c>
      <c r="L23" s="8">
        <f t="shared" ref="L23" si="8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D24+F24+'06-09-22'!H24</f>
        <v>1375.3999999999999</v>
      </c>
      <c r="I24" s="8">
        <f>E24+G24+'06-09-22'!I24</f>
        <v>16.439999999999998</v>
      </c>
      <c r="J24" s="8">
        <f>H24+I24</f>
        <v>1391.84</v>
      </c>
      <c r="K24" s="8">
        <f>C24-J24</f>
        <v>717.16000000000008</v>
      </c>
      <c r="L24" s="8">
        <f t="shared" ref="L24:L26" si="9">C24-((J24/26)*26.0714285714285)</f>
        <v>713.33626373626771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v>828.22</v>
      </c>
      <c r="E25" s="32">
        <v>9.93</v>
      </c>
      <c r="F25" s="32">
        <v>0</v>
      </c>
      <c r="G25" s="32">
        <v>0</v>
      </c>
      <c r="H25" s="8">
        <f>D25+F25+'06-09-22'!H25</f>
        <v>6195.1600000000008</v>
      </c>
      <c r="I25" s="8">
        <f>E25+G25+'06-09-22'!I25</f>
        <v>74.210000000000008</v>
      </c>
      <c r="J25" s="8">
        <f t="shared" si="7"/>
        <v>6269.3700000000008</v>
      </c>
      <c r="K25" s="8">
        <f t="shared" ref="K25:K26" si="10">C25-J25</f>
        <v>7683.6299999999992</v>
      </c>
      <c r="L25" s="8">
        <f t="shared" si="9"/>
        <v>7666.4064560439729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D26+F26+'06-09-22'!H26</f>
        <v>1967.5</v>
      </c>
      <c r="I26" s="8">
        <f>E26+G26+'06-09-22'!I26</f>
        <v>23.580000000000002</v>
      </c>
      <c r="J26" s="8">
        <f t="shared" si="7"/>
        <v>1991.08</v>
      </c>
      <c r="K26" s="8">
        <f t="shared" si="10"/>
        <v>34.920000000000073</v>
      </c>
      <c r="L26" s="8">
        <f t="shared" si="9"/>
        <v>29.45000000000573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1">SUM(C23:C26)</f>
        <v>18088</v>
      </c>
      <c r="D27" s="7">
        <f t="shared" si="11"/>
        <v>828.22</v>
      </c>
      <c r="E27" s="7">
        <f t="shared" si="11"/>
        <v>9.93</v>
      </c>
      <c r="F27" s="7">
        <f t="shared" si="11"/>
        <v>0</v>
      </c>
      <c r="G27" s="7">
        <f t="shared" si="11"/>
        <v>0</v>
      </c>
      <c r="H27" s="8">
        <f>D27+F27+'07-22-21'!H23</f>
        <v>828.22</v>
      </c>
      <c r="I27" s="8">
        <f>E27+G27+'07-22-21'!I23</f>
        <v>9.93</v>
      </c>
      <c r="J27" s="35">
        <f t="shared" si="11"/>
        <v>9652.2900000000009</v>
      </c>
      <c r="K27" s="7">
        <f t="shared" si="11"/>
        <v>8435.7099999999991</v>
      </c>
      <c r="L27" s="7">
        <f t="shared" si="11"/>
        <v>8409.192719780247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f>25000+8680.07+2208.5</f>
        <v>35888.57</v>
      </c>
      <c r="D30" s="9">
        <v>720</v>
      </c>
      <c r="E30" s="9">
        <v>8.64</v>
      </c>
      <c r="F30" s="9">
        <v>1068.75</v>
      </c>
      <c r="G30" s="9">
        <v>80.150000000000006</v>
      </c>
      <c r="H30" s="8">
        <f>D30+F30+'06-09-22'!H30</f>
        <v>33433.574999999997</v>
      </c>
      <c r="I30" s="8">
        <f>E30+G30+'06-09-22'!I30</f>
        <v>1590.13</v>
      </c>
      <c r="J30" s="8">
        <f t="shared" ref="J30:J31" si="12">H30+I30</f>
        <v>35023.704999999994</v>
      </c>
      <c r="K30" s="8">
        <f>C30-J30</f>
        <v>864.86500000000524</v>
      </c>
      <c r="L30" s="8">
        <f>C30-((J30/26)*26.0714285714285)</f>
        <v>768.64603021989024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2"/>
        <v>0</v>
      </c>
      <c r="K31" s="8">
        <f t="shared" ref="K31" si="13">C31-J31</f>
        <v>0</v>
      </c>
      <c r="L31" s="8">
        <f t="shared" ref="L31" si="14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5">SUM(C30:C31)</f>
        <v>35888.57</v>
      </c>
      <c r="D32" s="31">
        <f t="shared" si="15"/>
        <v>720</v>
      </c>
      <c r="E32" s="31">
        <f t="shared" si="15"/>
        <v>8.64</v>
      </c>
      <c r="F32" s="31">
        <f t="shared" si="15"/>
        <v>1068.75</v>
      </c>
      <c r="G32" s="31">
        <f t="shared" si="15"/>
        <v>80.150000000000006</v>
      </c>
      <c r="H32" s="31">
        <f t="shared" si="15"/>
        <v>33433.574999999997</v>
      </c>
      <c r="I32" s="31">
        <f t="shared" si="15"/>
        <v>1590.13</v>
      </c>
      <c r="J32" s="31">
        <f t="shared" si="15"/>
        <v>35023.704999999994</v>
      </c>
      <c r="K32" s="31">
        <f t="shared" si="15"/>
        <v>864.86500000000524</v>
      </c>
      <c r="L32" s="31">
        <f t="shared" si="15"/>
        <v>768.64603021989024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345059.5</v>
      </c>
      <c r="D35" s="24">
        <f t="shared" ref="D35:L35" si="16">D20+D27+D32+D7</f>
        <v>10009.43</v>
      </c>
      <c r="E35" s="24">
        <f t="shared" si="16"/>
        <v>120.08</v>
      </c>
      <c r="F35" s="24">
        <f t="shared" si="16"/>
        <v>2964.4300000000003</v>
      </c>
      <c r="G35" s="24">
        <f t="shared" si="16"/>
        <v>222.31000000000003</v>
      </c>
      <c r="H35" s="24">
        <f t="shared" si="16"/>
        <v>246398.78500000003</v>
      </c>
      <c r="I35" s="24">
        <f t="shared" si="16"/>
        <v>5834.61</v>
      </c>
      <c r="J35" s="24">
        <f t="shared" si="16"/>
        <v>261047.53499999997</v>
      </c>
      <c r="K35" s="24">
        <f t="shared" si="16"/>
        <v>84011.965000000011</v>
      </c>
      <c r="L35" s="24">
        <f t="shared" si="16"/>
        <v>83294.801442308439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f>3194.08+19111.04</f>
        <v>22305.120000000003</v>
      </c>
      <c r="D38" s="32">
        <v>0</v>
      </c>
      <c r="E38" s="32">
        <v>0</v>
      </c>
      <c r="F38" s="32">
        <v>0</v>
      </c>
      <c r="G38" s="32">
        <v>0</v>
      </c>
      <c r="H38" s="8">
        <f>D38+F38+'05-26-22'!H38</f>
        <v>19508.66</v>
      </c>
      <c r="I38" s="8">
        <f>E38+G38+'05-26-22'!I38</f>
        <v>1406.8335999999999</v>
      </c>
      <c r="J38" s="8">
        <f>H38+I38</f>
        <v>20915.493600000002</v>
      </c>
      <c r="K38" s="8">
        <f>C38-J38</f>
        <v>1389.626400000001</v>
      </c>
      <c r="L38" s="8">
        <f t="shared" ref="L38:L39" si="17">C38-((J38/25)*26.0714285714285)</f>
        <v>493.24810285720378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D39+F39+'05-26-22'!H39</f>
        <v>1248</v>
      </c>
      <c r="I39" s="8">
        <f>E39+G39+'05-26-22'!I39</f>
        <v>93.6</v>
      </c>
      <c r="J39" s="8">
        <f t="shared" ref="J39:J63" si="18">H39+I39</f>
        <v>1341.6</v>
      </c>
      <c r="K39" s="8">
        <f t="shared" ref="K39:K63" si="19">C39-J39</f>
        <v>0</v>
      </c>
      <c r="L39" s="8">
        <f t="shared" si="17"/>
        <v>-57.497142857138897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v>560</v>
      </c>
      <c r="G40" s="32">
        <v>42</v>
      </c>
      <c r="H40" s="8">
        <f>D40+F40+'06-09-22'!H40</f>
        <v>9632</v>
      </c>
      <c r="I40" s="8">
        <f>E40+G40+'06-09-22'!I40</f>
        <v>567.55999999999995</v>
      </c>
      <c r="J40" s="8">
        <f t="shared" si="18"/>
        <v>10199.56</v>
      </c>
      <c r="K40" s="8">
        <f t="shared" si="19"/>
        <v>1358.8400000000001</v>
      </c>
      <c r="L40" s="8">
        <f t="shared" ref="L40:L63" si="20">C40-((J40/26)*26.0714285714285)</f>
        <v>1330.8192307692589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D41+F41+'06-09-22'!H41</f>
        <v>0</v>
      </c>
      <c r="I41" s="8">
        <f>E41+G41+'06-09-22'!I41</f>
        <v>0</v>
      </c>
      <c r="J41" s="8">
        <f t="shared" si="18"/>
        <v>0</v>
      </c>
      <c r="K41" s="8">
        <f t="shared" si="19"/>
        <v>0</v>
      </c>
      <c r="L41" s="8">
        <f t="shared" si="20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D42+F42+'06-09-22'!H42</f>
        <v>36.659999999999997</v>
      </c>
      <c r="I42" s="8">
        <f>E42+G42+'06-09-22'!I42</f>
        <v>0.43899359999999998</v>
      </c>
      <c r="J42" s="9">
        <f t="shared" si="18"/>
        <v>37.0989936</v>
      </c>
      <c r="K42" s="100">
        <f t="shared" si="19"/>
        <v>-37.0989936</v>
      </c>
      <c r="L42" s="8">
        <f t="shared" si="20"/>
        <v>-37.200913912087813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D43+F43+'06-09-22'!H43</f>
        <v>0</v>
      </c>
      <c r="I43" s="8">
        <f>E43+G43+'06-09-22'!I43</f>
        <v>0</v>
      </c>
      <c r="J43" s="8">
        <f t="shared" si="18"/>
        <v>0</v>
      </c>
      <c r="K43" s="8">
        <f t="shared" si="19"/>
        <v>356.53</v>
      </c>
      <c r="L43" s="8">
        <f t="shared" si="20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D44+F44+'06-09-22'!H44</f>
        <v>0</v>
      </c>
      <c r="I44" s="8">
        <f>E44+G44+'06-09-22'!I44</f>
        <v>0</v>
      </c>
      <c r="J44" s="8">
        <f t="shared" si="18"/>
        <v>0</v>
      </c>
      <c r="K44" s="8">
        <f>C44-J44</f>
        <v>554.22</v>
      </c>
      <c r="L44" s="8">
        <f t="shared" si="20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6710-6120.78+1400+1020.82</f>
        <v>3010.0400000000004</v>
      </c>
      <c r="D45" s="32">
        <v>538.5</v>
      </c>
      <c r="E45" s="32">
        <v>6.46</v>
      </c>
      <c r="F45" s="32">
        <v>0</v>
      </c>
      <c r="G45" s="32">
        <v>0</v>
      </c>
      <c r="H45" s="8">
        <f>D45+F45+'06-09-22'!H45</f>
        <v>3512.8900000000003</v>
      </c>
      <c r="I45" s="8">
        <f>E45+G45+'06-09-22'!I45</f>
        <v>42.11</v>
      </c>
      <c r="J45" s="8">
        <f t="shared" si="18"/>
        <v>3555.0000000000005</v>
      </c>
      <c r="K45" s="8">
        <f>C45-J45</f>
        <v>-544.96</v>
      </c>
      <c r="L45" s="8">
        <f t="shared" si="20"/>
        <v>-554.72648351647376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D46+F46+'06-09-22'!H46</f>
        <v>3121.7</v>
      </c>
      <c r="I46" s="8">
        <f>E46+G46+'06-09-22'!I46</f>
        <v>29.869999999999997</v>
      </c>
      <c r="J46" s="9">
        <f t="shared" si="18"/>
        <v>3151.5699999999997</v>
      </c>
      <c r="K46" s="92">
        <f t="shared" ref="K46:K48" si="21">C46-J46</f>
        <v>0</v>
      </c>
      <c r="L46" s="8">
        <f t="shared" si="20"/>
        <v>-8.6581593406499451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D47+F47+'06-09-22'!H47</f>
        <v>0</v>
      </c>
      <c r="I47" s="8">
        <f>E47+G47+'06-09-22'!I47</f>
        <v>0</v>
      </c>
      <c r="J47" s="9">
        <f t="shared" si="18"/>
        <v>0</v>
      </c>
      <c r="K47" s="92">
        <f t="shared" si="21"/>
        <v>1332</v>
      </c>
      <c r="L47" s="8">
        <f t="shared" si="20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0</v>
      </c>
      <c r="E48" s="32">
        <v>0</v>
      </c>
      <c r="F48" s="32">
        <v>0</v>
      </c>
      <c r="G48" s="32">
        <v>0</v>
      </c>
      <c r="H48" s="8">
        <f>D48+F48+'06-09-22'!H48</f>
        <v>2734.2</v>
      </c>
      <c r="I48" s="8">
        <f>E48+G48+'06-09-22'!I48</f>
        <v>32.700000000000003</v>
      </c>
      <c r="J48" s="8">
        <f t="shared" si="18"/>
        <v>2766.8999999999996</v>
      </c>
      <c r="K48" s="92">
        <f t="shared" si="21"/>
        <v>2233.1000000000004</v>
      </c>
      <c r="L48" s="8">
        <f t="shared" si="20"/>
        <v>2225.4986263736346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0</v>
      </c>
      <c r="E49" s="32">
        <v>0</v>
      </c>
      <c r="F49" s="32">
        <v>0</v>
      </c>
      <c r="G49" s="32">
        <v>0</v>
      </c>
      <c r="H49" s="8">
        <f>D49+F49+'06-09-22'!H49</f>
        <v>7574.8</v>
      </c>
      <c r="I49" s="8">
        <f>E49+G49+'06-09-22'!I49</f>
        <v>345.59999999999997</v>
      </c>
      <c r="J49" s="8">
        <f t="shared" si="18"/>
        <v>7920.4000000000005</v>
      </c>
      <c r="K49" s="8">
        <f>C49-J49</f>
        <v>2770.95</v>
      </c>
      <c r="L49" s="8">
        <f t="shared" si="20"/>
        <v>2749.1906593406811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D50+F50+'06-09-22'!H50</f>
        <v>0</v>
      </c>
      <c r="I50" s="8">
        <f>E50+G50+'06-09-22'!I50</f>
        <v>0</v>
      </c>
      <c r="J50" s="8">
        <f t="shared" si="18"/>
        <v>0</v>
      </c>
      <c r="K50" s="8">
        <f t="shared" ref="K50" si="22">C50-J50</f>
        <v>1481.58</v>
      </c>
      <c r="L50" s="8">
        <f t="shared" si="20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412.3</v>
      </c>
      <c r="E51" s="32">
        <v>4.9400000000000004</v>
      </c>
      <c r="F51" s="32">
        <v>0</v>
      </c>
      <c r="G51" s="32">
        <v>0</v>
      </c>
      <c r="H51" s="8">
        <f>D51+F51+'06-09-22'!H51</f>
        <v>12899.090000000002</v>
      </c>
      <c r="I51" s="8">
        <f>E51+G51+'06-09-22'!I51</f>
        <v>154.66</v>
      </c>
      <c r="J51" s="8">
        <f t="shared" si="18"/>
        <v>13053.750000000002</v>
      </c>
      <c r="K51" s="8">
        <f>C51-J51</f>
        <v>6146.2499999999982</v>
      </c>
      <c r="L51" s="8">
        <f t="shared" si="20"/>
        <v>6110.3880494505847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820.4</v>
      </c>
      <c r="E52" s="32">
        <v>9.84</v>
      </c>
      <c r="F52" s="32">
        <v>0</v>
      </c>
      <c r="G52" s="32">
        <v>0</v>
      </c>
      <c r="H52" s="8">
        <f>D52+F52+'06-09-22'!H52</f>
        <v>4215.58</v>
      </c>
      <c r="I52" s="8">
        <f>E52+G52+'06-09-22'!I52</f>
        <v>161.08000000000001</v>
      </c>
      <c r="J52" s="8">
        <f t="shared" si="18"/>
        <v>4376.66</v>
      </c>
      <c r="K52" s="8">
        <f>C52-J52</f>
        <v>-105.80999999999949</v>
      </c>
      <c r="L52" s="8">
        <f t="shared" si="20"/>
        <v>-117.83379120877908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465</v>
      </c>
      <c r="E53" s="32">
        <v>5.58</v>
      </c>
      <c r="F53" s="32">
        <v>0</v>
      </c>
      <c r="G53" s="32">
        <v>0</v>
      </c>
      <c r="H53" s="8">
        <f>D53+F53+'06-09-22'!H53</f>
        <v>2955</v>
      </c>
      <c r="I53" s="8">
        <f>E53+G53+'06-09-22'!I53</f>
        <v>35.449999999999996</v>
      </c>
      <c r="J53" s="8">
        <f t="shared" si="18"/>
        <v>2990.45</v>
      </c>
      <c r="K53" s="8">
        <f>C53-J53</f>
        <v>709.55000000000018</v>
      </c>
      <c r="L53" s="8">
        <f t="shared" si="20"/>
        <v>701.3344780219868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D54+F54+'06-09-22'!H54</f>
        <v>0</v>
      </c>
      <c r="I54" s="8">
        <f>E54+G54+'06-09-22'!I54</f>
        <v>0</v>
      </c>
      <c r="J54" s="8">
        <f t="shared" si="18"/>
        <v>0</v>
      </c>
      <c r="K54" s="8">
        <f t="shared" si="19"/>
        <v>0</v>
      </c>
      <c r="L54" s="8">
        <f t="shared" si="20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D55+F55+'06-09-22'!H55</f>
        <v>0</v>
      </c>
      <c r="I55" s="8">
        <f>E55+G55+'06-09-22'!I55</f>
        <v>0</v>
      </c>
      <c r="J55" s="8">
        <f t="shared" si="18"/>
        <v>0</v>
      </c>
      <c r="K55" s="8">
        <f t="shared" si="19"/>
        <v>202.01</v>
      </c>
      <c r="L55" s="8">
        <f t="shared" si="20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D56+F56+'06-09-22'!H56</f>
        <v>0</v>
      </c>
      <c r="I56" s="8">
        <f>E56+G56+'06-09-22'!I56</f>
        <v>0</v>
      </c>
      <c r="J56" s="8">
        <f t="shared" si="18"/>
        <v>0</v>
      </c>
      <c r="K56" s="8">
        <f t="shared" si="19"/>
        <v>0</v>
      </c>
      <c r="L56" s="8">
        <f t="shared" si="20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D57+F57+'06-09-22'!H57</f>
        <v>0</v>
      </c>
      <c r="I57" s="8">
        <f>E57+G57+'06-09-22'!I57</f>
        <v>0</v>
      </c>
      <c r="J57" s="8">
        <f t="shared" si="18"/>
        <v>0</v>
      </c>
      <c r="K57" s="8">
        <f t="shared" si="19"/>
        <v>3655.06</v>
      </c>
      <c r="L57" s="8">
        <f t="shared" si="20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D58+F58+'06-09-22'!H58</f>
        <v>0</v>
      </c>
      <c r="I58" s="8">
        <f>E58+G58+'06-09-22'!I58</f>
        <v>0</v>
      </c>
      <c r="J58" s="8">
        <f t="shared" si="18"/>
        <v>0</v>
      </c>
      <c r="K58" s="8">
        <f t="shared" si="19"/>
        <v>0</v>
      </c>
      <c r="L58" s="8">
        <f t="shared" si="20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0</v>
      </c>
      <c r="E59" s="32">
        <v>0</v>
      </c>
      <c r="F59" s="32">
        <v>461.5</v>
      </c>
      <c r="G59" s="32">
        <v>34.61</v>
      </c>
      <c r="H59" s="8">
        <f>D59+F59+'06-09-22'!H59</f>
        <v>1327.3</v>
      </c>
      <c r="I59" s="8">
        <f>E59+G59+'06-09-22'!I59</f>
        <v>82.259999999999991</v>
      </c>
      <c r="J59" s="8">
        <f t="shared" si="18"/>
        <v>1409.56</v>
      </c>
      <c r="K59" s="8">
        <f t="shared" si="19"/>
        <v>1903.8000000000002</v>
      </c>
      <c r="L59" s="8">
        <f t="shared" si="20"/>
        <v>1899.9275824175866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D60+F60+'06-09-22'!H60</f>
        <v>2.4</v>
      </c>
      <c r="I60" s="8">
        <f>E60+G60+'06-09-22'!I60</f>
        <v>0.02</v>
      </c>
      <c r="J60" s="8">
        <f t="shared" si="18"/>
        <v>2.42</v>
      </c>
      <c r="K60" s="8">
        <f t="shared" si="19"/>
        <v>4190.72</v>
      </c>
      <c r="L60" s="8">
        <f t="shared" si="20"/>
        <v>4190.7133516483518</v>
      </c>
      <c r="M60" s="68"/>
    </row>
    <row r="61" spans="1:13" s="63" customFormat="1" ht="11.25" customHeight="1" x14ac:dyDescent="0.2">
      <c r="A61" s="18" t="s">
        <v>162</v>
      </c>
      <c r="B61" s="61" t="s">
        <v>72</v>
      </c>
      <c r="C61" s="62">
        <v>4193.1400000000003</v>
      </c>
      <c r="D61" s="32">
        <v>800</v>
      </c>
      <c r="E61" s="32">
        <v>9.6</v>
      </c>
      <c r="F61" s="32">
        <v>0</v>
      </c>
      <c r="G61" s="32">
        <v>0</v>
      </c>
      <c r="H61" s="8">
        <f>D61+F61+'06-09-22'!H61</f>
        <v>4434</v>
      </c>
      <c r="I61" s="8">
        <f>E61+G61+'06-09-22'!I61</f>
        <v>134.44</v>
      </c>
      <c r="J61" s="8">
        <f t="shared" si="18"/>
        <v>4568.4399999999996</v>
      </c>
      <c r="K61" s="8">
        <f t="shared" si="19"/>
        <v>-375.29999999999927</v>
      </c>
      <c r="L61" s="8">
        <f t="shared" si="20"/>
        <v>-387.85065934064551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0</v>
      </c>
      <c r="E62" s="32">
        <v>0</v>
      </c>
      <c r="F62" s="32">
        <v>236.8</v>
      </c>
      <c r="G62" s="32">
        <v>17.760000000000002</v>
      </c>
      <c r="H62" s="8">
        <f>D62+F62+'06-09-22'!H62</f>
        <v>4989.45</v>
      </c>
      <c r="I62" s="8">
        <f>E62+G62+'06-09-22'!I62</f>
        <v>100.07000000000001</v>
      </c>
      <c r="J62" s="8">
        <f t="shared" si="18"/>
        <v>5089.5199999999995</v>
      </c>
      <c r="K62" s="8">
        <f t="shared" si="19"/>
        <v>110.48000000000047</v>
      </c>
      <c r="L62" s="8">
        <f t="shared" si="20"/>
        <v>96.497802197816782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2">
        <v>0</v>
      </c>
      <c r="E63" s="32">
        <v>0</v>
      </c>
      <c r="F63" s="32">
        <v>15</v>
      </c>
      <c r="G63" s="32">
        <v>1.1200000000000001</v>
      </c>
      <c r="H63" s="8">
        <f>D63+F63+'06-09-22'!H63</f>
        <v>450</v>
      </c>
      <c r="I63" s="8">
        <f>E63+G63+'06-09-22'!I63</f>
        <v>33.72</v>
      </c>
      <c r="J63" s="8">
        <f t="shared" si="18"/>
        <v>483.72</v>
      </c>
      <c r="K63" s="8">
        <f t="shared" si="19"/>
        <v>3265.2799999999997</v>
      </c>
      <c r="L63" s="8">
        <f t="shared" si="20"/>
        <v>3263.9510989011001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112458.97</v>
      </c>
      <c r="D64" s="7">
        <f t="shared" ref="D64:L64" si="23">SUM(D38:D63)</f>
        <v>3036.2</v>
      </c>
      <c r="E64" s="7">
        <f t="shared" si="23"/>
        <v>36.42</v>
      </c>
      <c r="F64" s="7">
        <f t="shared" si="23"/>
        <v>1273.3</v>
      </c>
      <c r="G64" s="7">
        <f t="shared" si="23"/>
        <v>95.490000000000009</v>
      </c>
      <c r="H64" s="7">
        <f t="shared" si="23"/>
        <v>78641.73</v>
      </c>
      <c r="I64" s="7">
        <f t="shared" si="23"/>
        <v>3220.4125935999991</v>
      </c>
      <c r="J64" s="7">
        <f t="shared" si="23"/>
        <v>81862.142593600001</v>
      </c>
      <c r="K64" s="7">
        <f t="shared" si="23"/>
        <v>30596.8274064</v>
      </c>
      <c r="L64" s="7">
        <f t="shared" si="23"/>
        <v>29479.201831802427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v>79.22</v>
      </c>
      <c r="E67" s="9">
        <v>0.95</v>
      </c>
      <c r="F67" s="9">
        <v>0</v>
      </c>
      <c r="G67" s="9">
        <v>0</v>
      </c>
      <c r="H67" s="8">
        <f>D67+F67+'06-09-22'!H67</f>
        <v>31319.85</v>
      </c>
      <c r="I67" s="8">
        <f>E67+G67+'06-09-22'!I67</f>
        <v>444.77</v>
      </c>
      <c r="J67" s="8">
        <f t="shared" ref="J67:J68" si="24">H67+I67</f>
        <v>31764.62</v>
      </c>
      <c r="K67" s="8">
        <f>C67-J67</f>
        <v>30818.38</v>
      </c>
      <c r="L67" s="8">
        <f t="shared" ref="L67:L68" si="25">C67-((J67/26)*26.0714285714285)</f>
        <v>30731.114560439655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D68+F68+'06-09-22'!H68</f>
        <v>0</v>
      </c>
      <c r="I68" s="8">
        <f>E68+G68+'06-09-22'!I68</f>
        <v>0</v>
      </c>
      <c r="J68" s="8">
        <f t="shared" si="24"/>
        <v>0</v>
      </c>
      <c r="K68" s="8">
        <f>C68-J68</f>
        <v>0</v>
      </c>
      <c r="L68" s="8">
        <f t="shared" si="25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6">D67+D68</f>
        <v>79.22</v>
      </c>
      <c r="E69" s="14">
        <f t="shared" si="26"/>
        <v>0.95</v>
      </c>
      <c r="F69" s="14">
        <f t="shared" si="26"/>
        <v>0</v>
      </c>
      <c r="G69" s="14">
        <f t="shared" si="26"/>
        <v>0</v>
      </c>
      <c r="H69" s="14">
        <f t="shared" si="26"/>
        <v>31319.85</v>
      </c>
      <c r="I69" s="14">
        <f t="shared" si="26"/>
        <v>444.77</v>
      </c>
      <c r="J69" s="14">
        <f t="shared" si="26"/>
        <v>31764.62</v>
      </c>
      <c r="K69" s="14">
        <f t="shared" si="26"/>
        <v>30818.38</v>
      </c>
      <c r="L69" s="14">
        <f t="shared" si="26"/>
        <v>30731.114560439655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D72+F72+'06-09-22'!H72</f>
        <v>758.14</v>
      </c>
      <c r="I72" s="8">
        <f>E72+G72+'06-09-22'!I72</f>
        <v>30.26</v>
      </c>
      <c r="J72" s="8">
        <f t="shared" ref="J72" si="27">H72+I72</f>
        <v>788.4</v>
      </c>
      <c r="K72" s="8">
        <f>C72-J72</f>
        <v>36947.599999999999</v>
      </c>
      <c r="L72" s="8">
        <f>C72-((J72/26)*26.0714285714285)</f>
        <v>36945.434065934067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8">SUM(C72)</f>
        <v>37736</v>
      </c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758.14</v>
      </c>
      <c r="I73" s="7">
        <f t="shared" si="28"/>
        <v>30.26</v>
      </c>
      <c r="J73" s="7">
        <f t="shared" si="28"/>
        <v>788.4</v>
      </c>
      <c r="K73" s="7">
        <f t="shared" si="28"/>
        <v>36947.599999999999</v>
      </c>
      <c r="L73" s="7">
        <f t="shared" si="28"/>
        <v>36945.434065934067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9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9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9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  <row r="100" spans="1:19" ht="10.5" customHeight="1" x14ac:dyDescent="0.25">
      <c r="A100" s="122" t="s">
        <v>152</v>
      </c>
      <c r="B100" s="122"/>
      <c r="C100" s="122"/>
      <c r="D100" s="122"/>
      <c r="E100" s="122"/>
      <c r="F100" s="122"/>
      <c r="G100" s="89">
        <v>1116.23</v>
      </c>
      <c r="M100" s="121"/>
      <c r="N100" s="121"/>
      <c r="O100" s="121"/>
      <c r="P100" s="121"/>
      <c r="Q100" s="121"/>
      <c r="R100" s="121"/>
    </row>
    <row r="101" spans="1:19" ht="10.5" customHeight="1" x14ac:dyDescent="0.25">
      <c r="A101" s="122" t="s">
        <v>152</v>
      </c>
      <c r="B101" s="122"/>
      <c r="C101" s="122"/>
      <c r="D101" s="122"/>
      <c r="E101" s="122"/>
      <c r="F101" s="122"/>
      <c r="G101" s="89">
        <v>1266.24</v>
      </c>
      <c r="M101" s="121"/>
      <c r="N101" s="121"/>
      <c r="O101" s="121"/>
      <c r="P101" s="121"/>
      <c r="Q101" s="121"/>
      <c r="R101" s="121"/>
    </row>
    <row r="102" spans="1:19" s="2" customFormat="1" ht="10.5" customHeight="1" x14ac:dyDescent="0.25">
      <c r="A102" s="122" t="s">
        <v>155</v>
      </c>
      <c r="B102" s="122"/>
      <c r="C102" s="122"/>
      <c r="D102" s="122"/>
      <c r="E102" s="122"/>
      <c r="F102" s="122"/>
      <c r="G102" s="89">
        <v>7700</v>
      </c>
      <c r="M102" s="121"/>
      <c r="N102" s="121"/>
      <c r="O102" s="121"/>
      <c r="P102" s="121"/>
      <c r="Q102" s="121"/>
      <c r="R102" s="121"/>
      <c r="S102" s="89"/>
    </row>
    <row r="103" spans="1:19" s="2" customFormat="1" ht="10.5" customHeight="1" x14ac:dyDescent="0.25">
      <c r="A103" s="122" t="s">
        <v>157</v>
      </c>
      <c r="B103" s="122"/>
      <c r="C103" s="122"/>
      <c r="D103" s="122"/>
      <c r="E103" s="122"/>
      <c r="F103" s="122"/>
      <c r="G103" s="89">
        <v>8680.07</v>
      </c>
      <c r="M103" s="121"/>
      <c r="N103" s="121"/>
      <c r="O103" s="121"/>
      <c r="P103" s="121"/>
      <c r="Q103" s="121"/>
      <c r="R103" s="121"/>
      <c r="S103" s="89"/>
    </row>
    <row r="104" spans="1:19" ht="10.5" customHeight="1" x14ac:dyDescent="0.25">
      <c r="A104" s="122" t="s">
        <v>156</v>
      </c>
      <c r="B104" s="122"/>
      <c r="C104" s="122"/>
      <c r="D104" s="122"/>
      <c r="E104" s="122"/>
      <c r="F104" s="122"/>
      <c r="G104" s="89">
        <v>2208.5</v>
      </c>
      <c r="M104" s="121"/>
      <c r="N104" s="121"/>
      <c r="O104" s="121"/>
      <c r="P104" s="121"/>
      <c r="Q104" s="121"/>
      <c r="R104" s="121"/>
    </row>
    <row r="105" spans="1:19" ht="10.5" customHeight="1" x14ac:dyDescent="0.25">
      <c r="A105" s="122" t="s">
        <v>158</v>
      </c>
      <c r="B105" s="122"/>
      <c r="C105" s="122"/>
      <c r="D105" s="122"/>
      <c r="E105" s="122"/>
      <c r="F105" s="122"/>
      <c r="G105" s="89">
        <v>1000</v>
      </c>
      <c r="M105" s="121"/>
      <c r="N105" s="121"/>
      <c r="O105" s="121"/>
      <c r="P105" s="121"/>
      <c r="Q105" s="121"/>
      <c r="R105" s="121"/>
    </row>
    <row r="106" spans="1:19" ht="10.5" customHeight="1" x14ac:dyDescent="0.25">
      <c r="A106" s="122" t="s">
        <v>158</v>
      </c>
      <c r="B106" s="122"/>
      <c r="C106" s="122"/>
      <c r="D106" s="122"/>
      <c r="E106" s="122"/>
      <c r="F106" s="122"/>
      <c r="G106" s="89">
        <v>821.59</v>
      </c>
      <c r="M106" s="121"/>
      <c r="N106" s="121"/>
      <c r="O106" s="121"/>
      <c r="P106" s="121"/>
      <c r="Q106" s="121"/>
      <c r="R106" s="121"/>
    </row>
    <row r="107" spans="1:19" ht="10.5" customHeight="1" x14ac:dyDescent="0.25">
      <c r="A107" s="122" t="s">
        <v>158</v>
      </c>
      <c r="B107" s="122"/>
      <c r="C107" s="122"/>
      <c r="D107" s="122"/>
      <c r="E107" s="122"/>
      <c r="F107" s="122"/>
      <c r="G107" s="89">
        <v>1500</v>
      </c>
      <c r="M107" s="121"/>
      <c r="N107" s="121"/>
      <c r="O107" s="121"/>
      <c r="P107" s="121"/>
      <c r="Q107" s="121"/>
      <c r="R107" s="121"/>
    </row>
    <row r="108" spans="1:19" ht="10.5" customHeight="1" x14ac:dyDescent="0.25">
      <c r="A108" s="122" t="s">
        <v>158</v>
      </c>
      <c r="B108" s="122"/>
      <c r="C108" s="122"/>
      <c r="D108" s="122"/>
      <c r="E108" s="122"/>
      <c r="F108" s="122"/>
      <c r="G108" s="89">
        <v>1116.23</v>
      </c>
      <c r="M108" s="121"/>
      <c r="N108" s="121"/>
      <c r="O108" s="121"/>
      <c r="P108" s="121"/>
      <c r="Q108" s="121"/>
      <c r="R108" s="121"/>
    </row>
    <row r="109" spans="1:19" ht="10.5" customHeight="1" x14ac:dyDescent="0.25">
      <c r="A109" s="122" t="s">
        <v>158</v>
      </c>
      <c r="B109" s="122"/>
      <c r="C109" s="122"/>
      <c r="D109" s="122"/>
      <c r="E109" s="122"/>
      <c r="F109" s="122"/>
      <c r="G109" s="89">
        <v>1266.24</v>
      </c>
      <c r="M109" s="121"/>
      <c r="N109" s="121"/>
      <c r="O109" s="121"/>
      <c r="P109" s="121"/>
      <c r="Q109" s="121"/>
      <c r="R109" s="121"/>
    </row>
    <row r="110" spans="1:19" ht="10.5" customHeight="1" x14ac:dyDescent="0.25">
      <c r="A110" s="122" t="s">
        <v>161</v>
      </c>
      <c r="B110" s="122"/>
      <c r="C110" s="122"/>
      <c r="D110" s="122"/>
      <c r="E110" s="122"/>
      <c r="F110" s="122"/>
      <c r="G110" s="89">
        <v>1020.82</v>
      </c>
      <c r="M110" s="121"/>
      <c r="N110" s="121"/>
      <c r="O110" s="121"/>
      <c r="P110" s="121"/>
      <c r="Q110" s="121"/>
      <c r="R110" s="121"/>
    </row>
  </sheetData>
  <mergeCells count="80">
    <mergeCell ref="A110:F110"/>
    <mergeCell ref="M110:R110"/>
    <mergeCell ref="A107:F107"/>
    <mergeCell ref="M107:R107"/>
    <mergeCell ref="A108:F108"/>
    <mergeCell ref="M108:R108"/>
    <mergeCell ref="A109:F109"/>
    <mergeCell ref="M109:R109"/>
    <mergeCell ref="A104:F104"/>
    <mergeCell ref="M104:R104"/>
    <mergeCell ref="A105:F105"/>
    <mergeCell ref="M105:R105"/>
    <mergeCell ref="A106:F106"/>
    <mergeCell ref="M106:R106"/>
    <mergeCell ref="A101:F101"/>
    <mergeCell ref="M101:R101"/>
    <mergeCell ref="A102:F102"/>
    <mergeCell ref="M102:R102"/>
    <mergeCell ref="A103:F103"/>
    <mergeCell ref="M103:R103"/>
    <mergeCell ref="A98:F98"/>
    <mergeCell ref="M98:R98"/>
    <mergeCell ref="A99:F99"/>
    <mergeCell ref="M99:R99"/>
    <mergeCell ref="A100:F100"/>
    <mergeCell ref="M100:R100"/>
    <mergeCell ref="A95:F95"/>
    <mergeCell ref="M95:R95"/>
    <mergeCell ref="A96:F96"/>
    <mergeCell ref="M96:R96"/>
    <mergeCell ref="A97:F97"/>
    <mergeCell ref="M97:R97"/>
    <mergeCell ref="A92:F92"/>
    <mergeCell ref="M92:R92"/>
    <mergeCell ref="A93:F93"/>
    <mergeCell ref="M93:R93"/>
    <mergeCell ref="A94:F94"/>
    <mergeCell ref="M94:R94"/>
    <mergeCell ref="A89:F89"/>
    <mergeCell ref="M89:R89"/>
    <mergeCell ref="A90:F90"/>
    <mergeCell ref="M90:R90"/>
    <mergeCell ref="A91:F91"/>
    <mergeCell ref="M91:R91"/>
    <mergeCell ref="A86:F86"/>
    <mergeCell ref="M86:R86"/>
    <mergeCell ref="A87:F87"/>
    <mergeCell ref="M87:R87"/>
    <mergeCell ref="A88:F88"/>
    <mergeCell ref="M88:R88"/>
    <mergeCell ref="A83:F83"/>
    <mergeCell ref="M83:R83"/>
    <mergeCell ref="A84:F84"/>
    <mergeCell ref="M84:R84"/>
    <mergeCell ref="A85:F85"/>
    <mergeCell ref="M85:R85"/>
    <mergeCell ref="A80:F80"/>
    <mergeCell ref="M80:R80"/>
    <mergeCell ref="A81:F81"/>
    <mergeCell ref="M81:R81"/>
    <mergeCell ref="A82:F82"/>
    <mergeCell ref="M82:R82"/>
    <mergeCell ref="A77:F77"/>
    <mergeCell ref="M77:R77"/>
    <mergeCell ref="A78:F78"/>
    <mergeCell ref="M78:R78"/>
    <mergeCell ref="A79:F79"/>
    <mergeCell ref="M79:R79"/>
    <mergeCell ref="A69:B69"/>
    <mergeCell ref="A73:B73"/>
    <mergeCell ref="A75:F75"/>
    <mergeCell ref="M75:R75"/>
    <mergeCell ref="A76:F76"/>
    <mergeCell ref="M76:R76"/>
    <mergeCell ref="A64:B64"/>
    <mergeCell ref="A7:B7"/>
    <mergeCell ref="A20:B20"/>
    <mergeCell ref="A27:B27"/>
    <mergeCell ref="A32:B32"/>
    <mergeCell ref="A35:B35"/>
  </mergeCells>
  <pageMargins left="0.25" right="0" top="0.4" bottom="0" header="0.3" footer="0"/>
  <pageSetup scale="68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B5C2-D0A7-4ECA-A1D0-394071CE7344}">
  <sheetPr>
    <pageSetUpPr fitToPage="1"/>
  </sheetPr>
  <dimension ref="A1:S110"/>
  <sheetViews>
    <sheetView tabSelected="1" zoomScale="145" zoomScaleNormal="145" workbookViewId="0">
      <pane ySplit="2" topLeftCell="A3" activePane="bottomLeft" state="frozen"/>
      <selection pane="bottomLeft" activeCell="N12" sqref="N12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164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f>1000+821.59+1500+1116.23+1266.24-1000-821.59-1500-1116.23-1266.24</f>
        <v>0</v>
      </c>
      <c r="D3" s="32">
        <v>0</v>
      </c>
      <c r="E3" s="32">
        <v>0</v>
      </c>
      <c r="F3" s="32">
        <v>0</v>
      </c>
      <c r="G3" s="32">
        <v>0</v>
      </c>
      <c r="H3" s="8">
        <f>D3+F3+'06-23-22'!H3</f>
        <v>0</v>
      </c>
      <c r="I3" s="8">
        <f>E3+G3+'06-23-22'!I3</f>
        <v>-2.0000000000010232E-2</v>
      </c>
      <c r="J3" s="8">
        <f>H3+I3</f>
        <v>-2.0000000000010232E-2</v>
      </c>
      <c r="K3" s="8">
        <f>C3-J3</f>
        <v>2.0000000000010232E-2</v>
      </c>
      <c r="L3" s="8">
        <f>C3-((J3/26.0714285714285)*26.0714285714285)</f>
        <v>2.0000000000010232E-2</v>
      </c>
      <c r="M3" s="90"/>
    </row>
    <row r="4" spans="1:13" s="55" customFormat="1" ht="11.25" customHeight="1" x14ac:dyDescent="0.25">
      <c r="A4" s="39" t="s">
        <v>75</v>
      </c>
      <c r="B4" s="23">
        <v>55400000</v>
      </c>
      <c r="C4" s="8">
        <v>10800</v>
      </c>
      <c r="D4" s="32">
        <v>0</v>
      </c>
      <c r="E4" s="32">
        <v>0</v>
      </c>
      <c r="F4" s="32">
        <v>0</v>
      </c>
      <c r="G4" s="32">
        <v>0</v>
      </c>
      <c r="H4" s="8">
        <f>D4+F4+'06-23-22'!H4</f>
        <v>10107.450000000001</v>
      </c>
      <c r="I4" s="8">
        <f>E4+G4+'06-23-22'!I4</f>
        <v>252.56000000000006</v>
      </c>
      <c r="J4" s="8">
        <f>H4+I4</f>
        <v>10360.01</v>
      </c>
      <c r="K4" s="8">
        <f>C4-J4</f>
        <v>439.98999999999978</v>
      </c>
      <c r="L4" s="8">
        <f t="shared" ref="L4:L6" si="0">C4-((J4/26.0714285714285)*26.0714285714285)</f>
        <v>439.98999999999978</v>
      </c>
      <c r="M4" s="69"/>
    </row>
    <row r="5" spans="1:13" s="55" customFormat="1" ht="10.9" customHeight="1" x14ac:dyDescent="0.25">
      <c r="A5" s="20" t="s">
        <v>76</v>
      </c>
      <c r="B5" s="105">
        <v>55110100</v>
      </c>
      <c r="C5" s="33">
        <f>2659+6941+5955</f>
        <v>15555</v>
      </c>
      <c r="D5" s="32">
        <v>0</v>
      </c>
      <c r="E5" s="32">
        <v>0</v>
      </c>
      <c r="F5" s="32">
        <v>0</v>
      </c>
      <c r="G5" s="32">
        <v>0</v>
      </c>
      <c r="H5" s="8">
        <f>D5+F5+'06-23-22'!H5</f>
        <v>6825</v>
      </c>
      <c r="I5" s="8">
        <f>E5+G5+'06-23-22'!I5</f>
        <v>511.84000000000003</v>
      </c>
      <c r="J5" s="8">
        <f>H5+I5</f>
        <v>7336.84</v>
      </c>
      <c r="K5" s="8">
        <f>C5-J5</f>
        <v>8218.16</v>
      </c>
      <c r="L5" s="8">
        <f t="shared" si="0"/>
        <v>8218.16</v>
      </c>
      <c r="M5" s="76"/>
    </row>
    <row r="6" spans="1:13" s="56" customFormat="1" ht="11.25" customHeight="1" x14ac:dyDescent="0.25">
      <c r="A6" s="17" t="s">
        <v>70</v>
      </c>
      <c r="B6" s="21">
        <v>55010601</v>
      </c>
      <c r="C6" s="8">
        <v>6450</v>
      </c>
      <c r="D6" s="32">
        <v>0</v>
      </c>
      <c r="E6" s="32">
        <v>0</v>
      </c>
      <c r="F6" s="32">
        <v>0</v>
      </c>
      <c r="G6" s="32">
        <v>0</v>
      </c>
      <c r="H6" s="8">
        <f>D6+F6+'06-23-22'!H6</f>
        <v>4207.5</v>
      </c>
      <c r="I6" s="8">
        <f>E6+G6+'06-23-22'!I6</f>
        <v>50.45000000000001</v>
      </c>
      <c r="J6" s="8">
        <f>H6+I6</f>
        <v>4257.95</v>
      </c>
      <c r="K6" s="8">
        <f>C6-J6</f>
        <v>2192.0500000000002</v>
      </c>
      <c r="L6" s="8">
        <f t="shared" si="0"/>
        <v>2192.0500000000002</v>
      </c>
      <c r="M6" s="66"/>
    </row>
    <row r="7" spans="1:13" ht="21.6" customHeight="1" thickBot="1" x14ac:dyDescent="0.3">
      <c r="A7" s="119" t="s">
        <v>151</v>
      </c>
      <c r="B7" s="120"/>
      <c r="C7" s="35">
        <f>SUM(C3:C6)</f>
        <v>32805</v>
      </c>
      <c r="D7" s="35">
        <f t="shared" ref="D7:L7" si="1">SUM(D3:D6)</f>
        <v>0</v>
      </c>
      <c r="E7" s="35">
        <f t="shared" si="1"/>
        <v>0</v>
      </c>
      <c r="F7" s="35">
        <f t="shared" si="1"/>
        <v>0</v>
      </c>
      <c r="G7" s="35">
        <f t="shared" si="1"/>
        <v>0</v>
      </c>
      <c r="H7" s="35">
        <f t="shared" si="1"/>
        <v>21139.95</v>
      </c>
      <c r="I7" s="35">
        <f t="shared" si="1"/>
        <v>814.83000000000015</v>
      </c>
      <c r="J7" s="35">
        <f t="shared" si="1"/>
        <v>21954.780000000002</v>
      </c>
      <c r="K7" s="35">
        <f t="shared" si="1"/>
        <v>10850.220000000001</v>
      </c>
      <c r="L7" s="35">
        <f t="shared" si="1"/>
        <v>10850.220000000001</v>
      </c>
    </row>
    <row r="8" spans="1:13" ht="11.25" customHeight="1" x14ac:dyDescent="0.25">
      <c r="A8" s="38"/>
      <c r="B8" s="29"/>
      <c r="C8" s="28"/>
      <c r="D8" s="28"/>
      <c r="E8" s="28"/>
      <c r="F8" s="28"/>
      <c r="G8" s="28"/>
      <c r="H8" s="28"/>
      <c r="I8" s="28"/>
      <c r="J8" s="28"/>
      <c r="K8" s="28"/>
      <c r="L8" s="37"/>
    </row>
    <row r="9" spans="1:13" ht="11.25" customHeight="1" thickBot="1" x14ac:dyDescent="0.3">
      <c r="A9" s="27"/>
      <c r="B9" s="26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3" s="56" customFormat="1" ht="11.25" customHeight="1" x14ac:dyDescent="0.25">
      <c r="A10" s="91" t="s">
        <v>100</v>
      </c>
      <c r="B10" s="21">
        <v>55010000</v>
      </c>
      <c r="C10" s="8">
        <v>66000</v>
      </c>
      <c r="D10" s="32">
        <v>0</v>
      </c>
      <c r="E10" s="32">
        <v>0</v>
      </c>
      <c r="F10" s="32">
        <v>0</v>
      </c>
      <c r="G10" s="32">
        <v>0</v>
      </c>
      <c r="H10" s="8">
        <f>D10+F10+'06-23-22'!H10</f>
        <v>11957.919999999996</v>
      </c>
      <c r="I10" s="8">
        <f>E10+G10+'06-23-22'!I10</f>
        <v>546.16999999999973</v>
      </c>
      <c r="J10" s="8">
        <f t="shared" ref="J10:J19" si="2">H10+I10</f>
        <v>12504.089999999997</v>
      </c>
      <c r="K10" s="8">
        <f t="shared" ref="K10:K19" si="3">C10-J10</f>
        <v>53495.91</v>
      </c>
      <c r="L10" s="8">
        <f t="shared" ref="L10:L19" si="4">C10-((J10/26.0714285714285)*26.0714285714285)</f>
        <v>53495.91</v>
      </c>
      <c r="M10" s="66"/>
    </row>
    <row r="11" spans="1:13" s="56" customFormat="1" ht="11.25" customHeight="1" x14ac:dyDescent="0.25">
      <c r="A11" s="91" t="s">
        <v>99</v>
      </c>
      <c r="B11" s="21">
        <v>55010500</v>
      </c>
      <c r="C11" s="8">
        <f>2229+688-2208.5</f>
        <v>708.5</v>
      </c>
      <c r="D11" s="32">
        <v>0</v>
      </c>
      <c r="E11" s="32">
        <v>0</v>
      </c>
      <c r="F11" s="32">
        <v>0</v>
      </c>
      <c r="G11" s="32">
        <v>0</v>
      </c>
      <c r="H11" s="8">
        <f>D11+F11+'06-23-22'!H11</f>
        <v>0</v>
      </c>
      <c r="I11" s="8">
        <f>E11+G11+'06-23-22'!I11</f>
        <v>0</v>
      </c>
      <c r="J11" s="8">
        <f t="shared" si="2"/>
        <v>0</v>
      </c>
      <c r="K11" s="8">
        <f t="shared" si="3"/>
        <v>708.5</v>
      </c>
      <c r="L11" s="8">
        <f t="shared" si="4"/>
        <v>708.5</v>
      </c>
      <c r="M11" s="90"/>
    </row>
    <row r="12" spans="1:13" s="53" customFormat="1" ht="11.25" customHeight="1" x14ac:dyDescent="0.25">
      <c r="A12" s="42" t="s">
        <v>31</v>
      </c>
      <c r="B12" s="57">
        <v>55020200</v>
      </c>
      <c r="C12" s="58">
        <v>24649</v>
      </c>
      <c r="D12" s="9">
        <v>222.22</v>
      </c>
      <c r="E12" s="9">
        <v>2.66</v>
      </c>
      <c r="F12" s="9">
        <v>295.32</v>
      </c>
      <c r="G12" s="9">
        <v>22.14</v>
      </c>
      <c r="H12" s="8">
        <f>D12+F12+'06-23-22'!H12</f>
        <v>23288.470000000005</v>
      </c>
      <c r="I12" s="8">
        <f>E12+G12+'06-23-22'!I12</f>
        <v>348.4199999999999</v>
      </c>
      <c r="J12" s="8">
        <f t="shared" si="2"/>
        <v>23636.890000000003</v>
      </c>
      <c r="K12" s="8">
        <f t="shared" si="3"/>
        <v>1012.1099999999969</v>
      </c>
      <c r="L12" s="8">
        <f t="shared" si="4"/>
        <v>1012.1099999999969</v>
      </c>
      <c r="M12" s="67"/>
    </row>
    <row r="13" spans="1:13" s="53" customFormat="1" ht="11.25" customHeight="1" x14ac:dyDescent="0.25">
      <c r="A13" s="17" t="s">
        <v>30</v>
      </c>
      <c r="B13" s="21">
        <v>55020300</v>
      </c>
      <c r="C13" s="8">
        <v>17974</v>
      </c>
      <c r="D13" s="9">
        <v>446.78</v>
      </c>
      <c r="E13" s="9">
        <v>5.36</v>
      </c>
      <c r="F13" s="9">
        <v>280</v>
      </c>
      <c r="G13" s="9">
        <v>21</v>
      </c>
      <c r="H13" s="8">
        <f>D13+F13+'06-23-22'!H13</f>
        <v>18879.719999999998</v>
      </c>
      <c r="I13" s="8">
        <f>E13+G13+'06-23-22'!I13</f>
        <v>428.04000000000008</v>
      </c>
      <c r="J13" s="8">
        <f t="shared" si="2"/>
        <v>19307.759999999998</v>
      </c>
      <c r="K13" s="85">
        <f t="shared" si="3"/>
        <v>-1333.7599999999984</v>
      </c>
      <c r="L13" s="8">
        <f t="shared" si="4"/>
        <v>-1333.7599999999984</v>
      </c>
      <c r="M13" s="67"/>
    </row>
    <row r="14" spans="1:13" s="53" customFormat="1" ht="11.25" customHeight="1" x14ac:dyDescent="0.25">
      <c r="A14" s="17" t="s">
        <v>29</v>
      </c>
      <c r="B14" s="21">
        <v>55020400</v>
      </c>
      <c r="C14" s="8">
        <v>17974</v>
      </c>
      <c r="D14" s="9">
        <v>113.76</v>
      </c>
      <c r="E14" s="9">
        <v>1.36</v>
      </c>
      <c r="F14" s="9">
        <v>0</v>
      </c>
      <c r="G14" s="9">
        <v>0</v>
      </c>
      <c r="H14" s="8">
        <f>D14+F14+'06-23-22'!H14</f>
        <v>17064.359999999997</v>
      </c>
      <c r="I14" s="8">
        <f>E14+G14+'06-23-22'!I14</f>
        <v>275.98999999999995</v>
      </c>
      <c r="J14" s="8">
        <f t="shared" si="2"/>
        <v>17340.349999999999</v>
      </c>
      <c r="K14" s="8">
        <f t="shared" si="3"/>
        <v>633.65000000000146</v>
      </c>
      <c r="L14" s="8">
        <f t="shared" si="4"/>
        <v>633.65000000000146</v>
      </c>
      <c r="M14" s="67"/>
    </row>
    <row r="15" spans="1:13" s="53" customFormat="1" ht="11.25" customHeight="1" x14ac:dyDescent="0.25">
      <c r="A15" s="40" t="s">
        <v>28</v>
      </c>
      <c r="B15" s="21">
        <v>55030200</v>
      </c>
      <c r="C15" s="8">
        <v>24330</v>
      </c>
      <c r="D15" s="9">
        <v>737.06</v>
      </c>
      <c r="E15" s="9">
        <v>8.84</v>
      </c>
      <c r="F15" s="9">
        <v>0</v>
      </c>
      <c r="G15" s="9">
        <v>0</v>
      </c>
      <c r="H15" s="8">
        <f>D15+F15+'06-23-22'!H15</f>
        <v>22369.439999999999</v>
      </c>
      <c r="I15" s="8">
        <f>E15+G15+'06-23-22'!I15</f>
        <v>361.12</v>
      </c>
      <c r="J15" s="8">
        <f t="shared" si="2"/>
        <v>22730.559999999998</v>
      </c>
      <c r="K15" s="8">
        <f t="shared" si="3"/>
        <v>1599.4400000000023</v>
      </c>
      <c r="L15" s="8">
        <f t="shared" si="4"/>
        <v>1599.4400000000023</v>
      </c>
      <c r="M15" s="74"/>
    </row>
    <row r="16" spans="1:13" s="53" customFormat="1" ht="11.25" customHeight="1" x14ac:dyDescent="0.25">
      <c r="A16" s="17" t="s">
        <v>27</v>
      </c>
      <c r="B16" s="23">
        <v>55050200</v>
      </c>
      <c r="C16" s="8">
        <f>34000-271.57</f>
        <v>33728.43</v>
      </c>
      <c r="D16" s="8">
        <v>690.93</v>
      </c>
      <c r="E16" s="8">
        <v>8.2799999999999994</v>
      </c>
      <c r="F16" s="8">
        <v>0</v>
      </c>
      <c r="G16" s="8">
        <v>0</v>
      </c>
      <c r="H16" s="8">
        <f>D16+F16+'06-23-22'!H16</f>
        <v>34347.61</v>
      </c>
      <c r="I16" s="8">
        <f>E16+G16+'06-23-22'!I16</f>
        <v>568.46999999999991</v>
      </c>
      <c r="J16" s="8">
        <f t="shared" si="2"/>
        <v>34916.080000000002</v>
      </c>
      <c r="K16" s="85">
        <f t="shared" si="3"/>
        <v>-1187.6500000000015</v>
      </c>
      <c r="L16" s="8">
        <f t="shared" si="4"/>
        <v>-1187.6500000000015</v>
      </c>
      <c r="M16" s="84"/>
    </row>
    <row r="17" spans="1:13" s="54" customFormat="1" ht="11.25" customHeight="1" x14ac:dyDescent="0.25">
      <c r="A17" s="17" t="s">
        <v>26</v>
      </c>
      <c r="B17" s="21">
        <v>55070100</v>
      </c>
      <c r="C17" s="8">
        <v>42741</v>
      </c>
      <c r="D17" s="8">
        <v>1197.92</v>
      </c>
      <c r="E17" s="8">
        <v>14.37</v>
      </c>
      <c r="F17" s="8">
        <v>217.6</v>
      </c>
      <c r="G17" s="8">
        <v>16.32</v>
      </c>
      <c r="H17" s="8">
        <f>D17+F17+'06-23-22'!H17</f>
        <v>46596.93</v>
      </c>
      <c r="I17" s="8">
        <f>E17+G17+'06-23-22'!I17</f>
        <v>660.64999999999986</v>
      </c>
      <c r="J17" s="8">
        <f t="shared" si="2"/>
        <v>47257.58</v>
      </c>
      <c r="K17" s="85">
        <f t="shared" si="3"/>
        <v>-4516.5800000000017</v>
      </c>
      <c r="L17" s="8">
        <f t="shared" si="4"/>
        <v>-4516.5800000000017</v>
      </c>
      <c r="M17" s="84"/>
    </row>
    <row r="18" spans="1:13" s="53" customFormat="1" ht="11.25" customHeight="1" x14ac:dyDescent="0.25">
      <c r="A18" s="17" t="s">
        <v>25</v>
      </c>
      <c r="B18" s="21">
        <v>55080100</v>
      </c>
      <c r="C18" s="8">
        <v>24173</v>
      </c>
      <c r="D18" s="9">
        <v>278.63</v>
      </c>
      <c r="E18" s="9">
        <v>3.34</v>
      </c>
      <c r="F18" s="9">
        <v>0</v>
      </c>
      <c r="G18" s="9">
        <v>0</v>
      </c>
      <c r="H18" s="8">
        <f>D18+F18+'06-23-22'!H18</f>
        <v>16245.019999999999</v>
      </c>
      <c r="I18" s="8">
        <f>E18+G18+'06-23-22'!I18</f>
        <v>268.97999999999996</v>
      </c>
      <c r="J18" s="8">
        <f t="shared" si="2"/>
        <v>16514</v>
      </c>
      <c r="K18" s="8">
        <f t="shared" si="3"/>
        <v>7659</v>
      </c>
      <c r="L18" s="8">
        <f t="shared" si="4"/>
        <v>7659</v>
      </c>
      <c r="M18" s="74"/>
    </row>
    <row r="19" spans="1:13" s="55" customFormat="1" ht="11.25" customHeight="1" x14ac:dyDescent="0.25">
      <c r="A19" s="39" t="s">
        <v>24</v>
      </c>
      <c r="B19" s="23">
        <v>55190000</v>
      </c>
      <c r="C19" s="8">
        <v>6000</v>
      </c>
      <c r="D19" s="9">
        <v>156.26</v>
      </c>
      <c r="E19" s="9">
        <v>1.87</v>
      </c>
      <c r="F19" s="9">
        <v>0</v>
      </c>
      <c r="G19" s="9">
        <v>0</v>
      </c>
      <c r="H19" s="8">
        <f>D19+F19+'06-23-22'!H19</f>
        <v>4884.0499999999993</v>
      </c>
      <c r="I19" s="8">
        <f>E19+G19+'06-23-22'!I19</f>
        <v>67.42</v>
      </c>
      <c r="J19" s="8">
        <f t="shared" si="2"/>
        <v>4951.4699999999993</v>
      </c>
      <c r="K19" s="8">
        <f t="shared" si="3"/>
        <v>1048.5300000000007</v>
      </c>
      <c r="L19" s="8">
        <f t="shared" si="4"/>
        <v>1048.5300000000007</v>
      </c>
      <c r="M19" s="69"/>
    </row>
    <row r="20" spans="1:13" ht="21.6" customHeight="1" thickBot="1" x14ac:dyDescent="0.3">
      <c r="A20" s="114" t="s">
        <v>23</v>
      </c>
      <c r="B20" s="115"/>
      <c r="C20" s="35">
        <f>SUM(C10:C19)</f>
        <v>258277.93</v>
      </c>
      <c r="D20" s="35">
        <f t="shared" ref="D20:L20" si="5">SUM(D10:D19)</f>
        <v>3843.5600000000004</v>
      </c>
      <c r="E20" s="35">
        <f t="shared" si="5"/>
        <v>46.079999999999991</v>
      </c>
      <c r="F20" s="35">
        <f t="shared" si="5"/>
        <v>792.92</v>
      </c>
      <c r="G20" s="35">
        <f t="shared" si="5"/>
        <v>59.46</v>
      </c>
      <c r="H20" s="35">
        <f t="shared" si="5"/>
        <v>195633.52</v>
      </c>
      <c r="I20" s="35">
        <f t="shared" si="5"/>
        <v>3525.2599999999998</v>
      </c>
      <c r="J20" s="35">
        <f t="shared" si="5"/>
        <v>199158.78</v>
      </c>
      <c r="K20" s="35">
        <f t="shared" si="5"/>
        <v>59119.150000000009</v>
      </c>
      <c r="L20" s="35">
        <f t="shared" si="5"/>
        <v>59119.150000000009</v>
      </c>
    </row>
    <row r="21" spans="1:13" ht="11.25" customHeight="1" x14ac:dyDescent="0.25">
      <c r="A21" s="3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7"/>
      <c r="M21" s="113"/>
    </row>
    <row r="22" spans="1:13" ht="11.25" customHeight="1" thickBot="1" x14ac:dyDescent="0.3">
      <c r="A22" s="27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6"/>
    </row>
    <row r="23" spans="1:13" s="53" customFormat="1" ht="11.45" hidden="1" customHeight="1" x14ac:dyDescent="0.25">
      <c r="A23" s="10" t="s">
        <v>22</v>
      </c>
      <c r="B23" s="23">
        <v>55090100</v>
      </c>
      <c r="C23" s="82"/>
      <c r="D23" s="32">
        <v>0</v>
      </c>
      <c r="E23" s="32">
        <v>0</v>
      </c>
      <c r="F23" s="32">
        <v>0</v>
      </c>
      <c r="G23" s="32">
        <v>0</v>
      </c>
      <c r="H23" s="8">
        <f t="shared" ref="H23:I23" si="6">D23+F23</f>
        <v>0</v>
      </c>
      <c r="I23" s="8">
        <f t="shared" si="6"/>
        <v>0</v>
      </c>
      <c r="J23" s="8">
        <f t="shared" ref="J23:J26" si="7">H23+I23</f>
        <v>0</v>
      </c>
      <c r="K23" s="8">
        <f>C23-J23</f>
        <v>0</v>
      </c>
      <c r="L23" s="8">
        <f t="shared" ref="L23" si="8">C23-((J23/1)*26.0714285714285)</f>
        <v>0</v>
      </c>
      <c r="M23" s="68"/>
    </row>
    <row r="24" spans="1:13" s="53" customFormat="1" ht="11.25" customHeight="1" x14ac:dyDescent="0.25">
      <c r="A24" s="17" t="s">
        <v>59</v>
      </c>
      <c r="B24" s="21">
        <v>55030100</v>
      </c>
      <c r="C24" s="8">
        <v>2109</v>
      </c>
      <c r="D24" s="32">
        <v>0</v>
      </c>
      <c r="E24" s="32">
        <v>0</v>
      </c>
      <c r="F24" s="32">
        <v>0</v>
      </c>
      <c r="G24" s="32">
        <v>0</v>
      </c>
      <c r="H24" s="8">
        <f>D24+F24+'06-23-22'!H24</f>
        <v>1375.3999999999999</v>
      </c>
      <c r="I24" s="8">
        <f>E24+G24+'06-23-22'!I24</f>
        <v>16.439999999999998</v>
      </c>
      <c r="J24" s="8">
        <f>H24+I24</f>
        <v>1391.84</v>
      </c>
      <c r="K24" s="8">
        <f>C24-J24</f>
        <v>717.16000000000008</v>
      </c>
      <c r="L24" s="8">
        <f t="shared" ref="L24:L26" si="9">C24-((J24/26.0714285714285)*26.0714285714285)</f>
        <v>717.16000000000008</v>
      </c>
      <c r="M24" s="67"/>
    </row>
    <row r="25" spans="1:13" s="53" customFormat="1" ht="11.45" customHeight="1" x14ac:dyDescent="0.25">
      <c r="A25" s="17" t="s">
        <v>21</v>
      </c>
      <c r="B25" s="21">
        <v>55160100</v>
      </c>
      <c r="C25" s="8">
        <v>13953</v>
      </c>
      <c r="D25" s="32">
        <v>429.22</v>
      </c>
      <c r="E25" s="32">
        <v>5.15</v>
      </c>
      <c r="F25" s="32">
        <v>0</v>
      </c>
      <c r="G25" s="32">
        <v>0</v>
      </c>
      <c r="H25" s="8">
        <f>D25+F25+'06-23-22'!H25</f>
        <v>6624.380000000001</v>
      </c>
      <c r="I25" s="8">
        <f>E25+G25+'06-23-22'!I25</f>
        <v>79.360000000000014</v>
      </c>
      <c r="J25" s="8">
        <f t="shared" si="7"/>
        <v>6703.7400000000007</v>
      </c>
      <c r="K25" s="8">
        <f t="shared" ref="K25:K26" si="10">C25-J25</f>
        <v>7249.2599999999993</v>
      </c>
      <c r="L25" s="8">
        <f t="shared" si="9"/>
        <v>7249.2599999999984</v>
      </c>
      <c r="M25" s="67"/>
    </row>
    <row r="26" spans="1:13" s="53" customFormat="1" ht="11.45" customHeight="1" x14ac:dyDescent="0.25">
      <c r="A26" s="10" t="s">
        <v>20</v>
      </c>
      <c r="B26" s="23">
        <v>55100100</v>
      </c>
      <c r="C26" s="8">
        <v>2026</v>
      </c>
      <c r="D26" s="32">
        <v>0</v>
      </c>
      <c r="E26" s="32">
        <v>0</v>
      </c>
      <c r="F26" s="32">
        <v>0</v>
      </c>
      <c r="G26" s="32">
        <v>0</v>
      </c>
      <c r="H26" s="8">
        <f>D26+F26+'06-23-22'!H26</f>
        <v>1967.5</v>
      </c>
      <c r="I26" s="8">
        <f>E26+G26+'06-23-22'!I26</f>
        <v>23.580000000000002</v>
      </c>
      <c r="J26" s="8">
        <f t="shared" si="7"/>
        <v>1991.08</v>
      </c>
      <c r="K26" s="8">
        <f t="shared" si="10"/>
        <v>34.920000000000073</v>
      </c>
      <c r="L26" s="8">
        <f t="shared" si="9"/>
        <v>34.920000000000073</v>
      </c>
      <c r="M26" s="67"/>
    </row>
    <row r="27" spans="1:13" ht="21.6" customHeight="1" thickBot="1" x14ac:dyDescent="0.3">
      <c r="A27" s="114" t="s">
        <v>19</v>
      </c>
      <c r="B27" s="115"/>
      <c r="C27" s="7">
        <f t="shared" ref="C27:L27" si="11">SUM(C23:C26)</f>
        <v>18088</v>
      </c>
      <c r="D27" s="7">
        <f t="shared" si="11"/>
        <v>429.22</v>
      </c>
      <c r="E27" s="7">
        <f t="shared" si="11"/>
        <v>5.15</v>
      </c>
      <c r="F27" s="7">
        <f t="shared" si="11"/>
        <v>0</v>
      </c>
      <c r="G27" s="7">
        <f t="shared" si="11"/>
        <v>0</v>
      </c>
      <c r="H27" s="8">
        <f>D27+F27+'07-22-21'!H23</f>
        <v>429.22</v>
      </c>
      <c r="I27" s="8">
        <f>E27+G27+'07-22-21'!I23</f>
        <v>5.15</v>
      </c>
      <c r="J27" s="35">
        <f t="shared" si="11"/>
        <v>10086.66</v>
      </c>
      <c r="K27" s="7">
        <f t="shared" si="11"/>
        <v>8001.3399999999992</v>
      </c>
      <c r="L27" s="7">
        <f t="shared" si="11"/>
        <v>8001.3399999999983</v>
      </c>
    </row>
    <row r="28" spans="1:13" ht="11.25" customHeight="1" x14ac:dyDescent="0.25">
      <c r="A28" s="30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7"/>
    </row>
    <row r="29" spans="1:13" ht="11.25" customHeight="1" thickBot="1" x14ac:dyDescent="0.3">
      <c r="A29" s="27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36"/>
    </row>
    <row r="30" spans="1:13" s="55" customFormat="1" ht="11.45" customHeight="1" x14ac:dyDescent="0.25">
      <c r="A30" s="10" t="s">
        <v>18</v>
      </c>
      <c r="B30" s="23">
        <v>55200000</v>
      </c>
      <c r="C30" s="8">
        <f>25000+8680.07+2208.5</f>
        <v>35888.57</v>
      </c>
      <c r="D30" s="9">
        <v>435</v>
      </c>
      <c r="E30" s="9">
        <v>5.22</v>
      </c>
      <c r="F30" s="9">
        <v>300</v>
      </c>
      <c r="G30" s="9">
        <v>22.5</v>
      </c>
      <c r="H30" s="8">
        <f>D30+F30+'06-23-22'!H30</f>
        <v>34168.574999999997</v>
      </c>
      <c r="I30" s="8">
        <f>E30+G30+'06-23-22'!I30</f>
        <v>1617.8500000000001</v>
      </c>
      <c r="J30" s="8">
        <f t="shared" ref="J30:J31" si="12">H30+I30</f>
        <v>35786.424999999996</v>
      </c>
      <c r="K30" s="8">
        <f>C30-J30</f>
        <v>102.14500000000407</v>
      </c>
      <c r="L30" s="8">
        <f>C30-((J30/26.0714285714285)*26.0714285714285)</f>
        <v>102.14500000000407</v>
      </c>
      <c r="M30" s="70"/>
    </row>
    <row r="31" spans="1:13" s="55" customFormat="1" ht="10.9" hidden="1" customHeight="1" x14ac:dyDescent="0.25">
      <c r="A31" s="20" t="s">
        <v>17</v>
      </c>
      <c r="B31" s="34" t="s">
        <v>16</v>
      </c>
      <c r="C31" s="33">
        <v>0</v>
      </c>
      <c r="D31" s="32"/>
      <c r="E31" s="32"/>
      <c r="F31" s="32"/>
      <c r="G31" s="32"/>
      <c r="H31" s="8">
        <f>D31+F31+'07-08-21'!H27</f>
        <v>0</v>
      </c>
      <c r="I31" s="8">
        <f>E31+G31+'07-08-21'!I27</f>
        <v>0</v>
      </c>
      <c r="J31" s="8">
        <f t="shared" si="12"/>
        <v>0</v>
      </c>
      <c r="K31" s="8">
        <f t="shared" ref="K31" si="13">C31-J31</f>
        <v>0</v>
      </c>
      <c r="L31" s="8">
        <f t="shared" ref="L31" si="14">C31-((J31/2)*26.0714285714285)</f>
        <v>0</v>
      </c>
      <c r="M31" s="69"/>
    </row>
    <row r="32" spans="1:13" ht="24.75" customHeight="1" thickBot="1" x14ac:dyDescent="0.3">
      <c r="A32" s="116" t="s">
        <v>15</v>
      </c>
      <c r="B32" s="117"/>
      <c r="C32" s="31">
        <f t="shared" ref="C32:L32" si="15">SUM(C30:C31)</f>
        <v>35888.57</v>
      </c>
      <c r="D32" s="31">
        <f t="shared" si="15"/>
        <v>435</v>
      </c>
      <c r="E32" s="31">
        <f t="shared" si="15"/>
        <v>5.22</v>
      </c>
      <c r="F32" s="31">
        <f t="shared" si="15"/>
        <v>300</v>
      </c>
      <c r="G32" s="31">
        <f t="shared" si="15"/>
        <v>22.5</v>
      </c>
      <c r="H32" s="31">
        <f t="shared" si="15"/>
        <v>34168.574999999997</v>
      </c>
      <c r="I32" s="31">
        <f t="shared" si="15"/>
        <v>1617.8500000000001</v>
      </c>
      <c r="J32" s="31">
        <f t="shared" si="15"/>
        <v>35786.424999999996</v>
      </c>
      <c r="K32" s="31">
        <f t="shared" si="15"/>
        <v>102.14500000000407</v>
      </c>
      <c r="L32" s="31">
        <f t="shared" si="15"/>
        <v>102.14500000000407</v>
      </c>
    </row>
    <row r="33" spans="1:13" ht="11.25" customHeight="1" x14ac:dyDescent="0.25">
      <c r="A33" s="30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3" ht="11.25" customHeight="1" thickBot="1" x14ac:dyDescent="0.3">
      <c r="A34" s="27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3" ht="21.6" customHeight="1" x14ac:dyDescent="0.25">
      <c r="A35" s="118" t="s">
        <v>14</v>
      </c>
      <c r="B35" s="118"/>
      <c r="C35" s="24">
        <f>C20+C27+C32+C7</f>
        <v>345059.5</v>
      </c>
      <c r="D35" s="24">
        <f t="shared" ref="D35:L35" si="16">D20+D27+D32+D7</f>
        <v>4707.7800000000007</v>
      </c>
      <c r="E35" s="24">
        <f t="shared" si="16"/>
        <v>56.449999999999989</v>
      </c>
      <c r="F35" s="24">
        <f t="shared" si="16"/>
        <v>1092.92</v>
      </c>
      <c r="G35" s="24">
        <f t="shared" si="16"/>
        <v>81.960000000000008</v>
      </c>
      <c r="H35" s="24">
        <f t="shared" si="16"/>
        <v>251371.26500000001</v>
      </c>
      <c r="I35" s="24">
        <f t="shared" si="16"/>
        <v>5963.09</v>
      </c>
      <c r="J35" s="24">
        <f t="shared" si="16"/>
        <v>266986.64500000002</v>
      </c>
      <c r="K35" s="24">
        <f t="shared" si="16"/>
        <v>78072.85500000001</v>
      </c>
      <c r="L35" s="24">
        <f t="shared" si="16"/>
        <v>78072.85500000001</v>
      </c>
    </row>
    <row r="36" spans="1:13" ht="10.9" customHeight="1" x14ac:dyDescent="0.2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1.25" customHeight="1" x14ac:dyDescent="0.25">
      <c r="A37" s="13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s="59" customFormat="1" ht="11.25" customHeight="1" x14ac:dyDescent="0.25">
      <c r="A38" s="20" t="s">
        <v>65</v>
      </c>
      <c r="B38" s="21" t="s">
        <v>44</v>
      </c>
      <c r="C38" s="8">
        <f>3194.08+19111.04</f>
        <v>22305.120000000003</v>
      </c>
      <c r="D38" s="32">
        <v>0</v>
      </c>
      <c r="E38" s="32">
        <v>0</v>
      </c>
      <c r="F38" s="32">
        <v>0</v>
      </c>
      <c r="G38" s="32">
        <v>0</v>
      </c>
      <c r="H38" s="8">
        <f>D38+F38+'06-23-22'!H38</f>
        <v>19508.66</v>
      </c>
      <c r="I38" s="8">
        <f>E38+G38+'06-23-22'!I38</f>
        <v>1406.8335999999999</v>
      </c>
      <c r="J38" s="8">
        <f>H38+I38</f>
        <v>20915.493600000002</v>
      </c>
      <c r="K38" s="8">
        <f>C38-J38</f>
        <v>1389.626400000001</v>
      </c>
      <c r="L38" s="8">
        <f t="shared" ref="L38:L63" si="17">C38-((J38/26.0714285714285)*26.0714285714285)</f>
        <v>1389.626400000001</v>
      </c>
      <c r="M38" s="76"/>
    </row>
    <row r="39" spans="1:13" s="59" customFormat="1" ht="11.25" hidden="1" customHeight="1" x14ac:dyDescent="0.25">
      <c r="A39" s="20" t="s">
        <v>117</v>
      </c>
      <c r="B39" s="105" t="s">
        <v>12</v>
      </c>
      <c r="C39" s="110">
        <f>900+441.6</f>
        <v>1341.6</v>
      </c>
      <c r="D39" s="8"/>
      <c r="E39" s="8"/>
      <c r="F39" s="8"/>
      <c r="G39" s="8"/>
      <c r="H39" s="8">
        <f>D39+F39+'06-23-22'!H39</f>
        <v>1248</v>
      </c>
      <c r="I39" s="8">
        <f>E39+G39+'06-23-22'!I39</f>
        <v>93.6</v>
      </c>
      <c r="J39" s="8">
        <f t="shared" ref="J39:J63" si="18">H39+I39</f>
        <v>1341.6</v>
      </c>
      <c r="K39" s="8">
        <f t="shared" ref="K39:K63" si="19">C39-J39</f>
        <v>0</v>
      </c>
      <c r="L39" s="8">
        <f t="shared" si="17"/>
        <v>0</v>
      </c>
      <c r="M39" s="111"/>
    </row>
    <row r="40" spans="1:13" s="59" customFormat="1" ht="11.25" customHeight="1" x14ac:dyDescent="0.25">
      <c r="A40" s="20" t="s">
        <v>114</v>
      </c>
      <c r="B40" s="105" t="s">
        <v>12</v>
      </c>
      <c r="C40" s="110">
        <f>12000-441.6</f>
        <v>11558.4</v>
      </c>
      <c r="D40" s="32">
        <v>0</v>
      </c>
      <c r="E40" s="32">
        <v>0</v>
      </c>
      <c r="F40" s="32">
        <v>280</v>
      </c>
      <c r="G40" s="32">
        <v>21</v>
      </c>
      <c r="H40" s="8">
        <f>D40+F40+'06-23-22'!H40</f>
        <v>9912</v>
      </c>
      <c r="I40" s="8">
        <f>E40+G40+'06-23-22'!I40</f>
        <v>588.55999999999995</v>
      </c>
      <c r="J40" s="8">
        <f t="shared" si="18"/>
        <v>10500.56</v>
      </c>
      <c r="K40" s="8">
        <f t="shared" si="19"/>
        <v>1057.8400000000001</v>
      </c>
      <c r="L40" s="8">
        <f t="shared" si="17"/>
        <v>1057.8400000000001</v>
      </c>
      <c r="M40" s="70"/>
    </row>
    <row r="41" spans="1:13" s="60" customFormat="1" ht="11.25" hidden="1" customHeight="1" x14ac:dyDescent="0.25">
      <c r="A41" s="20" t="s">
        <v>11</v>
      </c>
      <c r="B41" s="21" t="s">
        <v>10</v>
      </c>
      <c r="C41" s="8">
        <v>0</v>
      </c>
      <c r="D41" s="32"/>
      <c r="E41" s="32"/>
      <c r="F41" s="32"/>
      <c r="G41" s="32"/>
      <c r="H41" s="8">
        <f>D41+F41+'06-23-22'!H41</f>
        <v>0</v>
      </c>
      <c r="I41" s="8">
        <f>E41+G41+'06-23-22'!I41</f>
        <v>0</v>
      </c>
      <c r="J41" s="8">
        <f t="shared" si="18"/>
        <v>0</v>
      </c>
      <c r="K41" s="8">
        <f t="shared" si="19"/>
        <v>0</v>
      </c>
      <c r="L41" s="8">
        <f t="shared" si="17"/>
        <v>0</v>
      </c>
      <c r="M41" s="72"/>
    </row>
    <row r="42" spans="1:13" s="60" customFormat="1" ht="11.25" hidden="1" customHeight="1" x14ac:dyDescent="0.25">
      <c r="A42" s="86" t="s">
        <v>71</v>
      </c>
      <c r="B42" s="77" t="s">
        <v>9</v>
      </c>
      <c r="C42" s="82"/>
      <c r="D42" s="8"/>
      <c r="E42" s="8"/>
      <c r="F42" s="8"/>
      <c r="G42" s="8"/>
      <c r="H42" s="8">
        <f>D42+F42+'06-23-22'!H42</f>
        <v>36.659999999999997</v>
      </c>
      <c r="I42" s="8">
        <f>E42+G42+'06-23-22'!I42</f>
        <v>0.43899359999999998</v>
      </c>
      <c r="J42" s="9">
        <f t="shared" si="18"/>
        <v>37.0989936</v>
      </c>
      <c r="K42" s="100">
        <f t="shared" si="19"/>
        <v>-37.0989936</v>
      </c>
      <c r="L42" s="8">
        <f t="shared" si="17"/>
        <v>-37.0989936</v>
      </c>
      <c r="M42" s="68"/>
    </row>
    <row r="43" spans="1:13" s="60" customFormat="1" ht="11.25" customHeight="1" x14ac:dyDescent="0.25">
      <c r="A43" s="18" t="s">
        <v>62</v>
      </c>
      <c r="B43" s="61" t="s">
        <v>54</v>
      </c>
      <c r="C43" s="8">
        <v>356.53</v>
      </c>
      <c r="D43" s="32">
        <v>0</v>
      </c>
      <c r="E43" s="32">
        <v>0</v>
      </c>
      <c r="F43" s="32">
        <v>0</v>
      </c>
      <c r="G43" s="32">
        <v>0</v>
      </c>
      <c r="H43" s="8">
        <f>D43+F43+'06-23-22'!H43</f>
        <v>0</v>
      </c>
      <c r="I43" s="8">
        <f>E43+G43+'06-23-22'!I43</f>
        <v>0</v>
      </c>
      <c r="J43" s="8">
        <f t="shared" si="18"/>
        <v>0</v>
      </c>
      <c r="K43" s="8">
        <f t="shared" si="19"/>
        <v>356.53</v>
      </c>
      <c r="L43" s="8">
        <f t="shared" si="17"/>
        <v>356.53</v>
      </c>
      <c r="M43" s="75"/>
    </row>
    <row r="44" spans="1:13" s="60" customFormat="1" ht="11.45" customHeight="1" x14ac:dyDescent="0.25">
      <c r="A44" s="18" t="s">
        <v>58</v>
      </c>
      <c r="B44" s="61" t="s">
        <v>57</v>
      </c>
      <c r="C44" s="8">
        <v>554.22</v>
      </c>
      <c r="D44" s="32">
        <v>0</v>
      </c>
      <c r="E44" s="32">
        <v>0</v>
      </c>
      <c r="F44" s="32">
        <v>0</v>
      </c>
      <c r="G44" s="32">
        <v>0</v>
      </c>
      <c r="H44" s="8">
        <f>D44+F44+'06-23-22'!H44</f>
        <v>0</v>
      </c>
      <c r="I44" s="8">
        <f>E44+G44+'06-23-22'!I44</f>
        <v>0</v>
      </c>
      <c r="J44" s="8">
        <f t="shared" si="18"/>
        <v>0</v>
      </c>
      <c r="K44" s="8">
        <f>C44-J44</f>
        <v>554.22</v>
      </c>
      <c r="L44" s="8">
        <f t="shared" si="17"/>
        <v>554.22</v>
      </c>
      <c r="M44" s="72"/>
    </row>
    <row r="45" spans="1:13" s="54" customFormat="1" ht="11.45" customHeight="1" x14ac:dyDescent="0.2">
      <c r="A45" s="18" t="s">
        <v>48</v>
      </c>
      <c r="B45" s="61" t="s">
        <v>49</v>
      </c>
      <c r="C45" s="8">
        <f>6710-6120.78+1400+1020.82</f>
        <v>3010.0400000000004</v>
      </c>
      <c r="D45" s="32">
        <v>216.56</v>
      </c>
      <c r="E45" s="32">
        <v>2.59</v>
      </c>
      <c r="F45" s="32">
        <v>0</v>
      </c>
      <c r="G45" s="32">
        <v>0</v>
      </c>
      <c r="H45" s="8">
        <f>D45+F45+'06-23-22'!H45</f>
        <v>3729.4500000000003</v>
      </c>
      <c r="I45" s="8">
        <f>E45+G45+'06-23-22'!I45</f>
        <v>44.7</v>
      </c>
      <c r="J45" s="8">
        <f t="shared" si="18"/>
        <v>3774.15</v>
      </c>
      <c r="K45" s="85">
        <f>C45-J45</f>
        <v>-764.10999999999967</v>
      </c>
      <c r="L45" s="8">
        <f t="shared" si="17"/>
        <v>-764.10999999999967</v>
      </c>
      <c r="M45" s="88"/>
    </row>
    <row r="46" spans="1:13" s="60" customFormat="1" ht="11.25" hidden="1" customHeight="1" x14ac:dyDescent="0.2">
      <c r="A46" s="18" t="s">
        <v>81</v>
      </c>
      <c r="B46" s="105" t="s">
        <v>82</v>
      </c>
      <c r="C46" s="8">
        <f>2880+271.57</f>
        <v>3151.57</v>
      </c>
      <c r="D46" s="32"/>
      <c r="E46" s="32"/>
      <c r="F46" s="32"/>
      <c r="G46" s="32"/>
      <c r="H46" s="8">
        <f>D46+F46+'06-23-22'!H46</f>
        <v>3121.7</v>
      </c>
      <c r="I46" s="8">
        <f>E46+G46+'06-23-22'!I46</f>
        <v>29.869999999999997</v>
      </c>
      <c r="J46" s="9">
        <f t="shared" si="18"/>
        <v>3151.5699999999997</v>
      </c>
      <c r="K46" s="92">
        <f t="shared" ref="K46:K48" si="20">C46-J46</f>
        <v>0</v>
      </c>
      <c r="L46" s="8">
        <f t="shared" si="17"/>
        <v>0</v>
      </c>
      <c r="M46" s="88"/>
    </row>
    <row r="47" spans="1:13" s="60" customFormat="1" ht="11.25" customHeight="1" x14ac:dyDescent="0.2">
      <c r="A47" s="18" t="s">
        <v>89</v>
      </c>
      <c r="B47" s="105">
        <v>55110100</v>
      </c>
      <c r="C47" s="8">
        <v>1332</v>
      </c>
      <c r="D47" s="32">
        <v>0</v>
      </c>
      <c r="E47" s="32">
        <v>0</v>
      </c>
      <c r="F47" s="32">
        <v>0</v>
      </c>
      <c r="G47" s="32">
        <v>0</v>
      </c>
      <c r="H47" s="8">
        <f>D47+F47+'06-23-22'!H47</f>
        <v>0</v>
      </c>
      <c r="I47" s="8">
        <f>E47+G47+'06-23-22'!I47</f>
        <v>0</v>
      </c>
      <c r="J47" s="9">
        <f t="shared" si="18"/>
        <v>0</v>
      </c>
      <c r="K47" s="92">
        <f t="shared" si="20"/>
        <v>1332</v>
      </c>
      <c r="L47" s="8">
        <f t="shared" si="17"/>
        <v>1332</v>
      </c>
      <c r="M47" s="88"/>
    </row>
    <row r="48" spans="1:13" s="60" customFormat="1" ht="11.25" customHeight="1" x14ac:dyDescent="0.2">
      <c r="A48" s="18" t="s">
        <v>108</v>
      </c>
      <c r="B48" s="61" t="s">
        <v>109</v>
      </c>
      <c r="C48" s="8">
        <v>5000</v>
      </c>
      <c r="D48" s="32">
        <v>0</v>
      </c>
      <c r="E48" s="32">
        <v>0</v>
      </c>
      <c r="F48" s="32">
        <v>0</v>
      </c>
      <c r="G48" s="32">
        <v>0</v>
      </c>
      <c r="H48" s="8">
        <f>D48+F48+'06-23-22'!H48</f>
        <v>2734.2</v>
      </c>
      <c r="I48" s="8">
        <f>E48+G48+'06-23-22'!I48</f>
        <v>32.700000000000003</v>
      </c>
      <c r="J48" s="8">
        <f t="shared" si="18"/>
        <v>2766.8999999999996</v>
      </c>
      <c r="K48" s="92">
        <f t="shared" si="20"/>
        <v>2233.1000000000004</v>
      </c>
      <c r="L48" s="8">
        <f t="shared" si="17"/>
        <v>2233.1000000000004</v>
      </c>
      <c r="M48" s="88"/>
    </row>
    <row r="49" spans="1:13" s="54" customFormat="1" ht="11.45" customHeight="1" x14ac:dyDescent="0.25">
      <c r="A49" s="18" t="s">
        <v>93</v>
      </c>
      <c r="B49" s="61" t="s">
        <v>47</v>
      </c>
      <c r="C49" s="8">
        <f>1734.35+7700-7700+8957</f>
        <v>10691.35</v>
      </c>
      <c r="D49" s="32">
        <v>0</v>
      </c>
      <c r="E49" s="32">
        <v>0</v>
      </c>
      <c r="F49" s="32">
        <v>0</v>
      </c>
      <c r="G49" s="32">
        <v>0</v>
      </c>
      <c r="H49" s="8">
        <f>D49+F49+'06-23-22'!H49</f>
        <v>7574.8</v>
      </c>
      <c r="I49" s="8">
        <f>E49+G49+'06-23-22'!I49</f>
        <v>345.59999999999997</v>
      </c>
      <c r="J49" s="8">
        <f t="shared" si="18"/>
        <v>7920.4000000000005</v>
      </c>
      <c r="K49" s="8">
        <f>C49-J49</f>
        <v>2770.95</v>
      </c>
      <c r="L49" s="8">
        <f t="shared" si="17"/>
        <v>2770.9499999999989</v>
      </c>
      <c r="M49" s="68"/>
    </row>
    <row r="50" spans="1:13" s="54" customFormat="1" ht="11.45" hidden="1" customHeight="1" x14ac:dyDescent="0.25">
      <c r="A50" s="18" t="s">
        <v>55</v>
      </c>
      <c r="B50" s="61" t="s">
        <v>56</v>
      </c>
      <c r="C50" s="8">
        <v>1481.58</v>
      </c>
      <c r="D50" s="33"/>
      <c r="E50" s="33"/>
      <c r="F50" s="33"/>
      <c r="G50" s="33"/>
      <c r="H50" s="8">
        <f>D50+F50+'06-23-22'!H50</f>
        <v>0</v>
      </c>
      <c r="I50" s="8">
        <f>E50+G50+'06-23-22'!I50</f>
        <v>0</v>
      </c>
      <c r="J50" s="8">
        <f t="shared" si="18"/>
        <v>0</v>
      </c>
      <c r="K50" s="8">
        <f t="shared" ref="K50" si="21">C50-J50</f>
        <v>1481.58</v>
      </c>
      <c r="L50" s="8">
        <f t="shared" si="17"/>
        <v>1481.58</v>
      </c>
      <c r="M50" s="68"/>
    </row>
    <row r="51" spans="1:13" s="54" customFormat="1" ht="11.45" customHeight="1" x14ac:dyDescent="0.25">
      <c r="A51" s="18" t="s">
        <v>94</v>
      </c>
      <c r="B51" s="61" t="s">
        <v>95</v>
      </c>
      <c r="C51" s="8">
        <f>7700+11500</f>
        <v>19200</v>
      </c>
      <c r="D51" s="32">
        <v>123.69</v>
      </c>
      <c r="E51" s="32">
        <v>1.48</v>
      </c>
      <c r="F51" s="32">
        <v>0</v>
      </c>
      <c r="G51" s="32">
        <v>0</v>
      </c>
      <c r="H51" s="8">
        <f>D51+F51+'06-23-22'!H51</f>
        <v>13022.780000000002</v>
      </c>
      <c r="I51" s="8">
        <f>E51+G51+'06-23-22'!I51</f>
        <v>156.13999999999999</v>
      </c>
      <c r="J51" s="8">
        <f t="shared" si="18"/>
        <v>13178.920000000002</v>
      </c>
      <c r="K51" s="8">
        <f>C51-J51</f>
        <v>6021.0799999999981</v>
      </c>
      <c r="L51" s="8">
        <f t="shared" si="17"/>
        <v>6021.0799999999981</v>
      </c>
      <c r="M51" s="68"/>
    </row>
    <row r="52" spans="1:13" s="54" customFormat="1" ht="11.45" customHeight="1" x14ac:dyDescent="0.2">
      <c r="A52" s="18" t="s">
        <v>6</v>
      </c>
      <c r="B52" s="112" t="s">
        <v>5</v>
      </c>
      <c r="C52" s="8">
        <v>4270.8500000000004</v>
      </c>
      <c r="D52" s="32">
        <v>225</v>
      </c>
      <c r="E52" s="32">
        <v>2.7</v>
      </c>
      <c r="F52" s="32">
        <v>0</v>
      </c>
      <c r="G52" s="32">
        <v>0</v>
      </c>
      <c r="H52" s="8">
        <f>D52+F52+'06-23-22'!H52</f>
        <v>4440.58</v>
      </c>
      <c r="I52" s="8">
        <f>E52+G52+'06-23-22'!I52</f>
        <v>163.78</v>
      </c>
      <c r="J52" s="8">
        <f t="shared" si="18"/>
        <v>4604.3599999999997</v>
      </c>
      <c r="K52" s="85">
        <f>C52-J52</f>
        <v>-333.50999999999931</v>
      </c>
      <c r="L52" s="8">
        <f t="shared" si="17"/>
        <v>-333.50999999999931</v>
      </c>
      <c r="M52" s="88"/>
    </row>
    <row r="53" spans="1:13" s="54" customFormat="1" ht="11.45" customHeight="1" x14ac:dyDescent="0.2">
      <c r="A53" s="18" t="s">
        <v>133</v>
      </c>
      <c r="B53" s="112" t="s">
        <v>5</v>
      </c>
      <c r="C53" s="8">
        <v>3700</v>
      </c>
      <c r="D53" s="32">
        <v>410.2</v>
      </c>
      <c r="E53" s="32">
        <v>4.92</v>
      </c>
      <c r="F53" s="32">
        <v>0</v>
      </c>
      <c r="G53" s="32">
        <v>0</v>
      </c>
      <c r="H53" s="8">
        <f>D53+F53+'06-23-22'!H53</f>
        <v>3365.2</v>
      </c>
      <c r="I53" s="8">
        <f>E53+G53+'06-23-22'!I53</f>
        <v>40.369999999999997</v>
      </c>
      <c r="J53" s="8">
        <f t="shared" si="18"/>
        <v>3405.5699999999997</v>
      </c>
      <c r="K53" s="8">
        <f>C53-J53</f>
        <v>294.43000000000029</v>
      </c>
      <c r="L53" s="8">
        <f t="shared" si="17"/>
        <v>294.43000000000029</v>
      </c>
      <c r="M53" s="88"/>
    </row>
    <row r="54" spans="1:13" s="54" customFormat="1" ht="11.45" hidden="1" customHeight="1" x14ac:dyDescent="0.25">
      <c r="A54" s="18" t="s">
        <v>8</v>
      </c>
      <c r="B54" s="61" t="s">
        <v>7</v>
      </c>
      <c r="C54" s="8">
        <v>0</v>
      </c>
      <c r="D54" s="33"/>
      <c r="E54" s="33"/>
      <c r="F54" s="33"/>
      <c r="G54" s="33"/>
      <c r="H54" s="8">
        <f>D54+F54+'06-23-22'!H54</f>
        <v>0</v>
      </c>
      <c r="I54" s="8">
        <f>E54+G54+'06-23-22'!I54</f>
        <v>0</v>
      </c>
      <c r="J54" s="8">
        <f t="shared" si="18"/>
        <v>0</v>
      </c>
      <c r="K54" s="8">
        <f t="shared" si="19"/>
        <v>0</v>
      </c>
      <c r="L54" s="8">
        <f t="shared" si="17"/>
        <v>0</v>
      </c>
      <c r="M54" s="68"/>
    </row>
    <row r="55" spans="1:13" s="54" customFormat="1" ht="11.45" hidden="1" customHeight="1" x14ac:dyDescent="0.25">
      <c r="A55" s="18" t="s">
        <v>50</v>
      </c>
      <c r="B55" s="61" t="s">
        <v>53</v>
      </c>
      <c r="C55" s="8">
        <v>202.01</v>
      </c>
      <c r="D55" s="33"/>
      <c r="E55" s="33"/>
      <c r="F55" s="33"/>
      <c r="G55" s="33"/>
      <c r="H55" s="8">
        <f>D55+F55+'06-23-22'!H55</f>
        <v>0</v>
      </c>
      <c r="I55" s="8">
        <f>E55+G55+'06-23-22'!I55</f>
        <v>0</v>
      </c>
      <c r="J55" s="8">
        <f t="shared" si="18"/>
        <v>0</v>
      </c>
      <c r="K55" s="8">
        <f t="shared" si="19"/>
        <v>202.01</v>
      </c>
      <c r="L55" s="8">
        <f t="shared" si="17"/>
        <v>202.01</v>
      </c>
      <c r="M55" s="68"/>
    </row>
    <row r="56" spans="1:13" s="54" customFormat="1" ht="11.45" hidden="1" customHeight="1" x14ac:dyDescent="0.25">
      <c r="A56" s="18" t="s">
        <v>51</v>
      </c>
      <c r="B56" s="61" t="s">
        <v>52</v>
      </c>
      <c r="C56" s="8"/>
      <c r="D56" s="33"/>
      <c r="E56" s="33"/>
      <c r="F56" s="33"/>
      <c r="G56" s="33"/>
      <c r="H56" s="8">
        <f>D56+F56+'06-23-22'!H56</f>
        <v>0</v>
      </c>
      <c r="I56" s="8">
        <f>E56+G56+'06-23-22'!I56</f>
        <v>0</v>
      </c>
      <c r="J56" s="8">
        <f t="shared" si="18"/>
        <v>0</v>
      </c>
      <c r="K56" s="8">
        <f t="shared" si="19"/>
        <v>0</v>
      </c>
      <c r="L56" s="8">
        <f t="shared" si="17"/>
        <v>0</v>
      </c>
      <c r="M56" s="68"/>
    </row>
    <row r="57" spans="1:13" s="63" customFormat="1" ht="11.25" hidden="1" customHeight="1" x14ac:dyDescent="0.25">
      <c r="A57" s="18" t="s">
        <v>45</v>
      </c>
      <c r="B57" s="61" t="s">
        <v>46</v>
      </c>
      <c r="C57" s="62">
        <v>3655.06</v>
      </c>
      <c r="D57" s="33"/>
      <c r="E57" s="33"/>
      <c r="F57" s="33"/>
      <c r="G57" s="33"/>
      <c r="H57" s="8">
        <f>D57+F57+'06-23-22'!H57</f>
        <v>0</v>
      </c>
      <c r="I57" s="8">
        <f>E57+G57+'06-23-22'!I57</f>
        <v>0</v>
      </c>
      <c r="J57" s="8">
        <f t="shared" si="18"/>
        <v>0</v>
      </c>
      <c r="K57" s="8">
        <f t="shared" si="19"/>
        <v>3655.06</v>
      </c>
      <c r="L57" s="8">
        <f t="shared" si="17"/>
        <v>3655.06</v>
      </c>
      <c r="M57" s="67"/>
    </row>
    <row r="58" spans="1:13" s="63" customFormat="1" ht="11.25" hidden="1" customHeight="1" x14ac:dyDescent="0.25">
      <c r="A58" s="18" t="s">
        <v>61</v>
      </c>
      <c r="B58" s="61" t="s">
        <v>60</v>
      </c>
      <c r="C58" s="62">
        <v>0</v>
      </c>
      <c r="D58" s="33"/>
      <c r="E58" s="33"/>
      <c r="F58" s="33"/>
      <c r="G58" s="33"/>
      <c r="H58" s="8">
        <f>D58+F58+'06-23-22'!H58</f>
        <v>0</v>
      </c>
      <c r="I58" s="8">
        <f>E58+G58+'06-23-22'!I58</f>
        <v>0</v>
      </c>
      <c r="J58" s="8">
        <f t="shared" si="18"/>
        <v>0</v>
      </c>
      <c r="K58" s="8">
        <f t="shared" si="19"/>
        <v>0</v>
      </c>
      <c r="L58" s="8">
        <f t="shared" si="17"/>
        <v>0</v>
      </c>
      <c r="M58" s="68"/>
    </row>
    <row r="59" spans="1:13" s="63" customFormat="1" ht="11.25" customHeight="1" x14ac:dyDescent="0.25">
      <c r="A59" s="18" t="s">
        <v>67</v>
      </c>
      <c r="B59" s="61" t="s">
        <v>66</v>
      </c>
      <c r="C59" s="62">
        <v>3313.36</v>
      </c>
      <c r="D59" s="32">
        <v>234</v>
      </c>
      <c r="E59" s="32">
        <v>17.55</v>
      </c>
      <c r="F59" s="32">
        <v>0</v>
      </c>
      <c r="G59" s="32">
        <v>0</v>
      </c>
      <c r="H59" s="8">
        <f>D59+F59+'06-23-22'!H59</f>
        <v>1561.3</v>
      </c>
      <c r="I59" s="8">
        <f>E59+G59+'06-23-22'!I59</f>
        <v>99.809999999999988</v>
      </c>
      <c r="J59" s="8">
        <f t="shared" si="18"/>
        <v>1661.11</v>
      </c>
      <c r="K59" s="8">
        <f t="shared" si="19"/>
        <v>1652.2500000000002</v>
      </c>
      <c r="L59" s="8">
        <f t="shared" si="17"/>
        <v>1652.2500000000002</v>
      </c>
      <c r="M59" s="68"/>
    </row>
    <row r="60" spans="1:13" s="63" customFormat="1" ht="11.25" customHeight="1" x14ac:dyDescent="0.25">
      <c r="A60" s="18" t="s">
        <v>68</v>
      </c>
      <c r="B60" s="61" t="s">
        <v>69</v>
      </c>
      <c r="C60" s="62">
        <v>4193.1400000000003</v>
      </c>
      <c r="D60" s="32">
        <v>0</v>
      </c>
      <c r="E60" s="32">
        <v>0</v>
      </c>
      <c r="F60" s="32">
        <v>0</v>
      </c>
      <c r="G60" s="32">
        <v>0</v>
      </c>
      <c r="H60" s="8">
        <f>D60+F60+'06-23-22'!H60</f>
        <v>2.4</v>
      </c>
      <c r="I60" s="8">
        <f>E60+G60+'06-23-22'!I60</f>
        <v>0.02</v>
      </c>
      <c r="J60" s="8">
        <f t="shared" si="18"/>
        <v>2.42</v>
      </c>
      <c r="K60" s="8">
        <f t="shared" si="19"/>
        <v>4190.72</v>
      </c>
      <c r="L60" s="8">
        <f t="shared" si="17"/>
        <v>4190.72</v>
      </c>
      <c r="M60" s="68"/>
    </row>
    <row r="61" spans="1:13" s="63" customFormat="1" ht="11.25" customHeight="1" x14ac:dyDescent="0.2">
      <c r="A61" s="18" t="s">
        <v>162</v>
      </c>
      <c r="B61" s="61" t="s">
        <v>72</v>
      </c>
      <c r="C61" s="62">
        <v>4193.1400000000003</v>
      </c>
      <c r="D61" s="32">
        <v>400</v>
      </c>
      <c r="E61" s="32">
        <v>4.8</v>
      </c>
      <c r="F61" s="32">
        <v>0</v>
      </c>
      <c r="G61" s="32">
        <v>0</v>
      </c>
      <c r="H61" s="8">
        <f>D61+F61+'06-23-22'!H61</f>
        <v>4834</v>
      </c>
      <c r="I61" s="8">
        <f>E61+G61+'06-23-22'!I61</f>
        <v>139.24</v>
      </c>
      <c r="J61" s="8">
        <f t="shared" si="18"/>
        <v>4973.24</v>
      </c>
      <c r="K61" s="85">
        <f t="shared" si="19"/>
        <v>-780.09999999999945</v>
      </c>
      <c r="L61" s="8">
        <f t="shared" si="17"/>
        <v>-780.09999999999945</v>
      </c>
      <c r="M61" s="88"/>
    </row>
    <row r="62" spans="1:13" s="63" customFormat="1" ht="11.25" customHeight="1" x14ac:dyDescent="0.2">
      <c r="A62" s="18" t="s">
        <v>106</v>
      </c>
      <c r="B62" s="61" t="s">
        <v>107</v>
      </c>
      <c r="C62" s="62">
        <f>2600+2600</f>
        <v>5200</v>
      </c>
      <c r="D62" s="32">
        <v>118.4</v>
      </c>
      <c r="E62" s="32">
        <v>8.8800000000000008</v>
      </c>
      <c r="F62" s="32">
        <v>0</v>
      </c>
      <c r="G62" s="32">
        <v>0</v>
      </c>
      <c r="H62" s="8">
        <f>D62+F62+'06-23-22'!H62</f>
        <v>5107.8499999999995</v>
      </c>
      <c r="I62" s="8">
        <f>E62+G62+'06-23-22'!I62</f>
        <v>108.95</v>
      </c>
      <c r="J62" s="8">
        <f t="shared" si="18"/>
        <v>5216.7999999999993</v>
      </c>
      <c r="K62" s="85">
        <f t="shared" si="19"/>
        <v>-16.799999999999272</v>
      </c>
      <c r="L62" s="8">
        <f t="shared" si="17"/>
        <v>-16.799999999999272</v>
      </c>
      <c r="M62" s="88"/>
    </row>
    <row r="63" spans="1:13" s="63" customFormat="1" ht="11.25" customHeight="1" x14ac:dyDescent="0.2">
      <c r="A63" s="18" t="s">
        <v>142</v>
      </c>
      <c r="B63" s="61" t="s">
        <v>143</v>
      </c>
      <c r="C63" s="62">
        <v>3749</v>
      </c>
      <c r="D63" s="32">
        <v>0</v>
      </c>
      <c r="E63" s="32">
        <v>0</v>
      </c>
      <c r="F63" s="32">
        <v>0</v>
      </c>
      <c r="G63" s="32">
        <v>0</v>
      </c>
      <c r="H63" s="8">
        <f>D63+F63+'06-23-22'!H63</f>
        <v>450</v>
      </c>
      <c r="I63" s="8">
        <f>E63+G63+'06-23-22'!I63</f>
        <v>33.72</v>
      </c>
      <c r="J63" s="8">
        <f t="shared" si="18"/>
        <v>483.72</v>
      </c>
      <c r="K63" s="8">
        <f t="shared" si="19"/>
        <v>3265.2799999999997</v>
      </c>
      <c r="L63" s="8">
        <f t="shared" si="17"/>
        <v>3265.2799999999997</v>
      </c>
      <c r="M63" s="88"/>
    </row>
    <row r="64" spans="1:13" ht="21.6" customHeight="1" x14ac:dyDescent="0.25">
      <c r="A64" s="119" t="s">
        <v>88</v>
      </c>
      <c r="B64" s="120"/>
      <c r="C64" s="7">
        <f>SUM(C38:C63)</f>
        <v>112458.97</v>
      </c>
      <c r="D64" s="7">
        <f t="shared" ref="D64:L64" si="22">SUM(D38:D63)</f>
        <v>1727.8500000000001</v>
      </c>
      <c r="E64" s="7">
        <f t="shared" si="22"/>
        <v>42.92</v>
      </c>
      <c r="F64" s="7">
        <f t="shared" si="22"/>
        <v>280</v>
      </c>
      <c r="G64" s="7">
        <f t="shared" si="22"/>
        <v>21</v>
      </c>
      <c r="H64" s="7">
        <f t="shared" si="22"/>
        <v>80649.58</v>
      </c>
      <c r="I64" s="7">
        <f t="shared" si="22"/>
        <v>3284.3325935999987</v>
      </c>
      <c r="J64" s="7">
        <f t="shared" si="22"/>
        <v>83933.91259360002</v>
      </c>
      <c r="K64" s="7">
        <f t="shared" si="22"/>
        <v>28525.057406400003</v>
      </c>
      <c r="L64" s="7">
        <f t="shared" si="22"/>
        <v>28525.057406400003</v>
      </c>
      <c r="M64" s="78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8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4</v>
      </c>
      <c r="B67" s="21" t="s">
        <v>3</v>
      </c>
      <c r="C67" s="8">
        <v>62583</v>
      </c>
      <c r="D67" s="9">
        <v>364.25</v>
      </c>
      <c r="E67" s="9">
        <v>4.37</v>
      </c>
      <c r="F67" s="9">
        <v>0</v>
      </c>
      <c r="G67" s="9">
        <v>0</v>
      </c>
      <c r="H67" s="8">
        <f>D67+F67+'06-23-22'!H67</f>
        <v>31684.1</v>
      </c>
      <c r="I67" s="8">
        <f>E67+G67+'06-23-22'!I67</f>
        <v>449.14</v>
      </c>
      <c r="J67" s="8">
        <f t="shared" ref="J67:J68" si="23">H67+I67</f>
        <v>32133.239999999998</v>
      </c>
      <c r="K67" s="8">
        <f>C67-J67</f>
        <v>30449.760000000002</v>
      </c>
      <c r="L67" s="8">
        <f t="shared" ref="L67:L68" si="24">C67-((J67/26.0714285714285)*26.0714285714285)</f>
        <v>30449.760000000002</v>
      </c>
      <c r="M67" s="67"/>
    </row>
    <row r="68" spans="1:19" s="53" customFormat="1" ht="10.9" customHeight="1" x14ac:dyDescent="0.25">
      <c r="A68" s="17" t="s">
        <v>64</v>
      </c>
      <c r="B68" s="21" t="s">
        <v>63</v>
      </c>
      <c r="C68" s="8">
        <v>0</v>
      </c>
      <c r="D68" s="32">
        <v>0</v>
      </c>
      <c r="E68" s="32">
        <v>0</v>
      </c>
      <c r="F68" s="32">
        <v>0</v>
      </c>
      <c r="G68" s="32">
        <v>0</v>
      </c>
      <c r="H68" s="8">
        <f>D68+F68+'06-23-22'!H68</f>
        <v>0</v>
      </c>
      <c r="I68" s="8">
        <f>E68+G68+'06-23-22'!I68</f>
        <v>0</v>
      </c>
      <c r="J68" s="8">
        <f t="shared" si="23"/>
        <v>0</v>
      </c>
      <c r="K68" s="8">
        <f>C68-J68</f>
        <v>0</v>
      </c>
      <c r="L68" s="8">
        <f t="shared" si="24"/>
        <v>0</v>
      </c>
      <c r="M68" s="67"/>
    </row>
    <row r="69" spans="1:19" ht="21.6" customHeight="1" x14ac:dyDescent="0.25">
      <c r="A69" s="119" t="s">
        <v>150</v>
      </c>
      <c r="B69" s="120"/>
      <c r="C69" s="14">
        <f>C67+C68</f>
        <v>62583</v>
      </c>
      <c r="D69" s="14">
        <f t="shared" ref="D69:L69" si="25">D67+D68</f>
        <v>364.25</v>
      </c>
      <c r="E69" s="14">
        <f t="shared" si="25"/>
        <v>4.37</v>
      </c>
      <c r="F69" s="14">
        <f t="shared" si="25"/>
        <v>0</v>
      </c>
      <c r="G69" s="14">
        <f t="shared" si="25"/>
        <v>0</v>
      </c>
      <c r="H69" s="14">
        <f t="shared" si="25"/>
        <v>31684.1</v>
      </c>
      <c r="I69" s="14">
        <f t="shared" si="25"/>
        <v>449.14</v>
      </c>
      <c r="J69" s="14">
        <f t="shared" si="25"/>
        <v>32133.239999999998</v>
      </c>
      <c r="K69" s="14">
        <f t="shared" si="25"/>
        <v>30449.760000000002</v>
      </c>
      <c r="L69" s="14">
        <f t="shared" si="25"/>
        <v>30449.760000000002</v>
      </c>
    </row>
    <row r="70" spans="1:19" ht="10.9" customHeight="1" x14ac:dyDescent="0.25">
      <c r="A70" s="13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9" ht="10.9" customHeight="1" x14ac:dyDescent="0.25">
      <c r="A71" s="13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9" s="53" customFormat="1" ht="10.9" customHeight="1" x14ac:dyDescent="0.25">
      <c r="A72" s="17" t="s">
        <v>1</v>
      </c>
      <c r="B72" s="21">
        <v>55180000</v>
      </c>
      <c r="C72" s="8">
        <v>37736</v>
      </c>
      <c r="D72" s="32">
        <v>0</v>
      </c>
      <c r="E72" s="32">
        <v>0</v>
      </c>
      <c r="F72" s="32">
        <v>0</v>
      </c>
      <c r="G72" s="32">
        <v>0</v>
      </c>
      <c r="H72" s="8">
        <f>D72+F72+'06-23-22'!H72</f>
        <v>758.14</v>
      </c>
      <c r="I72" s="8">
        <f>E72+G72+'06-23-22'!I72</f>
        <v>30.26</v>
      </c>
      <c r="J72" s="8">
        <f t="shared" ref="J72" si="26">H72+I72</f>
        <v>788.4</v>
      </c>
      <c r="K72" s="8">
        <f>C72-J72</f>
        <v>36947.599999999999</v>
      </c>
      <c r="L72" s="8">
        <f>C72-((J72/26.0714285714285)*26.0714285714285)</f>
        <v>36947.599999999999</v>
      </c>
      <c r="M72" s="67"/>
    </row>
    <row r="73" spans="1:19" s="3" customFormat="1" ht="21.6" customHeight="1" x14ac:dyDescent="0.25">
      <c r="A73" s="119" t="s">
        <v>0</v>
      </c>
      <c r="B73" s="120"/>
      <c r="C73" s="7">
        <f t="shared" ref="C73:L73" si="27">SUM(C72)</f>
        <v>37736</v>
      </c>
      <c r="D73" s="7">
        <f t="shared" si="27"/>
        <v>0</v>
      </c>
      <c r="E73" s="7">
        <f t="shared" si="27"/>
        <v>0</v>
      </c>
      <c r="F73" s="7">
        <f t="shared" si="27"/>
        <v>0</v>
      </c>
      <c r="G73" s="7">
        <f t="shared" si="27"/>
        <v>0</v>
      </c>
      <c r="H73" s="7">
        <f t="shared" si="27"/>
        <v>758.14</v>
      </c>
      <c r="I73" s="7">
        <f t="shared" si="27"/>
        <v>30.26</v>
      </c>
      <c r="J73" s="7">
        <f t="shared" si="27"/>
        <v>788.4</v>
      </c>
      <c r="K73" s="7">
        <f t="shared" si="27"/>
        <v>36947.599999999999</v>
      </c>
      <c r="L73" s="7">
        <f t="shared" si="27"/>
        <v>36947.599999999999</v>
      </c>
      <c r="M73" s="73"/>
    </row>
    <row r="74" spans="1:19" s="3" customFormat="1" ht="11.25" customHeight="1" x14ac:dyDescent="0.25">
      <c r="A74" s="6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19" s="2" customFormat="1" ht="10.5" customHeight="1" x14ac:dyDescent="0.25">
      <c r="A75" s="122" t="s">
        <v>83</v>
      </c>
      <c r="B75" s="122"/>
      <c r="C75" s="122"/>
      <c r="D75" s="122"/>
      <c r="E75" s="122"/>
      <c r="F75" s="122"/>
      <c r="G75" s="89">
        <v>5955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90</v>
      </c>
      <c r="B76" s="122"/>
      <c r="C76" s="122"/>
      <c r="D76" s="122"/>
      <c r="E76" s="122"/>
      <c r="F76" s="122"/>
      <c r="G76" s="89">
        <v>1332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86</v>
      </c>
      <c r="B77" s="122"/>
      <c r="C77" s="122"/>
      <c r="D77" s="122"/>
      <c r="E77" s="122"/>
      <c r="F77" s="122"/>
      <c r="G77" s="89">
        <v>6941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85</v>
      </c>
      <c r="B78" s="122"/>
      <c r="C78" s="122"/>
      <c r="D78" s="122"/>
      <c r="E78" s="122"/>
      <c r="F78" s="122"/>
      <c r="G78" s="89">
        <v>10800</v>
      </c>
      <c r="M78" s="121"/>
      <c r="N78" s="121"/>
      <c r="O78" s="121"/>
      <c r="P78" s="121"/>
      <c r="Q78" s="121"/>
      <c r="R78" s="121"/>
      <c r="S78" s="89"/>
    </row>
    <row r="79" spans="1:19" s="2" customFormat="1" ht="10.5" customHeight="1" x14ac:dyDescent="0.25">
      <c r="A79" s="122" t="s">
        <v>84</v>
      </c>
      <c r="B79" s="122"/>
      <c r="C79" s="122"/>
      <c r="D79" s="122"/>
      <c r="E79" s="122"/>
      <c r="F79" s="122"/>
      <c r="G79" s="89">
        <v>2880</v>
      </c>
      <c r="M79" s="121"/>
      <c r="N79" s="121"/>
      <c r="O79" s="121"/>
      <c r="P79" s="121"/>
      <c r="Q79" s="121"/>
      <c r="R79" s="121"/>
      <c r="S79" s="89"/>
    </row>
    <row r="80" spans="1:19" s="2" customFormat="1" ht="10.5" customHeight="1" x14ac:dyDescent="0.25">
      <c r="A80" s="122" t="s">
        <v>87</v>
      </c>
      <c r="B80" s="122"/>
      <c r="C80" s="122"/>
      <c r="D80" s="122"/>
      <c r="E80" s="122"/>
      <c r="F80" s="122"/>
      <c r="G80" s="89">
        <v>6450</v>
      </c>
      <c r="M80" s="121"/>
      <c r="N80" s="121"/>
      <c r="O80" s="121"/>
      <c r="P80" s="121"/>
      <c r="Q80" s="121"/>
      <c r="R80" s="121"/>
      <c r="S80" s="89"/>
    </row>
    <row r="81" spans="1:19" s="2" customFormat="1" ht="10.5" customHeight="1" x14ac:dyDescent="0.25">
      <c r="A81" s="122" t="s">
        <v>92</v>
      </c>
      <c r="B81" s="122"/>
      <c r="C81" s="122"/>
      <c r="D81" s="122"/>
      <c r="E81" s="122"/>
      <c r="F81" s="122"/>
      <c r="G81" s="89">
        <v>7700</v>
      </c>
      <c r="M81" s="121"/>
      <c r="N81" s="121"/>
      <c r="O81" s="121"/>
      <c r="P81" s="121"/>
      <c r="Q81" s="121"/>
      <c r="R81" s="121"/>
      <c r="S81" s="89"/>
    </row>
    <row r="82" spans="1:19" s="2" customFormat="1" ht="10.5" customHeight="1" x14ac:dyDescent="0.25">
      <c r="A82" s="122" t="s">
        <v>103</v>
      </c>
      <c r="B82" s="122"/>
      <c r="C82" s="122"/>
      <c r="D82" s="122"/>
      <c r="E82" s="122"/>
      <c r="F82" s="122"/>
      <c r="G82" s="89">
        <v>7700</v>
      </c>
      <c r="M82" s="121"/>
      <c r="N82" s="121"/>
      <c r="O82" s="121"/>
      <c r="P82" s="121"/>
      <c r="Q82" s="121"/>
      <c r="R82" s="121"/>
      <c r="S82" s="89"/>
    </row>
    <row r="83" spans="1:19" s="2" customFormat="1" ht="10.5" customHeight="1" x14ac:dyDescent="0.25">
      <c r="A83" s="122" t="s">
        <v>104</v>
      </c>
      <c r="B83" s="122"/>
      <c r="C83" s="122"/>
      <c r="D83" s="122"/>
      <c r="E83" s="122"/>
      <c r="F83" s="122"/>
      <c r="G83" s="89">
        <v>66000</v>
      </c>
      <c r="M83" s="121"/>
      <c r="N83" s="121"/>
      <c r="O83" s="121"/>
      <c r="P83" s="121"/>
      <c r="Q83" s="121"/>
      <c r="R83" s="121"/>
      <c r="S83" s="89"/>
    </row>
    <row r="84" spans="1:19" ht="10.5" customHeight="1" x14ac:dyDescent="0.25">
      <c r="A84" s="122" t="s">
        <v>101</v>
      </c>
      <c r="B84" s="122"/>
      <c r="C84" s="122"/>
      <c r="D84" s="122"/>
      <c r="E84" s="122"/>
      <c r="F84" s="122"/>
      <c r="G84" s="89">
        <v>3194.08</v>
      </c>
      <c r="M84" s="121"/>
      <c r="N84" s="121"/>
      <c r="O84" s="121"/>
      <c r="P84" s="121"/>
      <c r="Q84" s="121"/>
      <c r="R84" s="121"/>
    </row>
    <row r="85" spans="1:19" ht="10.5" customHeight="1" x14ac:dyDescent="0.25">
      <c r="A85" s="122" t="s">
        <v>110</v>
      </c>
      <c r="B85" s="122"/>
      <c r="C85" s="122"/>
      <c r="D85" s="122"/>
      <c r="E85" s="122"/>
      <c r="F85" s="122"/>
      <c r="G85" s="89">
        <v>2600</v>
      </c>
      <c r="M85" s="121"/>
      <c r="N85" s="121"/>
      <c r="O85" s="121"/>
      <c r="P85" s="121"/>
      <c r="Q85" s="121"/>
      <c r="R85" s="121"/>
    </row>
    <row r="86" spans="1:19" ht="10.5" customHeight="1" x14ac:dyDescent="0.25">
      <c r="A86" s="122" t="s">
        <v>111</v>
      </c>
      <c r="B86" s="122"/>
      <c r="C86" s="122"/>
      <c r="D86" s="122"/>
      <c r="E86" s="122"/>
      <c r="F86" s="122"/>
      <c r="G86" s="89">
        <v>5000</v>
      </c>
      <c r="M86" s="121"/>
      <c r="N86" s="121"/>
      <c r="O86" s="121"/>
      <c r="P86" s="121"/>
      <c r="Q86" s="121"/>
      <c r="R86" s="121"/>
    </row>
    <row r="87" spans="1:19" ht="10.5" customHeight="1" x14ac:dyDescent="0.25">
      <c r="A87" s="122" t="s">
        <v>113</v>
      </c>
      <c r="B87" s="122"/>
      <c r="C87" s="122"/>
      <c r="D87" s="122"/>
      <c r="E87" s="122"/>
      <c r="F87" s="122"/>
      <c r="G87" s="89">
        <v>1000</v>
      </c>
      <c r="M87" s="121"/>
      <c r="N87" s="121"/>
      <c r="O87" s="121"/>
      <c r="P87" s="121"/>
      <c r="Q87" s="121"/>
      <c r="R87" s="121"/>
    </row>
    <row r="88" spans="1:19" ht="10.5" customHeight="1" x14ac:dyDescent="0.25">
      <c r="A88" s="122" t="s">
        <v>116</v>
      </c>
      <c r="B88" s="122"/>
      <c r="C88" s="122"/>
      <c r="D88" s="122"/>
      <c r="E88" s="122"/>
      <c r="F88" s="122"/>
      <c r="G88" s="89">
        <v>12000</v>
      </c>
      <c r="M88" s="121"/>
      <c r="N88" s="121"/>
      <c r="O88" s="121"/>
      <c r="P88" s="121"/>
      <c r="Q88" s="121"/>
      <c r="R88" s="121"/>
    </row>
    <row r="89" spans="1:19" ht="10.5" customHeight="1" x14ac:dyDescent="0.25">
      <c r="A89" s="122" t="s">
        <v>123</v>
      </c>
      <c r="B89" s="122"/>
      <c r="C89" s="122"/>
      <c r="D89" s="122"/>
      <c r="E89" s="122"/>
      <c r="F89" s="122"/>
      <c r="G89" s="89">
        <v>900</v>
      </c>
      <c r="M89" s="121"/>
      <c r="N89" s="121"/>
      <c r="O89" s="121"/>
      <c r="P89" s="121"/>
      <c r="Q89" s="121"/>
      <c r="R89" s="121"/>
    </row>
    <row r="90" spans="1:19" ht="10.5" customHeight="1" x14ac:dyDescent="0.25">
      <c r="A90" s="122" t="s">
        <v>138</v>
      </c>
      <c r="B90" s="122"/>
      <c r="C90" s="122"/>
      <c r="D90" s="122"/>
      <c r="E90" s="122"/>
      <c r="F90" s="122"/>
      <c r="G90" s="89">
        <v>11500</v>
      </c>
      <c r="M90" s="121"/>
      <c r="N90" s="121"/>
      <c r="O90" s="121"/>
      <c r="P90" s="121"/>
      <c r="Q90" s="121"/>
      <c r="R90" s="121"/>
    </row>
    <row r="91" spans="1:19" ht="10.5" customHeight="1" x14ac:dyDescent="0.25">
      <c r="A91" s="122" t="s">
        <v>125</v>
      </c>
      <c r="B91" s="122"/>
      <c r="C91" s="122"/>
      <c r="D91" s="122"/>
      <c r="E91" s="122"/>
      <c r="F91" s="122"/>
      <c r="G91" s="89">
        <v>2600</v>
      </c>
      <c r="M91" s="121"/>
      <c r="N91" s="121"/>
      <c r="O91" s="121"/>
      <c r="P91" s="121"/>
      <c r="Q91" s="121"/>
      <c r="R91" s="121"/>
    </row>
    <row r="92" spans="1:19" ht="10.5" customHeight="1" x14ac:dyDescent="0.25">
      <c r="A92" s="122" t="s">
        <v>145</v>
      </c>
      <c r="B92" s="122"/>
      <c r="C92" s="122"/>
      <c r="D92" s="122"/>
      <c r="E92" s="122"/>
      <c r="F92" s="122"/>
      <c r="G92" s="89">
        <v>8957</v>
      </c>
      <c r="M92" s="121"/>
      <c r="N92" s="121"/>
      <c r="O92" s="121"/>
      <c r="P92" s="121"/>
      <c r="Q92" s="121"/>
      <c r="R92" s="121"/>
    </row>
    <row r="93" spans="1:19" ht="10.5" customHeight="1" x14ac:dyDescent="0.25">
      <c r="A93" s="122" t="s">
        <v>137</v>
      </c>
      <c r="B93" s="122"/>
      <c r="C93" s="122"/>
      <c r="D93" s="122"/>
      <c r="E93" s="122"/>
      <c r="F93" s="122"/>
      <c r="G93" s="89">
        <v>441.6</v>
      </c>
      <c r="M93" s="121"/>
      <c r="N93" s="121"/>
      <c r="O93" s="121"/>
      <c r="P93" s="121"/>
      <c r="Q93" s="121"/>
      <c r="R93" s="121"/>
    </row>
    <row r="94" spans="1:19" ht="10.5" customHeight="1" x14ac:dyDescent="0.25">
      <c r="A94" s="122" t="s">
        <v>132</v>
      </c>
      <c r="B94" s="122"/>
      <c r="C94" s="122"/>
      <c r="D94" s="122"/>
      <c r="E94" s="122"/>
      <c r="F94" s="122"/>
      <c r="G94" s="89">
        <v>821.59</v>
      </c>
      <c r="M94" s="121"/>
      <c r="N94" s="121"/>
      <c r="O94" s="121"/>
      <c r="P94" s="121"/>
      <c r="Q94" s="121"/>
      <c r="R94" s="121"/>
    </row>
    <row r="95" spans="1:19" ht="10.5" customHeight="1" x14ac:dyDescent="0.25">
      <c r="A95" s="122" t="s">
        <v>134</v>
      </c>
      <c r="B95" s="122"/>
      <c r="C95" s="122"/>
      <c r="D95" s="122"/>
      <c r="E95" s="122"/>
      <c r="F95" s="122"/>
      <c r="G95" s="89">
        <v>3700</v>
      </c>
      <c r="M95" s="121"/>
      <c r="N95" s="121"/>
      <c r="O95" s="121"/>
      <c r="P95" s="121"/>
      <c r="Q95" s="121"/>
      <c r="R95" s="121"/>
    </row>
    <row r="96" spans="1:19" ht="10.5" customHeight="1" x14ac:dyDescent="0.25">
      <c r="A96" s="122" t="s">
        <v>135</v>
      </c>
      <c r="B96" s="122"/>
      <c r="C96" s="122"/>
      <c r="D96" s="122"/>
      <c r="E96" s="122"/>
      <c r="F96" s="122"/>
      <c r="G96" s="89">
        <v>1500</v>
      </c>
      <c r="M96" s="121"/>
      <c r="N96" s="121"/>
      <c r="O96" s="121"/>
      <c r="P96" s="121"/>
      <c r="Q96" s="121"/>
      <c r="R96" s="121"/>
    </row>
    <row r="97" spans="1:19" ht="10.5" customHeight="1" x14ac:dyDescent="0.25">
      <c r="A97" s="122" t="s">
        <v>139</v>
      </c>
      <c r="B97" s="122"/>
      <c r="C97" s="122"/>
      <c r="D97" s="122"/>
      <c r="E97" s="122"/>
      <c r="F97" s="122"/>
      <c r="G97" s="89">
        <v>-6120.78</v>
      </c>
      <c r="M97" s="121"/>
      <c r="N97" s="121"/>
      <c r="O97" s="121"/>
      <c r="P97" s="121"/>
      <c r="Q97" s="121"/>
      <c r="R97" s="121"/>
    </row>
    <row r="98" spans="1:19" ht="10.5" customHeight="1" x14ac:dyDescent="0.25">
      <c r="A98" s="122" t="s">
        <v>140</v>
      </c>
      <c r="B98" s="122"/>
      <c r="C98" s="122"/>
      <c r="D98" s="122"/>
      <c r="E98" s="122"/>
      <c r="F98" s="122"/>
      <c r="G98" s="89">
        <v>1400</v>
      </c>
      <c r="M98" s="121"/>
      <c r="N98" s="121"/>
      <c r="O98" s="121"/>
      <c r="P98" s="121"/>
      <c r="Q98" s="121"/>
      <c r="R98" s="121"/>
    </row>
    <row r="99" spans="1:19" ht="10.5" customHeight="1" x14ac:dyDescent="0.25">
      <c r="A99" s="122" t="s">
        <v>144</v>
      </c>
      <c r="B99" s="122"/>
      <c r="C99" s="122"/>
      <c r="D99" s="122"/>
      <c r="E99" s="122"/>
      <c r="F99" s="122"/>
      <c r="G99" s="89">
        <v>3749</v>
      </c>
      <c r="M99" s="121"/>
      <c r="N99" s="121"/>
      <c r="O99" s="121"/>
      <c r="P99" s="121"/>
      <c r="Q99" s="121"/>
      <c r="R99" s="121"/>
    </row>
    <row r="100" spans="1:19" ht="10.5" customHeight="1" x14ac:dyDescent="0.25">
      <c r="A100" s="122" t="s">
        <v>152</v>
      </c>
      <c r="B100" s="122"/>
      <c r="C100" s="122"/>
      <c r="D100" s="122"/>
      <c r="E100" s="122"/>
      <c r="F100" s="122"/>
      <c r="G100" s="89">
        <v>1116.23</v>
      </c>
      <c r="M100" s="121"/>
      <c r="N100" s="121"/>
      <c r="O100" s="121"/>
      <c r="P100" s="121"/>
      <c r="Q100" s="121"/>
      <c r="R100" s="121"/>
    </row>
    <row r="101" spans="1:19" ht="10.5" customHeight="1" x14ac:dyDescent="0.25">
      <c r="A101" s="122" t="s">
        <v>152</v>
      </c>
      <c r="B101" s="122"/>
      <c r="C101" s="122"/>
      <c r="D101" s="122"/>
      <c r="E101" s="122"/>
      <c r="F101" s="122"/>
      <c r="G101" s="89">
        <v>1266.24</v>
      </c>
      <c r="M101" s="121"/>
      <c r="N101" s="121"/>
      <c r="O101" s="121"/>
      <c r="P101" s="121"/>
      <c r="Q101" s="121"/>
      <c r="R101" s="121"/>
    </row>
    <row r="102" spans="1:19" s="2" customFormat="1" ht="10.5" customHeight="1" x14ac:dyDescent="0.25">
      <c r="A102" s="122" t="s">
        <v>155</v>
      </c>
      <c r="B102" s="122"/>
      <c r="C102" s="122"/>
      <c r="D102" s="122"/>
      <c r="E102" s="122"/>
      <c r="F102" s="122"/>
      <c r="G102" s="89">
        <v>7700</v>
      </c>
      <c r="M102" s="121"/>
      <c r="N102" s="121"/>
      <c r="O102" s="121"/>
      <c r="P102" s="121"/>
      <c r="Q102" s="121"/>
      <c r="R102" s="121"/>
      <c r="S102" s="89"/>
    </row>
    <row r="103" spans="1:19" s="2" customFormat="1" ht="10.5" customHeight="1" x14ac:dyDescent="0.25">
      <c r="A103" s="122" t="s">
        <v>157</v>
      </c>
      <c r="B103" s="122"/>
      <c r="C103" s="122"/>
      <c r="D103" s="122"/>
      <c r="E103" s="122"/>
      <c r="F103" s="122"/>
      <c r="G103" s="89">
        <v>8680.07</v>
      </c>
      <c r="M103" s="121"/>
      <c r="N103" s="121"/>
      <c r="O103" s="121"/>
      <c r="P103" s="121"/>
      <c r="Q103" s="121"/>
      <c r="R103" s="121"/>
      <c r="S103" s="89"/>
    </row>
    <row r="104" spans="1:19" ht="10.5" customHeight="1" x14ac:dyDescent="0.25">
      <c r="A104" s="122" t="s">
        <v>156</v>
      </c>
      <c r="B104" s="122"/>
      <c r="C104" s="122"/>
      <c r="D104" s="122"/>
      <c r="E104" s="122"/>
      <c r="F104" s="122"/>
      <c r="G104" s="89">
        <v>2208.5</v>
      </c>
      <c r="M104" s="121"/>
      <c r="N104" s="121"/>
      <c r="O104" s="121"/>
      <c r="P104" s="121"/>
      <c r="Q104" s="121"/>
      <c r="R104" s="121"/>
    </row>
    <row r="105" spans="1:19" ht="10.5" customHeight="1" x14ac:dyDescent="0.25">
      <c r="A105" s="122" t="s">
        <v>158</v>
      </c>
      <c r="B105" s="122"/>
      <c r="C105" s="122"/>
      <c r="D105" s="122"/>
      <c r="E105" s="122"/>
      <c r="F105" s="122"/>
      <c r="G105" s="89">
        <v>1000</v>
      </c>
      <c r="M105" s="121"/>
      <c r="N105" s="121"/>
      <c r="O105" s="121"/>
      <c r="P105" s="121"/>
      <c r="Q105" s="121"/>
      <c r="R105" s="121"/>
    </row>
    <row r="106" spans="1:19" ht="10.5" customHeight="1" x14ac:dyDescent="0.25">
      <c r="A106" s="122" t="s">
        <v>158</v>
      </c>
      <c r="B106" s="122"/>
      <c r="C106" s="122"/>
      <c r="D106" s="122"/>
      <c r="E106" s="122"/>
      <c r="F106" s="122"/>
      <c r="G106" s="89">
        <v>821.59</v>
      </c>
      <c r="M106" s="121"/>
      <c r="N106" s="121"/>
      <c r="O106" s="121"/>
      <c r="P106" s="121"/>
      <c r="Q106" s="121"/>
      <c r="R106" s="121"/>
    </row>
    <row r="107" spans="1:19" ht="10.5" customHeight="1" x14ac:dyDescent="0.25">
      <c r="A107" s="122" t="s">
        <v>158</v>
      </c>
      <c r="B107" s="122"/>
      <c r="C107" s="122"/>
      <c r="D107" s="122"/>
      <c r="E107" s="122"/>
      <c r="F107" s="122"/>
      <c r="G107" s="89">
        <v>1500</v>
      </c>
      <c r="M107" s="121"/>
      <c r="N107" s="121"/>
      <c r="O107" s="121"/>
      <c r="P107" s="121"/>
      <c r="Q107" s="121"/>
      <c r="R107" s="121"/>
    </row>
    <row r="108" spans="1:19" ht="10.5" customHeight="1" x14ac:dyDescent="0.25">
      <c r="A108" s="122" t="s">
        <v>158</v>
      </c>
      <c r="B108" s="122"/>
      <c r="C108" s="122"/>
      <c r="D108" s="122"/>
      <c r="E108" s="122"/>
      <c r="F108" s="122"/>
      <c r="G108" s="89">
        <v>1116.23</v>
      </c>
      <c r="M108" s="121"/>
      <c r="N108" s="121"/>
      <c r="O108" s="121"/>
      <c r="P108" s="121"/>
      <c r="Q108" s="121"/>
      <c r="R108" s="121"/>
    </row>
    <row r="109" spans="1:19" ht="10.5" customHeight="1" x14ac:dyDescent="0.25">
      <c r="A109" s="122" t="s">
        <v>158</v>
      </c>
      <c r="B109" s="122"/>
      <c r="C109" s="122"/>
      <c r="D109" s="122"/>
      <c r="E109" s="122"/>
      <c r="F109" s="122"/>
      <c r="G109" s="89">
        <v>1266.24</v>
      </c>
      <c r="M109" s="121"/>
      <c r="N109" s="121"/>
      <c r="O109" s="121"/>
      <c r="P109" s="121"/>
      <c r="Q109" s="121"/>
      <c r="R109" s="121"/>
    </row>
    <row r="110" spans="1:19" ht="10.5" customHeight="1" x14ac:dyDescent="0.25">
      <c r="A110" s="122" t="s">
        <v>161</v>
      </c>
      <c r="B110" s="122"/>
      <c r="C110" s="122"/>
      <c r="D110" s="122"/>
      <c r="E110" s="122"/>
      <c r="F110" s="122"/>
      <c r="G110" s="89">
        <v>1020.82</v>
      </c>
      <c r="M110" s="121"/>
      <c r="N110" s="121"/>
      <c r="O110" s="121"/>
      <c r="P110" s="121"/>
      <c r="Q110" s="121"/>
      <c r="R110" s="121"/>
    </row>
  </sheetData>
  <mergeCells count="80">
    <mergeCell ref="A64:B64"/>
    <mergeCell ref="A7:B7"/>
    <mergeCell ref="A20:B20"/>
    <mergeCell ref="A27:B27"/>
    <mergeCell ref="A32:B32"/>
    <mergeCell ref="A35:B35"/>
    <mergeCell ref="A69:B69"/>
    <mergeCell ref="A73:B73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  <mergeCell ref="A85:F85"/>
    <mergeCell ref="M85:R85"/>
    <mergeCell ref="A86:F86"/>
    <mergeCell ref="M86:R86"/>
    <mergeCell ref="A87:F87"/>
    <mergeCell ref="M87:R87"/>
    <mergeCell ref="A88:F88"/>
    <mergeCell ref="M88:R88"/>
    <mergeCell ref="A89:F89"/>
    <mergeCell ref="M89:R89"/>
    <mergeCell ref="A90:F90"/>
    <mergeCell ref="M90:R90"/>
    <mergeCell ref="A91:F91"/>
    <mergeCell ref="M91:R91"/>
    <mergeCell ref="A92:F92"/>
    <mergeCell ref="M92:R92"/>
    <mergeCell ref="A93:F93"/>
    <mergeCell ref="M93:R93"/>
    <mergeCell ref="A94:F94"/>
    <mergeCell ref="M94:R94"/>
    <mergeCell ref="A95:F95"/>
    <mergeCell ref="M95:R95"/>
    <mergeCell ref="A96:F96"/>
    <mergeCell ref="M96:R96"/>
    <mergeCell ref="A97:F97"/>
    <mergeCell ref="M97:R97"/>
    <mergeCell ref="A98:F98"/>
    <mergeCell ref="M98:R98"/>
    <mergeCell ref="A99:F99"/>
    <mergeCell ref="M99:R99"/>
    <mergeCell ref="A100:F100"/>
    <mergeCell ref="M100:R100"/>
    <mergeCell ref="A101:F101"/>
    <mergeCell ref="M101:R101"/>
    <mergeCell ref="A102:F102"/>
    <mergeCell ref="M102:R102"/>
    <mergeCell ref="A103:F103"/>
    <mergeCell ref="M103:R103"/>
    <mergeCell ref="A104:F104"/>
    <mergeCell ref="M104:R104"/>
    <mergeCell ref="A105:F105"/>
    <mergeCell ref="M105:R105"/>
    <mergeCell ref="A106:F106"/>
    <mergeCell ref="M106:R106"/>
    <mergeCell ref="A110:F110"/>
    <mergeCell ref="M110:R110"/>
    <mergeCell ref="A107:F107"/>
    <mergeCell ref="M107:R107"/>
    <mergeCell ref="A108:F108"/>
    <mergeCell ref="M108:R108"/>
    <mergeCell ref="A109:F109"/>
    <mergeCell ref="M109:R109"/>
  </mergeCells>
  <pageMargins left="0.25" right="0" top="0.4" bottom="0" header="0.3" footer="0"/>
  <pageSetup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EFF7-8677-465C-B3A2-13169AEB427B}">
  <sheetPr>
    <pageSetUpPr fitToPage="1"/>
  </sheetPr>
  <dimension ref="A1:S76"/>
  <sheetViews>
    <sheetView zoomScale="160" zoomScaleNormal="160" workbookViewId="0">
      <pane ySplit="2" topLeftCell="A12" activePane="bottomLeft" state="frozen"/>
      <selection pane="bottomLeft" activeCell="D27" sqref="D27"/>
    </sheetView>
  </sheetViews>
  <sheetFormatPr defaultColWidth="28" defaultRowHeight="15" x14ac:dyDescent="0.25"/>
  <cols>
    <col min="1" max="1" width="35.85546875" style="1" bestFit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97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hidden="1" customHeight="1" x14ac:dyDescent="0.25">
      <c r="A3" s="17" t="s">
        <v>32</v>
      </c>
      <c r="B3" s="21">
        <v>55010300</v>
      </c>
      <c r="C3" s="8">
        <v>0</v>
      </c>
      <c r="D3" s="32">
        <v>0</v>
      </c>
      <c r="E3" s="32">
        <v>0</v>
      </c>
      <c r="F3" s="32">
        <v>0</v>
      </c>
      <c r="G3" s="32">
        <v>0</v>
      </c>
      <c r="H3" s="8">
        <f>D3+F3</f>
        <v>0</v>
      </c>
      <c r="I3" s="8">
        <f>E3+G3</f>
        <v>0</v>
      </c>
      <c r="J3" s="8">
        <f>H3+I3</f>
        <v>0</v>
      </c>
      <c r="K3" s="8">
        <f>C3-J3</f>
        <v>0</v>
      </c>
      <c r="L3" s="8">
        <f>C3-((J3/1)*26.0714285714285)</f>
        <v>0</v>
      </c>
      <c r="M3" s="66"/>
    </row>
    <row r="4" spans="1:13" s="56" customFormat="1" ht="11.25" customHeight="1" x14ac:dyDescent="0.25">
      <c r="A4" s="99" t="s">
        <v>100</v>
      </c>
      <c r="B4" s="95">
        <v>55010000</v>
      </c>
      <c r="C4" s="96">
        <v>66000</v>
      </c>
      <c r="D4" s="97">
        <v>0</v>
      </c>
      <c r="E4" s="97">
        <v>0</v>
      </c>
      <c r="F4" s="97">
        <v>0</v>
      </c>
      <c r="G4" s="97">
        <v>0</v>
      </c>
      <c r="H4" s="96">
        <f>D4+F4</f>
        <v>0</v>
      </c>
      <c r="I4" s="96">
        <f>E4+G4</f>
        <v>0</v>
      </c>
      <c r="J4" s="96">
        <f t="shared" ref="J4:J17" si="0">H4+I4</f>
        <v>0</v>
      </c>
      <c r="K4" s="96">
        <f t="shared" ref="K4:K17" si="1">C4-J4</f>
        <v>66000</v>
      </c>
      <c r="L4" s="96">
        <f>C4-((J4/3)*26.0714285714285)</f>
        <v>66000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D5+F5+'07-22-21'!H4</f>
        <v>0</v>
      </c>
      <c r="I5" s="8">
        <f>E5+G5+'07-22-21'!I4</f>
        <v>0</v>
      </c>
      <c r="J5" s="8">
        <f t="shared" si="0"/>
        <v>0</v>
      </c>
      <c r="K5" s="8">
        <f t="shared" si="1"/>
        <v>2917</v>
      </c>
      <c r="L5" s="8">
        <f>C5-((J5/3)*26.0714285714285)</f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300</v>
      </c>
      <c r="E6" s="8">
        <v>3.59</v>
      </c>
      <c r="F6" s="8">
        <v>0</v>
      </c>
      <c r="G6" s="8">
        <v>0</v>
      </c>
      <c r="H6" s="8">
        <f>D6+F6+'07-22-21'!H5</f>
        <v>750</v>
      </c>
      <c r="I6" s="8">
        <f>E6+G6+'07-22-21'!I5</f>
        <v>8.99</v>
      </c>
      <c r="J6" s="8">
        <f t="shared" si="0"/>
        <v>758.99</v>
      </c>
      <c r="K6" s="8">
        <f t="shared" si="1"/>
        <v>5691.01</v>
      </c>
      <c r="L6" s="8">
        <f t="shared" ref="L6:L17" si="2">C6-((J6/3)*26.0714285714285)</f>
        <v>-145.98452380950584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1044.6300000000001</v>
      </c>
      <c r="E7" s="41">
        <v>12.53</v>
      </c>
      <c r="F7" s="41">
        <v>1500</v>
      </c>
      <c r="G7" s="41">
        <v>112.5</v>
      </c>
      <c r="H7" s="8">
        <f>D7+F7+'07-22-21'!H6</f>
        <v>6378.15</v>
      </c>
      <c r="I7" s="8">
        <f>E7+G7+'07-22-21'!I6</f>
        <v>296.89</v>
      </c>
      <c r="J7" s="8">
        <f t="shared" si="0"/>
        <v>6675.04</v>
      </c>
      <c r="K7" s="8">
        <f t="shared" si="1"/>
        <v>17973.96</v>
      </c>
      <c r="L7" s="8">
        <f t="shared" si="2"/>
        <v>-33360.276190476026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606.97</v>
      </c>
      <c r="E8" s="9">
        <v>7.25</v>
      </c>
      <c r="F8" s="9">
        <v>0</v>
      </c>
      <c r="G8" s="9">
        <v>0</v>
      </c>
      <c r="H8" s="8">
        <f>D8+F8+'07-22-21'!H7</f>
        <v>1897.89</v>
      </c>
      <c r="I8" s="8">
        <f>E8+G8+'07-22-21'!I7</f>
        <v>22.71</v>
      </c>
      <c r="J8" s="8">
        <f t="shared" si="0"/>
        <v>1920.6000000000001</v>
      </c>
      <c r="K8" s="8">
        <f t="shared" si="1"/>
        <v>16053.4</v>
      </c>
      <c r="L8" s="8">
        <f t="shared" si="2"/>
        <v>1283.0714285714748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544.01</v>
      </c>
      <c r="E9" s="9">
        <v>6.52</v>
      </c>
      <c r="F9" s="9">
        <v>324</v>
      </c>
      <c r="G9" s="9">
        <v>24.3</v>
      </c>
      <c r="H9" s="8">
        <f>D9+F9+'07-22-21'!H8</f>
        <v>2547.0699999999997</v>
      </c>
      <c r="I9" s="8">
        <f>E9+G9+'07-22-21'!I8</f>
        <v>101.97</v>
      </c>
      <c r="J9" s="8">
        <f t="shared" si="0"/>
        <v>2649.0399999999995</v>
      </c>
      <c r="K9" s="8">
        <f t="shared" si="1"/>
        <v>15324.960000000001</v>
      </c>
      <c r="L9" s="8">
        <f t="shared" si="2"/>
        <v>-5047.4190476189797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D10+F10+'07-22-21'!H9</f>
        <v>0</v>
      </c>
      <c r="I10" s="8">
        <f>E10+G10+'07-22-21'!I9</f>
        <v>0</v>
      </c>
      <c r="J10" s="8">
        <f t="shared" si="0"/>
        <v>0</v>
      </c>
      <c r="K10" s="8">
        <f t="shared" si="1"/>
        <v>2109</v>
      </c>
      <c r="L10" s="8">
        <f t="shared" si="2"/>
        <v>2109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898.04</v>
      </c>
      <c r="E11" s="9">
        <v>10.76</v>
      </c>
      <c r="F11" s="9">
        <v>321.27</v>
      </c>
      <c r="G11" s="9">
        <v>24.09</v>
      </c>
      <c r="H11" s="8">
        <f>D11+F11+'07-22-21'!H10</f>
        <v>3890.7599999999998</v>
      </c>
      <c r="I11" s="8">
        <f>E11+G11+'07-22-21'!I10</f>
        <v>137.60999999999999</v>
      </c>
      <c r="J11" s="8">
        <f t="shared" si="0"/>
        <v>4028.37</v>
      </c>
      <c r="K11" s="8">
        <f t="shared" si="1"/>
        <v>20301.63</v>
      </c>
      <c r="L11" s="8">
        <f t="shared" si="2"/>
        <v>-10678.453571428472</v>
      </c>
      <c r="M11" s="74"/>
    </row>
    <row r="12" spans="1:13" s="53" customFormat="1" ht="11.25" customHeight="1" x14ac:dyDescent="0.25">
      <c r="A12" s="17" t="s">
        <v>27</v>
      </c>
      <c r="B12" s="21">
        <v>55050200</v>
      </c>
      <c r="C12" s="8">
        <f>34000</f>
        <v>34000</v>
      </c>
      <c r="D12" s="8">
        <v>1125.9000000000001</v>
      </c>
      <c r="E12" s="8">
        <v>13.5</v>
      </c>
      <c r="F12" s="8">
        <v>1121.1300000000001</v>
      </c>
      <c r="G12" s="8">
        <v>84.07</v>
      </c>
      <c r="H12" s="8">
        <f>D12+F12+'07-22-21'!H11</f>
        <v>6435.01</v>
      </c>
      <c r="I12" s="8">
        <f>E12+G12+'07-22-21'!I11</f>
        <v>298.19</v>
      </c>
      <c r="J12" s="8">
        <f t="shared" si="0"/>
        <v>6733.2</v>
      </c>
      <c r="K12" s="8">
        <f t="shared" si="1"/>
        <v>27266.799999999999</v>
      </c>
      <c r="L12" s="8">
        <f t="shared" si="2"/>
        <v>-24514.714285714123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f>-243.76+1861.7</f>
        <v>1617.94</v>
      </c>
      <c r="E13" s="8">
        <f>-2.93+22.33</f>
        <v>19.399999999999999</v>
      </c>
      <c r="F13" s="8">
        <v>0</v>
      </c>
      <c r="G13" s="8">
        <v>0</v>
      </c>
      <c r="H13" s="8">
        <f>D13+F13+'07-22-21'!H12</f>
        <v>4132.82</v>
      </c>
      <c r="I13" s="8">
        <f>E13+G13+'07-22-21'!I12</f>
        <v>51.85</v>
      </c>
      <c r="J13" s="8">
        <f t="shared" si="0"/>
        <v>4184.67</v>
      </c>
      <c r="K13" s="8">
        <f t="shared" si="1"/>
        <v>38556.33</v>
      </c>
      <c r="L13" s="8">
        <f t="shared" si="2"/>
        <v>6374.2250000001004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560.4</v>
      </c>
      <c r="E14" s="9">
        <v>6.71</v>
      </c>
      <c r="F14" s="9">
        <v>0</v>
      </c>
      <c r="G14" s="9">
        <v>0</v>
      </c>
      <c r="H14" s="8">
        <f>D14+F14+'07-22-21'!H13</f>
        <v>1147.05</v>
      </c>
      <c r="I14" s="8">
        <f>E14+G14+'07-22-21'!I13</f>
        <v>13.74</v>
      </c>
      <c r="J14" s="8">
        <f t="shared" si="0"/>
        <v>1160.79</v>
      </c>
      <c r="K14" s="8">
        <f t="shared" si="1"/>
        <v>23012.21</v>
      </c>
      <c r="L14" s="8">
        <f t="shared" si="2"/>
        <v>14085.182142857171</v>
      </c>
      <c r="M14" s="74"/>
    </row>
    <row r="15" spans="1:13" s="55" customFormat="1" ht="10.9" customHeight="1" x14ac:dyDescent="0.25">
      <c r="A15" s="79" t="s">
        <v>76</v>
      </c>
      <c r="B15" s="80">
        <v>55110100</v>
      </c>
      <c r="C15" s="33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D15+F15+'07-22-21'!H14</f>
        <v>0</v>
      </c>
      <c r="I15" s="8">
        <f>E15+G15+'07-22-21'!I14</f>
        <v>0</v>
      </c>
      <c r="J15" s="8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72.8</v>
      </c>
      <c r="E16" s="9">
        <v>0.86</v>
      </c>
      <c r="F16" s="9">
        <v>0</v>
      </c>
      <c r="G16" s="9">
        <v>0</v>
      </c>
      <c r="H16" s="8">
        <f>D16+F16+'07-22-21'!H15</f>
        <v>422.78000000000003</v>
      </c>
      <c r="I16" s="8">
        <f>E16+G16+'07-22-21'!I15</f>
        <v>14.02</v>
      </c>
      <c r="J16" s="8">
        <f t="shared" si="0"/>
        <v>436.8</v>
      </c>
      <c r="K16" s="8">
        <f t="shared" si="1"/>
        <v>5563.2</v>
      </c>
      <c r="L16" s="8">
        <f t="shared" si="2"/>
        <v>2204.0000000000109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f>252+600</f>
        <v>852</v>
      </c>
      <c r="E17" s="9">
        <f>3.02+7.2</f>
        <v>10.220000000000001</v>
      </c>
      <c r="F17" s="9">
        <v>0</v>
      </c>
      <c r="G17" s="9">
        <v>0</v>
      </c>
      <c r="H17" s="8">
        <f>D17+F17+'07-22-21'!H16</f>
        <v>1452</v>
      </c>
      <c r="I17" s="8">
        <f>E17+G17+'07-22-21'!I16</f>
        <v>17.420000000000002</v>
      </c>
      <c r="J17" s="8">
        <f t="shared" si="0"/>
        <v>1469.42</v>
      </c>
      <c r="K17" s="8">
        <f t="shared" si="1"/>
        <v>9330.58</v>
      </c>
      <c r="L17" s="8">
        <f t="shared" si="2"/>
        <v>-1969.959523809488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284872</v>
      </c>
      <c r="D18" s="7">
        <f t="shared" ref="D18:L18" si="4">SUM(D3:D17)</f>
        <v>7622.69</v>
      </c>
      <c r="E18" s="7">
        <f t="shared" si="4"/>
        <v>91.339999999999989</v>
      </c>
      <c r="F18" s="7">
        <f t="shared" si="4"/>
        <v>3266.4</v>
      </c>
      <c r="G18" s="7">
        <f t="shared" si="4"/>
        <v>244.96</v>
      </c>
      <c r="H18" s="7">
        <f t="shared" si="4"/>
        <v>29053.529999999995</v>
      </c>
      <c r="I18" s="7">
        <f t="shared" si="4"/>
        <v>963.38999999999987</v>
      </c>
      <c r="J18" s="35">
        <f t="shared" si="4"/>
        <v>30016.92</v>
      </c>
      <c r="K18" s="35">
        <f t="shared" si="4"/>
        <v>265655.07999999996</v>
      </c>
      <c r="L18" s="7">
        <f t="shared" si="4"/>
        <v>34810.671428572168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D22+F22+'07-22-21'!H21</f>
        <v>0</v>
      </c>
      <c r="I22" s="8">
        <f>E22+G22+'07-22-21'!I21</f>
        <v>0</v>
      </c>
      <c r="J22" s="8">
        <f t="shared" si="6"/>
        <v>0</v>
      </c>
      <c r="K22" s="8">
        <f t="shared" ref="K22:K23" si="8">C22-J22</f>
        <v>13953</v>
      </c>
      <c r="L22" s="8">
        <f t="shared" ref="L22:L23" si="9">C22-((J22/3)*26.0714285714285)</f>
        <v>13953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D23+F23+'07-22-21'!H22</f>
        <v>0</v>
      </c>
      <c r="I23" s="8">
        <f>E23+G23+'07-22-21'!I22</f>
        <v>0</v>
      </c>
      <c r="J23" s="8">
        <f t="shared" si="6"/>
        <v>0</v>
      </c>
      <c r="K23" s="8">
        <f t="shared" si="8"/>
        <v>2026</v>
      </c>
      <c r="L23" s="8">
        <f t="shared" si="9"/>
        <v>2026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0</v>
      </c>
      <c r="E24" s="7">
        <f t="shared" si="10"/>
        <v>0</v>
      </c>
      <c r="F24" s="7">
        <f t="shared" si="10"/>
        <v>0</v>
      </c>
      <c r="G24" s="7">
        <f t="shared" si="10"/>
        <v>0</v>
      </c>
      <c r="H24" s="8">
        <f>D24+F24+'07-22-21'!H23</f>
        <v>0</v>
      </c>
      <c r="I24" s="8">
        <f>E24+G24+'07-22-21'!I23</f>
        <v>0</v>
      </c>
      <c r="J24" s="35">
        <f t="shared" si="10"/>
        <v>0</v>
      </c>
      <c r="K24" s="7">
        <f t="shared" si="10"/>
        <v>15979</v>
      </c>
      <c r="L24" s="7">
        <f t="shared" si="10"/>
        <v>15979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390</v>
      </c>
      <c r="E27" s="9">
        <v>4.67</v>
      </c>
      <c r="F27" s="9">
        <v>300</v>
      </c>
      <c r="G27" s="9">
        <v>22.5</v>
      </c>
      <c r="H27" s="8">
        <f>D27+F27+'07-22-21'!H26</f>
        <v>1566</v>
      </c>
      <c r="I27" s="8">
        <f>E27+G27+'07-22-21'!I26</f>
        <v>63.570000000000007</v>
      </c>
      <c r="J27" s="8">
        <f t="shared" ref="J27:J28" si="11">H27+I27</f>
        <v>1629.57</v>
      </c>
      <c r="K27" s="8">
        <f>C27-J27</f>
        <v>23370.43</v>
      </c>
      <c r="L27" s="8">
        <f>C27-((J27/3)*26.0714285714285)</f>
        <v>10838.260714285756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390</v>
      </c>
      <c r="E29" s="31">
        <f t="shared" si="14"/>
        <v>4.67</v>
      </c>
      <c r="F29" s="31">
        <f t="shared" si="14"/>
        <v>300</v>
      </c>
      <c r="G29" s="31">
        <f t="shared" si="14"/>
        <v>22.5</v>
      </c>
      <c r="H29" s="31">
        <f t="shared" si="14"/>
        <v>1566</v>
      </c>
      <c r="I29" s="31">
        <f t="shared" si="14"/>
        <v>63.570000000000007</v>
      </c>
      <c r="J29" s="31">
        <f t="shared" si="14"/>
        <v>1629.57</v>
      </c>
      <c r="K29" s="31">
        <f t="shared" si="14"/>
        <v>23370.43</v>
      </c>
      <c r="L29" s="31">
        <f t="shared" si="14"/>
        <v>10838.260714285756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325851</v>
      </c>
      <c r="D32" s="24">
        <f t="shared" si="15"/>
        <v>8012.69</v>
      </c>
      <c r="E32" s="24">
        <f t="shared" si="15"/>
        <v>96.009999999999991</v>
      </c>
      <c r="F32" s="24">
        <f t="shared" si="15"/>
        <v>3566.4</v>
      </c>
      <c r="G32" s="24">
        <f t="shared" si="15"/>
        <v>267.46000000000004</v>
      </c>
      <c r="H32" s="24">
        <f t="shared" si="15"/>
        <v>30619.529999999995</v>
      </c>
      <c r="I32" s="24">
        <f t="shared" si="15"/>
        <v>1026.9599999999998</v>
      </c>
      <c r="J32" s="24">
        <f t="shared" si="15"/>
        <v>31646.489999999998</v>
      </c>
      <c r="K32" s="24">
        <f t="shared" si="15"/>
        <v>305004.50999999995</v>
      </c>
      <c r="L32" s="24">
        <f t="shared" si="15"/>
        <v>61627.932142857928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9">
        <v>200</v>
      </c>
      <c r="E35" s="9">
        <v>2.4</v>
      </c>
      <c r="F35" s="9">
        <v>0</v>
      </c>
      <c r="G35" s="9">
        <v>0</v>
      </c>
      <c r="H35" s="8">
        <f>D35+F35+'07-22-21'!H34</f>
        <v>622.6</v>
      </c>
      <c r="I35" s="8">
        <f>E35+G35+'07-22-21'!I34</f>
        <v>13.9236</v>
      </c>
      <c r="J35" s="8">
        <f>H35+I35</f>
        <v>636.52359999999999</v>
      </c>
      <c r="K35" s="8">
        <f>C35-J35</f>
        <v>2557.5563999999999</v>
      </c>
      <c r="L35" s="8">
        <f t="shared" ref="L35:L55" si="16">C35-((J35/3)*26.0714285714285)</f>
        <v>-2337.6131904761751</v>
      </c>
      <c r="M35" s="76"/>
    </row>
    <row r="36" spans="1:13" s="59" customFormat="1" ht="11.25" hidden="1" customHeight="1" x14ac:dyDescent="0.25">
      <c r="A36" s="22" t="s">
        <v>13</v>
      </c>
      <c r="B36" s="19" t="s">
        <v>12</v>
      </c>
      <c r="C36" s="83"/>
      <c r="D36" s="9"/>
      <c r="E36" s="9"/>
      <c r="F36" s="9"/>
      <c r="G36" s="9"/>
      <c r="H36" s="8">
        <f>D36+F36+'07-22-21'!H35</f>
        <v>0</v>
      </c>
      <c r="I36" s="8">
        <f>E36+G36+'07-22-21'!I35</f>
        <v>0</v>
      </c>
      <c r="J36" s="8">
        <f t="shared" ref="J36:J55" si="17">H36+I36</f>
        <v>0</v>
      </c>
      <c r="K36" s="8">
        <f t="shared" ref="K36:K50" si="18">C36-J36</f>
        <v>0</v>
      </c>
      <c r="L36" s="8">
        <f t="shared" si="16"/>
        <v>0</v>
      </c>
      <c r="M36" s="71"/>
    </row>
    <row r="37" spans="1:13" s="60" customFormat="1" ht="11.25" hidden="1" customHeight="1" x14ac:dyDescent="0.25">
      <c r="A37" s="20" t="s">
        <v>11</v>
      </c>
      <c r="B37" s="21" t="s">
        <v>10</v>
      </c>
      <c r="C37" s="8">
        <v>0</v>
      </c>
      <c r="D37" s="32"/>
      <c r="E37" s="32"/>
      <c r="F37" s="32"/>
      <c r="G37" s="32"/>
      <c r="H37" s="8">
        <f>D37+F37+'07-22-21'!H36</f>
        <v>0</v>
      </c>
      <c r="I37" s="8">
        <f>E37+G37+'07-22-21'!I36</f>
        <v>0</v>
      </c>
      <c r="J37" s="8">
        <f t="shared" si="17"/>
        <v>0</v>
      </c>
      <c r="K37" s="8">
        <f t="shared" si="18"/>
        <v>0</v>
      </c>
      <c r="L37" s="8">
        <f t="shared" si="16"/>
        <v>0</v>
      </c>
      <c r="M37" s="72"/>
    </row>
    <row r="38" spans="1:13" s="60" customFormat="1" ht="11.25" hidden="1" customHeight="1" x14ac:dyDescent="0.25">
      <c r="A38" s="86" t="s">
        <v>71</v>
      </c>
      <c r="B38" s="77" t="s">
        <v>9</v>
      </c>
      <c r="C38" s="82"/>
      <c r="D38" s="8">
        <v>0</v>
      </c>
      <c r="E38" s="8">
        <v>0</v>
      </c>
      <c r="F38" s="8">
        <v>0</v>
      </c>
      <c r="G38" s="8">
        <v>0</v>
      </c>
      <c r="H38" s="8">
        <f>D38+F38+'07-22-21'!H37</f>
        <v>36.659999999999997</v>
      </c>
      <c r="I38" s="8">
        <f>E38+G38+'07-22-21'!I37</f>
        <v>0.43899359999999998</v>
      </c>
      <c r="J38" s="9">
        <f t="shared" si="17"/>
        <v>37.0989936</v>
      </c>
      <c r="K38" s="100">
        <f t="shared" si="18"/>
        <v>-37.0989936</v>
      </c>
      <c r="L38" s="8">
        <f t="shared" si="16"/>
        <v>-322.40792057142767</v>
      </c>
      <c r="M38" s="68"/>
    </row>
    <row r="39" spans="1:13" s="60" customFormat="1" ht="11.25" hidden="1" customHeight="1" x14ac:dyDescent="0.25">
      <c r="A39" s="18" t="s">
        <v>62</v>
      </c>
      <c r="B39" s="61" t="s">
        <v>54</v>
      </c>
      <c r="C39" s="8">
        <v>356.53</v>
      </c>
      <c r="D39" s="32"/>
      <c r="E39" s="32"/>
      <c r="F39" s="32"/>
      <c r="G39" s="32"/>
      <c r="H39" s="8">
        <f>D39+F39+'07-22-21'!H38</f>
        <v>0</v>
      </c>
      <c r="I39" s="8">
        <f>E39+G39+'07-22-21'!I38</f>
        <v>0</v>
      </c>
      <c r="J39" s="8">
        <f t="shared" si="17"/>
        <v>0</v>
      </c>
      <c r="K39" s="8">
        <f t="shared" si="18"/>
        <v>356.53</v>
      </c>
      <c r="L39" s="8">
        <f t="shared" si="16"/>
        <v>356.53</v>
      </c>
      <c r="M39" s="75"/>
    </row>
    <row r="40" spans="1:13" s="60" customFormat="1" ht="11.45" hidden="1" customHeight="1" x14ac:dyDescent="0.25">
      <c r="A40" s="18" t="s">
        <v>58</v>
      </c>
      <c r="B40" s="61" t="s">
        <v>57</v>
      </c>
      <c r="C40" s="8">
        <v>554.22</v>
      </c>
      <c r="D40" s="32"/>
      <c r="E40" s="32"/>
      <c r="F40" s="32"/>
      <c r="G40" s="32"/>
      <c r="H40" s="8">
        <f>D40+F40+'07-22-21'!H39</f>
        <v>0</v>
      </c>
      <c r="I40" s="8">
        <f>E40+G40+'07-22-21'!I39</f>
        <v>0</v>
      </c>
      <c r="J40" s="8">
        <f t="shared" si="17"/>
        <v>0</v>
      </c>
      <c r="K40" s="8">
        <f>C40-J40</f>
        <v>554.22</v>
      </c>
      <c r="L40" s="8">
        <f t="shared" si="16"/>
        <v>554.22</v>
      </c>
      <c r="M40" s="72"/>
    </row>
    <row r="41" spans="1:13" s="54" customFormat="1" ht="11.45" customHeight="1" x14ac:dyDescent="0.2">
      <c r="A41" s="18" t="s">
        <v>48</v>
      </c>
      <c r="B41" s="61" t="s">
        <v>49</v>
      </c>
      <c r="C41" s="8">
        <v>6710</v>
      </c>
      <c r="D41" s="33">
        <v>216.75</v>
      </c>
      <c r="E41" s="33">
        <v>2.59</v>
      </c>
      <c r="F41" s="33">
        <v>0</v>
      </c>
      <c r="G41" s="33">
        <v>0</v>
      </c>
      <c r="H41" s="8">
        <f>D41+F41+'07-22-21'!H40</f>
        <v>369.75</v>
      </c>
      <c r="I41" s="8">
        <f>E41+G41+'07-22-21'!I40</f>
        <v>4.42</v>
      </c>
      <c r="J41" s="8">
        <f t="shared" si="17"/>
        <v>374.17</v>
      </c>
      <c r="K41" s="8">
        <f>C41-J41</f>
        <v>6335.83</v>
      </c>
      <c r="L41" s="8">
        <f t="shared" si="16"/>
        <v>3458.2845238095329</v>
      </c>
      <c r="M41" s="88"/>
    </row>
    <row r="42" spans="1:13" s="60" customFormat="1" ht="11.25" customHeight="1" x14ac:dyDescent="0.2">
      <c r="A42" s="18" t="s">
        <v>81</v>
      </c>
      <c r="B42" s="21" t="s">
        <v>82</v>
      </c>
      <c r="C42" s="8">
        <f>2880</f>
        <v>2880</v>
      </c>
      <c r="D42" s="32">
        <v>730.36</v>
      </c>
      <c r="E42" s="32">
        <v>8.76</v>
      </c>
      <c r="F42" s="32">
        <v>0</v>
      </c>
      <c r="G42" s="32">
        <v>0</v>
      </c>
      <c r="H42" s="8">
        <f>D42+F42+'07-22-21'!H41</f>
        <v>1979.04</v>
      </c>
      <c r="I42" s="8">
        <f>E42+G42+'07-22-21'!I41</f>
        <v>23.75</v>
      </c>
      <c r="J42" s="9">
        <f t="shared" si="17"/>
        <v>2002.79</v>
      </c>
      <c r="K42" s="92">
        <f t="shared" ref="K42:K43" si="19">C42-J42</f>
        <v>877.21</v>
      </c>
      <c r="L42" s="8">
        <f t="shared" si="16"/>
        <v>-14525.198809523761</v>
      </c>
      <c r="M42" s="88"/>
    </row>
    <row r="43" spans="1:13" s="60" customFormat="1" ht="11.25" customHeight="1" x14ac:dyDescent="0.2">
      <c r="A43" s="18" t="s">
        <v>89</v>
      </c>
      <c r="B43" s="21">
        <v>55110100</v>
      </c>
      <c r="C43" s="8">
        <v>1332</v>
      </c>
      <c r="D43" s="32">
        <v>0</v>
      </c>
      <c r="E43" s="32">
        <v>0</v>
      </c>
      <c r="F43" s="32">
        <v>0</v>
      </c>
      <c r="G43" s="32">
        <v>0</v>
      </c>
      <c r="H43" s="8">
        <f>D43+F43+'07-22-21'!H42</f>
        <v>0</v>
      </c>
      <c r="I43" s="8">
        <f>E43+G43+'07-22-21'!I42</f>
        <v>0</v>
      </c>
      <c r="J43" s="9">
        <f t="shared" si="17"/>
        <v>0</v>
      </c>
      <c r="K43" s="92">
        <f t="shared" si="19"/>
        <v>1332</v>
      </c>
      <c r="L43" s="8">
        <f t="shared" si="16"/>
        <v>1332</v>
      </c>
      <c r="M43" s="88"/>
    </row>
    <row r="44" spans="1:13" s="54" customFormat="1" ht="11.45" customHeight="1" x14ac:dyDescent="0.25">
      <c r="A44" s="18" t="s">
        <v>93</v>
      </c>
      <c r="B44" s="61" t="s">
        <v>47</v>
      </c>
      <c r="C44" s="8">
        <f>1734.35+7700-7700</f>
        <v>1734.3500000000004</v>
      </c>
      <c r="D44" s="62">
        <v>30</v>
      </c>
      <c r="E44" s="62">
        <v>0.36</v>
      </c>
      <c r="F44" s="62">
        <v>0</v>
      </c>
      <c r="G44" s="62">
        <v>0</v>
      </c>
      <c r="H44" s="8">
        <f>D44+F44+'07-22-21'!H43</f>
        <v>102</v>
      </c>
      <c r="I44" s="8">
        <f>E44+G44+'07-22-21'!I43</f>
        <v>1.22</v>
      </c>
      <c r="J44" s="8">
        <f t="shared" si="17"/>
        <v>103.22</v>
      </c>
      <c r="K44" s="8">
        <f>C44-J44</f>
        <v>1631.1300000000003</v>
      </c>
      <c r="L44" s="8">
        <f t="shared" si="16"/>
        <v>837.31904761905048</v>
      </c>
      <c r="M44" s="68"/>
    </row>
    <row r="45" spans="1:13" s="54" customFormat="1" ht="11.45" hidden="1" customHeight="1" x14ac:dyDescent="0.25">
      <c r="A45" s="18" t="s">
        <v>55</v>
      </c>
      <c r="B45" s="61" t="s">
        <v>56</v>
      </c>
      <c r="C45" s="8">
        <v>1481.58</v>
      </c>
      <c r="D45" s="33"/>
      <c r="E45" s="33"/>
      <c r="F45" s="33"/>
      <c r="G45" s="33"/>
      <c r="H45" s="8">
        <f>D45+F45+'07-08-21'!H44</f>
        <v>0</v>
      </c>
      <c r="I45" s="8">
        <f>E45+G45+'07-08-21'!I44</f>
        <v>0</v>
      </c>
      <c r="J45" s="8">
        <f t="shared" si="17"/>
        <v>0</v>
      </c>
      <c r="K45" s="8">
        <f t="shared" ref="K45" si="20">C45-J45</f>
        <v>1481.58</v>
      </c>
      <c r="L45" s="8">
        <f t="shared" si="16"/>
        <v>1481.58</v>
      </c>
      <c r="M45" s="68"/>
    </row>
    <row r="46" spans="1:13" s="54" customFormat="1" ht="11.45" customHeight="1" x14ac:dyDescent="0.25">
      <c r="A46" s="18" t="s">
        <v>94</v>
      </c>
      <c r="B46" s="61" t="s">
        <v>95</v>
      </c>
      <c r="C46" s="8">
        <v>7700</v>
      </c>
      <c r="D46" s="33">
        <v>0</v>
      </c>
      <c r="E46" s="33">
        <v>0</v>
      </c>
      <c r="F46" s="33">
        <v>0</v>
      </c>
      <c r="G46" s="33">
        <v>0</v>
      </c>
      <c r="H46" s="8">
        <f>D46+F46+'07-22-21'!H45</f>
        <v>0</v>
      </c>
      <c r="I46" s="8">
        <f>E46+G46+'07-22-21'!I45</f>
        <v>0</v>
      </c>
      <c r="J46" s="8">
        <f t="shared" si="17"/>
        <v>0</v>
      </c>
      <c r="K46" s="8">
        <f>C46-J46</f>
        <v>7700</v>
      </c>
      <c r="L46" s="8">
        <f t="shared" si="16"/>
        <v>7700</v>
      </c>
      <c r="M46" s="68"/>
    </row>
    <row r="47" spans="1:13" s="54" customFormat="1" ht="11.45" customHeight="1" x14ac:dyDescent="0.2">
      <c r="A47" s="18" t="s">
        <v>6</v>
      </c>
      <c r="B47" s="61" t="s">
        <v>5</v>
      </c>
      <c r="C47" s="8">
        <v>4270.8500000000004</v>
      </c>
      <c r="D47" s="33">
        <v>0</v>
      </c>
      <c r="E47" s="33">
        <v>0</v>
      </c>
      <c r="F47" s="33">
        <v>500</v>
      </c>
      <c r="G47" s="33">
        <v>37.5</v>
      </c>
      <c r="H47" s="8">
        <f>D47+F47+'07-22-21'!H46</f>
        <v>1754.38</v>
      </c>
      <c r="I47" s="8">
        <f>E47+G47+'07-22-21'!I46</f>
        <v>131.57</v>
      </c>
      <c r="J47" s="8">
        <f t="shared" si="17"/>
        <v>1885.95</v>
      </c>
      <c r="K47" s="8">
        <f>C47-J47</f>
        <v>2384.9000000000005</v>
      </c>
      <c r="L47" s="8">
        <f t="shared" si="16"/>
        <v>-12118.953571428525</v>
      </c>
      <c r="M47" s="88"/>
    </row>
    <row r="48" spans="1:13" s="54" customFormat="1" ht="11.45" hidden="1" customHeight="1" x14ac:dyDescent="0.25">
      <c r="A48" s="18" t="s">
        <v>8</v>
      </c>
      <c r="B48" s="61" t="s">
        <v>7</v>
      </c>
      <c r="C48" s="8">
        <v>0</v>
      </c>
      <c r="D48" s="33"/>
      <c r="E48" s="33"/>
      <c r="F48" s="33"/>
      <c r="G48" s="33"/>
      <c r="H48" s="8">
        <f>D48+F48+'07-22-21'!H47</f>
        <v>0</v>
      </c>
      <c r="I48" s="8">
        <f>E48+G48+'07-22-21'!I47</f>
        <v>0</v>
      </c>
      <c r="J48" s="8">
        <f t="shared" si="17"/>
        <v>0</v>
      </c>
      <c r="K48" s="8">
        <f t="shared" si="18"/>
        <v>0</v>
      </c>
      <c r="L48" s="8">
        <f t="shared" si="16"/>
        <v>0</v>
      </c>
      <c r="M48" s="68"/>
    </row>
    <row r="49" spans="1:13" s="54" customFormat="1" ht="11.45" hidden="1" customHeight="1" x14ac:dyDescent="0.25">
      <c r="A49" s="18" t="s">
        <v>50</v>
      </c>
      <c r="B49" s="61" t="s">
        <v>53</v>
      </c>
      <c r="C49" s="8">
        <v>202.01</v>
      </c>
      <c r="D49" s="33"/>
      <c r="E49" s="33"/>
      <c r="F49" s="33"/>
      <c r="G49" s="33"/>
      <c r="H49" s="8">
        <f>D49+F49+'07-22-21'!H48</f>
        <v>0</v>
      </c>
      <c r="I49" s="8">
        <f>E49+G49+'07-22-21'!I48</f>
        <v>0</v>
      </c>
      <c r="J49" s="8">
        <f t="shared" si="17"/>
        <v>0</v>
      </c>
      <c r="K49" s="8">
        <f t="shared" si="18"/>
        <v>202.01</v>
      </c>
      <c r="L49" s="8">
        <f t="shared" si="16"/>
        <v>202.01</v>
      </c>
      <c r="M49" s="68"/>
    </row>
    <row r="50" spans="1:13" s="54" customFormat="1" ht="11.45" hidden="1" customHeight="1" x14ac:dyDescent="0.25">
      <c r="A50" s="18" t="s">
        <v>51</v>
      </c>
      <c r="B50" s="61" t="s">
        <v>52</v>
      </c>
      <c r="C50" s="8"/>
      <c r="D50" s="33"/>
      <c r="E50" s="33"/>
      <c r="F50" s="33"/>
      <c r="G50" s="33"/>
      <c r="H50" s="8">
        <f>D50+F50+'07-22-21'!H49</f>
        <v>0</v>
      </c>
      <c r="I50" s="8">
        <f>E50+G50+'07-22-21'!I49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63" customFormat="1" ht="11.25" hidden="1" customHeight="1" x14ac:dyDescent="0.25">
      <c r="A51" s="18" t="s">
        <v>45</v>
      </c>
      <c r="B51" s="61" t="s">
        <v>46</v>
      </c>
      <c r="C51" s="62">
        <v>3655.06</v>
      </c>
      <c r="D51" s="33"/>
      <c r="E51" s="33"/>
      <c r="F51" s="33"/>
      <c r="G51" s="33"/>
      <c r="H51" s="8">
        <f>D51+F51+'07-22-21'!H50</f>
        <v>0</v>
      </c>
      <c r="I51" s="8">
        <f>E51+G51+'07-22-21'!I50</f>
        <v>0</v>
      </c>
      <c r="J51" s="8">
        <f t="shared" si="17"/>
        <v>0</v>
      </c>
      <c r="K51" s="8">
        <f>C51-J51</f>
        <v>3655.06</v>
      </c>
      <c r="L51" s="8">
        <f t="shared" si="16"/>
        <v>3655.06</v>
      </c>
      <c r="M51" s="67"/>
    </row>
    <row r="52" spans="1:13" s="63" customFormat="1" ht="11.25" hidden="1" customHeight="1" x14ac:dyDescent="0.25">
      <c r="A52" s="18" t="s">
        <v>61</v>
      </c>
      <c r="B52" s="61" t="s">
        <v>60</v>
      </c>
      <c r="C52" s="62">
        <v>0</v>
      </c>
      <c r="D52" s="33"/>
      <c r="E52" s="33"/>
      <c r="F52" s="33"/>
      <c r="G52" s="33"/>
      <c r="H52" s="8">
        <f>D52+F52+'07-22-21'!H51</f>
        <v>0</v>
      </c>
      <c r="I52" s="8">
        <f>E52+G52+'07-22-21'!I51</f>
        <v>0</v>
      </c>
      <c r="J52" s="8">
        <f t="shared" si="17"/>
        <v>0</v>
      </c>
      <c r="K52" s="8">
        <f>C52-J52</f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67</v>
      </c>
      <c r="B53" s="61" t="s">
        <v>66</v>
      </c>
      <c r="C53" s="62">
        <v>3313.36</v>
      </c>
      <c r="D53" s="62"/>
      <c r="E53" s="62"/>
      <c r="F53" s="62"/>
      <c r="G53" s="62"/>
      <c r="H53" s="8">
        <f>D53+F53+'07-22-21'!H52</f>
        <v>0</v>
      </c>
      <c r="I53" s="8">
        <f>E53+G53+'07-22-21'!I52</f>
        <v>0</v>
      </c>
      <c r="J53" s="8">
        <f t="shared" si="17"/>
        <v>0</v>
      </c>
      <c r="K53" s="8">
        <f>C53-J53</f>
        <v>3313.36</v>
      </c>
      <c r="L53" s="8">
        <f t="shared" si="16"/>
        <v>3313.36</v>
      </c>
      <c r="M53" s="68"/>
    </row>
    <row r="54" spans="1:13" s="63" customFormat="1" ht="11.25" customHeight="1" x14ac:dyDescent="0.25">
      <c r="A54" s="18" t="s">
        <v>68</v>
      </c>
      <c r="B54" s="61" t="s">
        <v>69</v>
      </c>
      <c r="C54" s="62">
        <v>4193.1400000000003</v>
      </c>
      <c r="D54" s="62">
        <v>0</v>
      </c>
      <c r="E54" s="62">
        <v>0</v>
      </c>
      <c r="F54" s="62">
        <v>0</v>
      </c>
      <c r="G54" s="62">
        <v>0</v>
      </c>
      <c r="H54" s="8">
        <f>D54+F54+'07-22-21'!H53</f>
        <v>2.4</v>
      </c>
      <c r="I54" s="8">
        <f>E54+G54+'07-22-21'!I53</f>
        <v>0.02</v>
      </c>
      <c r="J54" s="8">
        <f t="shared" si="17"/>
        <v>2.42</v>
      </c>
      <c r="K54" s="8">
        <f>C54-J54</f>
        <v>4190.72</v>
      </c>
      <c r="L54" s="8">
        <f t="shared" si="16"/>
        <v>4172.1090476190484</v>
      </c>
      <c r="M54" s="68"/>
    </row>
    <row r="55" spans="1:13" s="63" customFormat="1" ht="11.25" customHeight="1" x14ac:dyDescent="0.2">
      <c r="A55" s="18" t="s">
        <v>73</v>
      </c>
      <c r="B55" s="61" t="s">
        <v>72</v>
      </c>
      <c r="C55" s="62">
        <v>4193.1400000000003</v>
      </c>
      <c r="D55" s="62">
        <v>510</v>
      </c>
      <c r="E55" s="62">
        <v>6.11</v>
      </c>
      <c r="F55" s="62">
        <v>270</v>
      </c>
      <c r="G55" s="62">
        <v>20.25</v>
      </c>
      <c r="H55" s="8">
        <f>D55+F55+'07-22-21'!H54</f>
        <v>2529</v>
      </c>
      <c r="I55" s="8">
        <f>E55+G55+'07-22-21'!I54</f>
        <v>111.58999999999999</v>
      </c>
      <c r="J55" s="8">
        <f t="shared" si="17"/>
        <v>2640.59</v>
      </c>
      <c r="K55" s="8">
        <f>C55-J55</f>
        <v>1552.5500000000002</v>
      </c>
      <c r="L55" s="8">
        <f t="shared" si="16"/>
        <v>-18754.844523809461</v>
      </c>
      <c r="M55" s="88"/>
    </row>
    <row r="56" spans="1:13" ht="21.6" customHeight="1" x14ac:dyDescent="0.25">
      <c r="A56" s="119" t="s">
        <v>88</v>
      </c>
      <c r="B56" s="120"/>
      <c r="C56" s="7">
        <f>SUM(C35:C51)</f>
        <v>34070.68</v>
      </c>
      <c r="D56" s="7"/>
      <c r="E56" s="7"/>
      <c r="F56" s="7"/>
      <c r="G56" s="7"/>
      <c r="H56" s="7">
        <f>SUM(H35:H52)</f>
        <v>4864.43</v>
      </c>
      <c r="I56" s="7">
        <f>SUM(I35:I52)</f>
        <v>175.3225936</v>
      </c>
      <c r="J56" s="7">
        <f>SUM(J35:J52)</f>
        <v>5039.7525936000002</v>
      </c>
      <c r="K56" s="7">
        <f>SUM(K35:K52)</f>
        <v>29030.927406399998</v>
      </c>
      <c r="L56" s="7">
        <f>SUM(L35:L52)</f>
        <v>-9727.1699205713066</v>
      </c>
      <c r="M56" s="78"/>
    </row>
    <row r="57" spans="1:13" ht="10.9" customHeight="1" x14ac:dyDescent="0.25">
      <c r="A57" s="13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78"/>
    </row>
    <row r="58" spans="1:13" ht="10.9" customHeight="1" x14ac:dyDescent="0.25">
      <c r="A58" s="13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3" s="53" customFormat="1" ht="10.9" customHeight="1" x14ac:dyDescent="0.25">
      <c r="A59" s="17" t="s">
        <v>4</v>
      </c>
      <c r="B59" s="21" t="s">
        <v>3</v>
      </c>
      <c r="C59" s="8">
        <v>62583</v>
      </c>
      <c r="D59" s="9">
        <f>193.98+506.03</f>
        <v>700.01</v>
      </c>
      <c r="E59" s="9">
        <f>2.32+6.06</f>
        <v>8.379999999999999</v>
      </c>
      <c r="F59" s="9">
        <v>225</v>
      </c>
      <c r="G59" s="9">
        <v>16.87</v>
      </c>
      <c r="H59" s="8">
        <f>D59+F59+'07-22-21'!H58</f>
        <v>3332.45</v>
      </c>
      <c r="I59" s="8">
        <f>E59+G59+'07-22-21'!I58</f>
        <v>102.82000000000001</v>
      </c>
      <c r="J59" s="8">
        <f t="shared" ref="J59:J60" si="21">H59+I59</f>
        <v>3435.27</v>
      </c>
      <c r="K59" s="8">
        <f>C59-J59</f>
        <v>59147.73</v>
      </c>
      <c r="L59" s="8">
        <f t="shared" ref="L59:L60" si="22">C59-((J59/3)*26.0714285714285)</f>
        <v>32728.867857142945</v>
      </c>
      <c r="M59" s="67"/>
    </row>
    <row r="60" spans="1:13" s="53" customFormat="1" ht="10.9" customHeight="1" x14ac:dyDescent="0.25">
      <c r="A60" s="17" t="s">
        <v>64</v>
      </c>
      <c r="B60" s="21" t="s">
        <v>63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D60+F60+'07-22-21'!H59</f>
        <v>0</v>
      </c>
      <c r="I60" s="8">
        <f>E60+G60+'07-22-21'!I59</f>
        <v>0</v>
      </c>
      <c r="J60" s="8">
        <f t="shared" si="21"/>
        <v>0</v>
      </c>
      <c r="K60" s="8">
        <f>C60-J60</f>
        <v>0</v>
      </c>
      <c r="L60" s="8">
        <f t="shared" si="22"/>
        <v>0</v>
      </c>
      <c r="M60" s="67"/>
    </row>
    <row r="61" spans="1:13" ht="21.6" customHeight="1" x14ac:dyDescent="0.25">
      <c r="A61" s="16" t="s">
        <v>2</v>
      </c>
      <c r="B61" s="15"/>
      <c r="C61" s="14">
        <f>C59+C60</f>
        <v>62583</v>
      </c>
      <c r="D61" s="14">
        <f t="shared" ref="D61:L61" si="23">D59+D60</f>
        <v>700.01</v>
      </c>
      <c r="E61" s="14">
        <f t="shared" si="23"/>
        <v>8.379999999999999</v>
      </c>
      <c r="F61" s="14">
        <f t="shared" si="23"/>
        <v>225</v>
      </c>
      <c r="G61" s="14">
        <f t="shared" si="23"/>
        <v>16.87</v>
      </c>
      <c r="H61" s="14">
        <f t="shared" si="23"/>
        <v>3332.45</v>
      </c>
      <c r="I61" s="14">
        <f t="shared" si="23"/>
        <v>102.82000000000001</v>
      </c>
      <c r="J61" s="14">
        <f t="shared" si="23"/>
        <v>3435.27</v>
      </c>
      <c r="K61" s="14">
        <f t="shared" si="23"/>
        <v>59147.73</v>
      </c>
      <c r="L61" s="14">
        <f t="shared" si="23"/>
        <v>32728.867857142945</v>
      </c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ht="10.9" customHeight="1" x14ac:dyDescent="0.25">
      <c r="A63" s="13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s="53" customFormat="1" ht="10.9" customHeight="1" x14ac:dyDescent="0.25">
      <c r="A64" s="17" t="s">
        <v>1</v>
      </c>
      <c r="B64" s="21">
        <v>55180000</v>
      </c>
      <c r="C64" s="8">
        <v>37736</v>
      </c>
      <c r="D64" s="9">
        <v>0</v>
      </c>
      <c r="E64" s="9">
        <v>0</v>
      </c>
      <c r="F64" s="9">
        <v>0</v>
      </c>
      <c r="G64" s="9">
        <v>0</v>
      </c>
      <c r="H64" s="8">
        <f>D64+F64+'07-22-21'!H63</f>
        <v>336.26</v>
      </c>
      <c r="I64" s="8">
        <f>E64+G64+'07-22-21'!I63</f>
        <v>25.21</v>
      </c>
      <c r="J64" s="8">
        <f t="shared" ref="J64" si="24">H64+I64</f>
        <v>361.46999999999997</v>
      </c>
      <c r="K64" s="8">
        <f>C64-J64</f>
        <v>37374.53</v>
      </c>
      <c r="L64" s="8">
        <f>C64-((J64/3)*26.0714285714285)</f>
        <v>34594.653571428578</v>
      </c>
      <c r="M64" s="67"/>
    </row>
    <row r="65" spans="1:19" s="3" customFormat="1" ht="21.6" customHeight="1" x14ac:dyDescent="0.25">
      <c r="A65" s="119" t="s">
        <v>0</v>
      </c>
      <c r="B65" s="120"/>
      <c r="C65" s="7">
        <f t="shared" ref="C65:L65" si="25">SUM(C64)</f>
        <v>37736</v>
      </c>
      <c r="D65" s="7">
        <f t="shared" si="25"/>
        <v>0</v>
      </c>
      <c r="E65" s="7">
        <f t="shared" si="25"/>
        <v>0</v>
      </c>
      <c r="F65" s="7">
        <f t="shared" si="25"/>
        <v>0</v>
      </c>
      <c r="G65" s="7">
        <f t="shared" si="25"/>
        <v>0</v>
      </c>
      <c r="H65" s="7">
        <f t="shared" si="25"/>
        <v>336.26</v>
      </c>
      <c r="I65" s="7">
        <f t="shared" si="25"/>
        <v>25.21</v>
      </c>
      <c r="J65" s="7">
        <f t="shared" si="25"/>
        <v>361.46999999999997</v>
      </c>
      <c r="K65" s="7">
        <f t="shared" si="25"/>
        <v>37374.53</v>
      </c>
      <c r="L65" s="7">
        <f t="shared" si="25"/>
        <v>34594.653571428578</v>
      </c>
      <c r="M65" s="73"/>
    </row>
    <row r="66" spans="1:19" s="3" customFormat="1" ht="11.25" customHeight="1" x14ac:dyDescent="0.25">
      <c r="A66" s="6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73"/>
    </row>
    <row r="67" spans="1:19" s="2" customFormat="1" ht="10.5" customHeight="1" x14ac:dyDescent="0.25">
      <c r="A67" s="122" t="s">
        <v>83</v>
      </c>
      <c r="B67" s="122"/>
      <c r="C67" s="122"/>
      <c r="D67" s="122"/>
      <c r="E67" s="122"/>
      <c r="F67" s="122"/>
      <c r="G67" s="89">
        <v>5955</v>
      </c>
      <c r="M67" s="121"/>
      <c r="N67" s="121"/>
      <c r="O67" s="121"/>
      <c r="P67" s="121"/>
      <c r="Q67" s="121"/>
      <c r="R67" s="121"/>
      <c r="S67" s="89"/>
    </row>
    <row r="68" spans="1:19" s="2" customFormat="1" ht="10.5" customHeight="1" x14ac:dyDescent="0.25">
      <c r="A68" s="122" t="s">
        <v>90</v>
      </c>
      <c r="B68" s="122"/>
      <c r="C68" s="122"/>
      <c r="D68" s="122"/>
      <c r="E68" s="122"/>
      <c r="F68" s="122"/>
      <c r="G68" s="89">
        <v>1332</v>
      </c>
      <c r="M68" s="121"/>
      <c r="N68" s="121"/>
      <c r="O68" s="121"/>
      <c r="P68" s="121"/>
      <c r="Q68" s="121"/>
      <c r="R68" s="121"/>
      <c r="S68" s="89"/>
    </row>
    <row r="69" spans="1:19" s="2" customFormat="1" ht="10.5" customHeight="1" x14ac:dyDescent="0.25">
      <c r="A69" s="122" t="s">
        <v>86</v>
      </c>
      <c r="B69" s="122"/>
      <c r="C69" s="122"/>
      <c r="D69" s="122"/>
      <c r="E69" s="122"/>
      <c r="F69" s="122"/>
      <c r="G69" s="89">
        <v>6941</v>
      </c>
      <c r="M69" s="121"/>
      <c r="N69" s="121"/>
      <c r="O69" s="121"/>
      <c r="P69" s="121"/>
      <c r="Q69" s="121"/>
      <c r="R69" s="121"/>
      <c r="S69" s="89"/>
    </row>
    <row r="70" spans="1:19" s="2" customFormat="1" ht="10.5" customHeight="1" x14ac:dyDescent="0.25">
      <c r="A70" s="122" t="s">
        <v>85</v>
      </c>
      <c r="B70" s="122"/>
      <c r="C70" s="122"/>
      <c r="D70" s="122"/>
      <c r="E70" s="122"/>
      <c r="F70" s="122"/>
      <c r="G70" s="89">
        <v>10800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84</v>
      </c>
      <c r="B71" s="122"/>
      <c r="C71" s="122"/>
      <c r="D71" s="122"/>
      <c r="E71" s="122"/>
      <c r="F71" s="122"/>
      <c r="G71" s="89">
        <v>2880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87</v>
      </c>
      <c r="B72" s="122"/>
      <c r="C72" s="122"/>
      <c r="D72" s="122"/>
      <c r="E72" s="122"/>
      <c r="F72" s="122"/>
      <c r="G72" s="89">
        <v>6450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92</v>
      </c>
      <c r="B73" s="122"/>
      <c r="C73" s="122"/>
      <c r="D73" s="122"/>
      <c r="E73" s="122"/>
      <c r="F73" s="122"/>
      <c r="G73" s="89">
        <v>7700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96</v>
      </c>
      <c r="B74" s="122"/>
      <c r="C74" s="122"/>
      <c r="D74" s="122"/>
      <c r="E74" s="122"/>
      <c r="F74" s="122"/>
      <c r="G74" s="89">
        <v>7700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98</v>
      </c>
      <c r="B75" s="122"/>
      <c r="C75" s="122"/>
      <c r="D75" s="122"/>
      <c r="E75" s="122"/>
      <c r="F75" s="122"/>
      <c r="G75" s="89">
        <v>66000</v>
      </c>
      <c r="M75" s="121"/>
      <c r="N75" s="121"/>
      <c r="O75" s="121"/>
      <c r="P75" s="121"/>
      <c r="Q75" s="121"/>
      <c r="R75" s="121"/>
      <c r="S75" s="89"/>
    </row>
    <row r="76" spans="1:19" ht="10.5" customHeight="1" x14ac:dyDescent="0.25">
      <c r="A76" s="122" t="s">
        <v>101</v>
      </c>
      <c r="B76" s="122"/>
      <c r="C76" s="122"/>
      <c r="D76" s="122"/>
      <c r="E76" s="122"/>
      <c r="F76" s="122"/>
      <c r="G76" s="89">
        <v>3194.08</v>
      </c>
      <c r="M76" s="121"/>
      <c r="N76" s="121"/>
      <c r="O76" s="121"/>
      <c r="P76" s="121"/>
      <c r="Q76" s="121"/>
      <c r="R76" s="121"/>
    </row>
  </sheetData>
  <mergeCells count="26">
    <mergeCell ref="A76:F76"/>
    <mergeCell ref="M76:R76"/>
    <mergeCell ref="A73:F73"/>
    <mergeCell ref="M73:R73"/>
    <mergeCell ref="A74:F74"/>
    <mergeCell ref="M74:R74"/>
    <mergeCell ref="A75:F75"/>
    <mergeCell ref="M75:R75"/>
    <mergeCell ref="A70:F70"/>
    <mergeCell ref="M70:R70"/>
    <mergeCell ref="A71:F71"/>
    <mergeCell ref="M71:R71"/>
    <mergeCell ref="A72:F72"/>
    <mergeCell ref="M72:R72"/>
    <mergeCell ref="A67:F67"/>
    <mergeCell ref="M67:R67"/>
    <mergeCell ref="A68:F68"/>
    <mergeCell ref="M68:R68"/>
    <mergeCell ref="A69:F69"/>
    <mergeCell ref="M69:R69"/>
    <mergeCell ref="A65:B65"/>
    <mergeCell ref="A18:B18"/>
    <mergeCell ref="A24:B24"/>
    <mergeCell ref="A29:B29"/>
    <mergeCell ref="A32:B32"/>
    <mergeCell ref="A56:B56"/>
  </mergeCells>
  <pageMargins left="0.25" right="0" top="0.4" bottom="0" header="0.3" footer="0"/>
  <pageSetup scale="8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521C-B7E6-455E-97A7-CECB3ABF4701}">
  <sheetPr>
    <pageSetUpPr fitToPage="1"/>
  </sheetPr>
  <dimension ref="A1:S76"/>
  <sheetViews>
    <sheetView zoomScale="160" zoomScaleNormal="160" workbookViewId="0">
      <pane ySplit="2" topLeftCell="A15" activePane="bottomLeft" state="frozen"/>
      <selection pane="bottomLeft"/>
    </sheetView>
  </sheetViews>
  <sheetFormatPr defaultColWidth="28" defaultRowHeight="15" x14ac:dyDescent="0.25"/>
  <cols>
    <col min="1" max="1" width="35.85546875" style="1" bestFit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102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hidden="1" customHeight="1" x14ac:dyDescent="0.25">
      <c r="A3" s="17" t="s">
        <v>32</v>
      </c>
      <c r="B3" s="21">
        <v>55010300</v>
      </c>
      <c r="C3" s="8">
        <v>0</v>
      </c>
      <c r="D3" s="32">
        <v>0</v>
      </c>
      <c r="E3" s="32">
        <v>0</v>
      </c>
      <c r="F3" s="32">
        <v>0</v>
      </c>
      <c r="G3" s="32">
        <v>0</v>
      </c>
      <c r="H3" s="8">
        <f>D3+F3</f>
        <v>0</v>
      </c>
      <c r="I3" s="8">
        <f>E3+G3</f>
        <v>0</v>
      </c>
      <c r="J3" s="8">
        <f>H3+I3</f>
        <v>0</v>
      </c>
      <c r="K3" s="8">
        <f>C3-J3</f>
        <v>0</v>
      </c>
      <c r="L3" s="8">
        <f>C3-((J3/1)*26.0714285714285)</f>
        <v>0</v>
      </c>
      <c r="M3" s="66"/>
    </row>
    <row r="4" spans="1:13" s="56" customFormat="1" ht="11.25" customHeight="1" x14ac:dyDescent="0.25">
      <c r="A4" s="91" t="s">
        <v>100</v>
      </c>
      <c r="B4" s="21">
        <v>55010000</v>
      </c>
      <c r="C4" s="103">
        <v>66000</v>
      </c>
      <c r="D4" s="33">
        <v>0</v>
      </c>
      <c r="E4" s="33">
        <v>0</v>
      </c>
      <c r="F4" s="33">
        <f>5889.41+1481.26</f>
        <v>7370.67</v>
      </c>
      <c r="G4" s="33">
        <f>441.7+111.09</f>
        <v>552.79</v>
      </c>
      <c r="H4" s="8">
        <f>D4+F4+'08-05-21'!H4</f>
        <v>7370.67</v>
      </c>
      <c r="I4" s="8">
        <f>E4+G4+'08-05-21'!I4</f>
        <v>552.79</v>
      </c>
      <c r="J4" s="103">
        <f t="shared" ref="J4:J17" si="0">H4+I4</f>
        <v>7923.46</v>
      </c>
      <c r="K4" s="8">
        <f t="shared" ref="K4:K17" si="1">C4-J4</f>
        <v>58076.54</v>
      </c>
      <c r="L4" s="8">
        <f>C4-((J4/4)*26.0714285714285)</f>
        <v>14356.019642857289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103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D5+F5+'08-05-21'!H5</f>
        <v>0</v>
      </c>
      <c r="I5" s="8">
        <f>E5+G5+'08-05-21'!I5</f>
        <v>0</v>
      </c>
      <c r="J5" s="103">
        <f t="shared" si="0"/>
        <v>0</v>
      </c>
      <c r="K5" s="8">
        <f t="shared" si="1"/>
        <v>2917</v>
      </c>
      <c r="L5" s="8">
        <f t="shared" ref="L5:L17" si="2">C5-((J5/4)*26.0714285714285)</f>
        <v>2917</v>
      </c>
      <c r="M5" s="90" t="s">
        <v>79</v>
      </c>
    </row>
    <row r="6" spans="1:13" s="56" customFormat="1" ht="11.25" customHeight="1" x14ac:dyDescent="0.25">
      <c r="A6" s="42" t="s">
        <v>70</v>
      </c>
      <c r="B6" s="57">
        <v>55010601</v>
      </c>
      <c r="C6" s="103">
        <v>6450</v>
      </c>
      <c r="D6" s="8">
        <v>195</v>
      </c>
      <c r="E6" s="8">
        <v>2.34</v>
      </c>
      <c r="F6" s="8">
        <v>0</v>
      </c>
      <c r="G6" s="8">
        <v>0</v>
      </c>
      <c r="H6" s="8">
        <f>D6+F6+'08-05-21'!H6</f>
        <v>945</v>
      </c>
      <c r="I6" s="8">
        <f>E6+G6+'08-05-21'!I6</f>
        <v>11.33</v>
      </c>
      <c r="J6" s="103">
        <f t="shared" si="0"/>
        <v>956.33</v>
      </c>
      <c r="K6" s="8">
        <f t="shared" si="1"/>
        <v>5493.67</v>
      </c>
      <c r="L6" s="8">
        <f t="shared" si="2"/>
        <v>216.7776785714459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104">
        <v>24649</v>
      </c>
      <c r="D7" s="41">
        <f>36.66+366.97</f>
        <v>403.63</v>
      </c>
      <c r="E7" s="41">
        <f>0.43+4.4</f>
        <v>4.83</v>
      </c>
      <c r="F7" s="41">
        <f>-3498.14</f>
        <v>-3498.14</v>
      </c>
      <c r="G7" s="41">
        <f>-262.36</f>
        <v>-262.36</v>
      </c>
      <c r="H7" s="8">
        <f>D7+F7+'08-05-21'!H7</f>
        <v>3283.64</v>
      </c>
      <c r="I7" s="8">
        <f>E7+G7+'08-05-21'!I7</f>
        <v>39.359999999999957</v>
      </c>
      <c r="J7" s="103">
        <f t="shared" si="0"/>
        <v>3323</v>
      </c>
      <c r="K7" s="8">
        <f t="shared" si="1"/>
        <v>21326</v>
      </c>
      <c r="L7" s="8">
        <f t="shared" si="2"/>
        <v>2990.1607142857756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103">
        <v>17974</v>
      </c>
      <c r="D8" s="9">
        <v>303.11</v>
      </c>
      <c r="E8" s="9">
        <v>3.62</v>
      </c>
      <c r="F8" s="9">
        <v>0</v>
      </c>
      <c r="G8" s="9">
        <v>0</v>
      </c>
      <c r="H8" s="8">
        <f>D8+F8+'08-05-21'!H8</f>
        <v>2201</v>
      </c>
      <c r="I8" s="8">
        <f>E8+G8+'08-05-21'!I8</f>
        <v>26.330000000000002</v>
      </c>
      <c r="J8" s="103">
        <f t="shared" si="0"/>
        <v>2227.33</v>
      </c>
      <c r="K8" s="8">
        <f t="shared" si="1"/>
        <v>15746.67</v>
      </c>
      <c r="L8" s="8">
        <f t="shared" si="2"/>
        <v>3456.5812500000411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103">
        <v>17974</v>
      </c>
      <c r="D9" s="9">
        <v>344.72</v>
      </c>
      <c r="E9" s="9">
        <v>4.13</v>
      </c>
      <c r="F9" s="9">
        <v>0</v>
      </c>
      <c r="G9" s="9">
        <v>0</v>
      </c>
      <c r="H9" s="8">
        <f>D9+F9+'08-05-21'!H9</f>
        <v>2891.79</v>
      </c>
      <c r="I9" s="8">
        <f>E9+G9+'08-05-21'!I9</f>
        <v>106.1</v>
      </c>
      <c r="J9" s="103">
        <f t="shared" si="0"/>
        <v>2997.89</v>
      </c>
      <c r="K9" s="8">
        <f t="shared" si="1"/>
        <v>14976.11</v>
      </c>
      <c r="L9" s="8">
        <f t="shared" si="2"/>
        <v>-1565.818749999944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103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D10+F10+'08-05-21'!H10</f>
        <v>0</v>
      </c>
      <c r="I10" s="8">
        <f>E10+G10+'08-05-21'!I10</f>
        <v>0</v>
      </c>
      <c r="J10" s="103">
        <f t="shared" si="0"/>
        <v>0</v>
      </c>
      <c r="K10" s="8">
        <f t="shared" si="1"/>
        <v>2109</v>
      </c>
      <c r="L10" s="8">
        <f t="shared" si="2"/>
        <v>2109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103">
        <v>24330</v>
      </c>
      <c r="D11" s="9">
        <v>357.58</v>
      </c>
      <c r="E11" s="9">
        <v>4.29</v>
      </c>
      <c r="F11" s="9">
        <v>30.49</v>
      </c>
      <c r="G11" s="9">
        <v>2.2799999999999998</v>
      </c>
      <c r="H11" s="8">
        <f>D11+F11+'08-05-21'!H11</f>
        <v>4278.83</v>
      </c>
      <c r="I11" s="8">
        <f>E11+G11+'08-05-21'!I11</f>
        <v>144.17999999999998</v>
      </c>
      <c r="J11" s="103">
        <f t="shared" si="0"/>
        <v>4423.01</v>
      </c>
      <c r="K11" s="8">
        <f t="shared" si="1"/>
        <v>19906.989999999998</v>
      </c>
      <c r="L11" s="8">
        <f t="shared" si="2"/>
        <v>-4498.5473214284902</v>
      </c>
      <c r="M11" s="74"/>
    </row>
    <row r="12" spans="1:13" s="53" customFormat="1" ht="11.25" customHeight="1" x14ac:dyDescent="0.25">
      <c r="A12" s="17" t="s">
        <v>27</v>
      </c>
      <c r="B12" s="105">
        <v>55050200</v>
      </c>
      <c r="C12" s="103">
        <f>34000</f>
        <v>34000</v>
      </c>
      <c r="D12" s="8">
        <v>241.41</v>
      </c>
      <c r="E12" s="8">
        <v>2.89</v>
      </c>
      <c r="F12" s="8">
        <f>-2391.27</f>
        <v>-2391.27</v>
      </c>
      <c r="G12" s="8">
        <f>-179.34</f>
        <v>-179.34</v>
      </c>
      <c r="H12" s="8">
        <f>D12+F12+'08-05-21'!H12</f>
        <v>4285.1499999999996</v>
      </c>
      <c r="I12" s="8">
        <f>E12+G12+'08-05-21'!I12</f>
        <v>121.73999999999998</v>
      </c>
      <c r="J12" s="103">
        <f t="shared" si="0"/>
        <v>4406.8899999999994</v>
      </c>
      <c r="K12" s="8">
        <f t="shared" si="1"/>
        <v>29593.11</v>
      </c>
      <c r="L12" s="8">
        <f t="shared" si="2"/>
        <v>5276.5205357143714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103">
        <v>42741</v>
      </c>
      <c r="D13" s="8">
        <v>1373.01</v>
      </c>
      <c r="E13" s="8">
        <v>16.47</v>
      </c>
      <c r="F13" s="8">
        <v>0</v>
      </c>
      <c r="G13" s="8">
        <v>0</v>
      </c>
      <c r="H13" s="8">
        <f>D13+F13+'08-05-21'!H13</f>
        <v>5505.83</v>
      </c>
      <c r="I13" s="8">
        <f>E13+G13+'08-05-21'!I13</f>
        <v>68.319999999999993</v>
      </c>
      <c r="J13" s="103">
        <f t="shared" si="0"/>
        <v>5574.15</v>
      </c>
      <c r="K13" s="8">
        <f t="shared" si="1"/>
        <v>37166.85</v>
      </c>
      <c r="L13" s="8">
        <f t="shared" si="2"/>
        <v>6409.4866071429642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103">
        <v>24173</v>
      </c>
      <c r="D14" s="9">
        <v>360.4</v>
      </c>
      <c r="E14" s="9">
        <v>4.32</v>
      </c>
      <c r="F14" s="9">
        <v>0</v>
      </c>
      <c r="G14" s="9">
        <v>0</v>
      </c>
      <c r="H14" s="8">
        <f>D14+F14+'08-05-21'!H14</f>
        <v>1507.4499999999998</v>
      </c>
      <c r="I14" s="8">
        <f>E14+G14+'08-05-21'!I14</f>
        <v>18.060000000000002</v>
      </c>
      <c r="J14" s="103">
        <f t="shared" si="0"/>
        <v>1525.5099999999998</v>
      </c>
      <c r="K14" s="8">
        <f t="shared" si="1"/>
        <v>22647.49</v>
      </c>
      <c r="L14" s="8">
        <f t="shared" si="2"/>
        <v>14229.943750000029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107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D15+F15+'08-05-21'!H15</f>
        <v>0</v>
      </c>
      <c r="I15" s="8">
        <f>E15+G15+'08-05-21'!I15</f>
        <v>0</v>
      </c>
      <c r="J15" s="103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103">
        <v>6000</v>
      </c>
      <c r="D16" s="9">
        <v>109.2</v>
      </c>
      <c r="E16" s="9">
        <v>1.31</v>
      </c>
      <c r="F16" s="9">
        <v>0</v>
      </c>
      <c r="G16" s="9">
        <v>0</v>
      </c>
      <c r="H16" s="8">
        <f>D16+F16+'08-05-21'!H16</f>
        <v>531.98</v>
      </c>
      <c r="I16" s="8">
        <f>E16+G16+'08-05-21'!I16</f>
        <v>15.33</v>
      </c>
      <c r="J16" s="103">
        <f t="shared" si="0"/>
        <v>547.31000000000006</v>
      </c>
      <c r="K16" s="8">
        <f t="shared" si="1"/>
        <v>5452.69</v>
      </c>
      <c r="L16" s="8">
        <f t="shared" si="2"/>
        <v>2432.7116071428668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103">
        <v>10800</v>
      </c>
      <c r="D17" s="9">
        <v>540</v>
      </c>
      <c r="E17" s="9">
        <v>6.48</v>
      </c>
      <c r="F17" s="9">
        <v>0</v>
      </c>
      <c r="G17" s="9">
        <v>0</v>
      </c>
      <c r="H17" s="8">
        <f>D17+F17+'08-05-21'!H17</f>
        <v>1992</v>
      </c>
      <c r="I17" s="8">
        <f>E17+G17+'08-05-21'!I17</f>
        <v>23.900000000000002</v>
      </c>
      <c r="J17" s="103">
        <f t="shared" si="0"/>
        <v>2015.9</v>
      </c>
      <c r="K17" s="8">
        <f t="shared" si="1"/>
        <v>8784.1</v>
      </c>
      <c r="L17" s="8">
        <f t="shared" si="2"/>
        <v>-2339.3482142856774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284872</v>
      </c>
      <c r="D18" s="7">
        <f t="shared" ref="D18:L18" si="4">SUM(D3:D17)</f>
        <v>4228.0599999999995</v>
      </c>
      <c r="E18" s="7">
        <f t="shared" si="4"/>
        <v>50.679999999999993</v>
      </c>
      <c r="F18" s="7">
        <f t="shared" si="4"/>
        <v>1511.75</v>
      </c>
      <c r="G18" s="7">
        <f t="shared" si="4"/>
        <v>113.36999999999992</v>
      </c>
      <c r="H18" s="7">
        <f t="shared" si="4"/>
        <v>34793.340000000004</v>
      </c>
      <c r="I18" s="7">
        <f t="shared" si="4"/>
        <v>1127.44</v>
      </c>
      <c r="J18" s="35">
        <f t="shared" si="4"/>
        <v>35920.780000000006</v>
      </c>
      <c r="K18" s="35">
        <f t="shared" si="4"/>
        <v>259751.22000000003</v>
      </c>
      <c r="L18" s="7">
        <f t="shared" si="4"/>
        <v>61545.487500000672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103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D22+F22+'08-05-21'!H22</f>
        <v>0</v>
      </c>
      <c r="I22" s="8">
        <f>E22+G22+'08-05-21'!I22</f>
        <v>0</v>
      </c>
      <c r="J22" s="103">
        <f t="shared" si="6"/>
        <v>0</v>
      </c>
      <c r="K22" s="8">
        <f t="shared" ref="K22:K23" si="8">C22-J22</f>
        <v>13953</v>
      </c>
      <c r="L22" s="8">
        <f t="shared" ref="L22:L23" si="9">C22-((J22/4)*26.0714285714285)</f>
        <v>13953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103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D23+F23+'08-05-21'!H23</f>
        <v>0</v>
      </c>
      <c r="I23" s="8">
        <f>E23+G23+'08-05-21'!I23</f>
        <v>0</v>
      </c>
      <c r="J23" s="103">
        <f t="shared" si="6"/>
        <v>0</v>
      </c>
      <c r="K23" s="8">
        <f t="shared" si="8"/>
        <v>2026</v>
      </c>
      <c r="L23" s="8">
        <f t="shared" si="9"/>
        <v>2026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0</v>
      </c>
      <c r="E24" s="7">
        <f t="shared" si="10"/>
        <v>0</v>
      </c>
      <c r="F24" s="7">
        <f t="shared" si="10"/>
        <v>0</v>
      </c>
      <c r="G24" s="7">
        <f t="shared" si="10"/>
        <v>0</v>
      </c>
      <c r="H24" s="8">
        <f>D24+F24+'07-22-21'!H23</f>
        <v>0</v>
      </c>
      <c r="I24" s="8">
        <f>E24+G24+'07-22-21'!I23</f>
        <v>0</v>
      </c>
      <c r="J24" s="35">
        <f t="shared" si="10"/>
        <v>0</v>
      </c>
      <c r="K24" s="7">
        <f t="shared" si="10"/>
        <v>15979</v>
      </c>
      <c r="L24" s="7">
        <f t="shared" si="10"/>
        <v>15979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103">
        <v>25000</v>
      </c>
      <c r="D27" s="9">
        <v>187.5</v>
      </c>
      <c r="E27" s="9">
        <v>2.25</v>
      </c>
      <c r="F27" s="9">
        <v>288.75</v>
      </c>
      <c r="G27" s="9">
        <v>21.65</v>
      </c>
      <c r="H27" s="8">
        <f>D27+F27+'08-05-21'!H27</f>
        <v>2042.25</v>
      </c>
      <c r="I27" s="8">
        <f>E27+G27+'08-05-21'!I27</f>
        <v>87.47</v>
      </c>
      <c r="J27" s="103">
        <f t="shared" ref="J27:J28" si="11">H27+I27</f>
        <v>2129.7199999999998</v>
      </c>
      <c r="K27" s="8">
        <f>C27-J27</f>
        <v>22870.28</v>
      </c>
      <c r="L27" s="8">
        <f>C27-((J27/4)*26.0714285714285)</f>
        <v>11118.789285714325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187.5</v>
      </c>
      <c r="E29" s="31">
        <f t="shared" si="14"/>
        <v>2.25</v>
      </c>
      <c r="F29" s="31">
        <f t="shared" si="14"/>
        <v>288.75</v>
      </c>
      <c r="G29" s="31">
        <f t="shared" si="14"/>
        <v>21.65</v>
      </c>
      <c r="H29" s="31">
        <f t="shared" si="14"/>
        <v>2042.25</v>
      </c>
      <c r="I29" s="31">
        <f t="shared" si="14"/>
        <v>87.47</v>
      </c>
      <c r="J29" s="31">
        <f t="shared" si="14"/>
        <v>2129.7199999999998</v>
      </c>
      <c r="K29" s="31">
        <f t="shared" si="14"/>
        <v>22870.28</v>
      </c>
      <c r="L29" s="31">
        <f t="shared" si="14"/>
        <v>11118.789285714325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325851</v>
      </c>
      <c r="D32" s="24">
        <f t="shared" si="15"/>
        <v>4415.5599999999995</v>
      </c>
      <c r="E32" s="24">
        <f t="shared" si="15"/>
        <v>52.929999999999993</v>
      </c>
      <c r="F32" s="24">
        <f t="shared" si="15"/>
        <v>1800.5</v>
      </c>
      <c r="G32" s="24">
        <f t="shared" si="15"/>
        <v>135.01999999999992</v>
      </c>
      <c r="H32" s="24">
        <f t="shared" si="15"/>
        <v>36835.590000000004</v>
      </c>
      <c r="I32" s="24">
        <f t="shared" si="15"/>
        <v>1214.9100000000001</v>
      </c>
      <c r="J32" s="24">
        <f t="shared" si="15"/>
        <v>38050.500000000007</v>
      </c>
      <c r="K32" s="24">
        <f t="shared" si="15"/>
        <v>298600.5</v>
      </c>
      <c r="L32" s="24">
        <f t="shared" si="15"/>
        <v>88643.276785715003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96">
        <v>3194.08</v>
      </c>
      <c r="D35" s="9">
        <f>-36.66+160</f>
        <v>123.34</v>
      </c>
      <c r="E35" s="9">
        <f>-0.43+1.92</f>
        <v>1.49</v>
      </c>
      <c r="F35" s="9">
        <v>0</v>
      </c>
      <c r="G35" s="9">
        <v>0</v>
      </c>
      <c r="H35" s="8">
        <f>D35+F35+'08-05-21'!H35</f>
        <v>745.94</v>
      </c>
      <c r="I35" s="8">
        <f>E35+G35+'08-05-21'!I35</f>
        <v>15.413600000000001</v>
      </c>
      <c r="J35" s="96">
        <f>H35+I35</f>
        <v>761.35360000000003</v>
      </c>
      <c r="K35" s="8">
        <f>C35-J35</f>
        <v>2432.7264</v>
      </c>
      <c r="L35" s="8">
        <f t="shared" ref="L35:L55" si="16">C35-((J35/4)*26.0714285714285)</f>
        <v>-1768.3139999999867</v>
      </c>
      <c r="M35" s="76"/>
    </row>
    <row r="36" spans="1:13" s="59" customFormat="1" ht="11.25" hidden="1" customHeight="1" x14ac:dyDescent="0.25">
      <c r="A36" s="22" t="s">
        <v>13</v>
      </c>
      <c r="B36" s="19" t="s">
        <v>12</v>
      </c>
      <c r="C36" s="83"/>
      <c r="D36" s="9"/>
      <c r="E36" s="9"/>
      <c r="F36" s="9"/>
      <c r="G36" s="9"/>
      <c r="H36" s="8">
        <f>D36+F36+'08-05-21'!H36</f>
        <v>0</v>
      </c>
      <c r="I36" s="8">
        <f>E36+G36+'08-05-21'!I36</f>
        <v>0</v>
      </c>
      <c r="J36" s="8">
        <f t="shared" ref="J36:J55" si="17">H36+I36</f>
        <v>0</v>
      </c>
      <c r="K36" s="8">
        <f t="shared" ref="K36:K50" si="18">C36-J36</f>
        <v>0</v>
      </c>
      <c r="L36" s="8">
        <f t="shared" si="16"/>
        <v>0</v>
      </c>
      <c r="M36" s="71"/>
    </row>
    <row r="37" spans="1:13" s="60" customFormat="1" ht="11.25" hidden="1" customHeight="1" x14ac:dyDescent="0.25">
      <c r="A37" s="20" t="s">
        <v>11</v>
      </c>
      <c r="B37" s="21" t="s">
        <v>10</v>
      </c>
      <c r="C37" s="8">
        <v>0</v>
      </c>
      <c r="D37" s="32"/>
      <c r="E37" s="32"/>
      <c r="F37" s="32"/>
      <c r="G37" s="32"/>
      <c r="H37" s="8">
        <f>D37+F37+'08-05-21'!H37</f>
        <v>0</v>
      </c>
      <c r="I37" s="8">
        <f>E37+G37+'08-05-21'!I37</f>
        <v>0</v>
      </c>
      <c r="J37" s="8">
        <f t="shared" si="17"/>
        <v>0</v>
      </c>
      <c r="K37" s="8">
        <f t="shared" si="18"/>
        <v>0</v>
      </c>
      <c r="L37" s="8">
        <f t="shared" si="16"/>
        <v>0</v>
      </c>
      <c r="M37" s="72"/>
    </row>
    <row r="38" spans="1:13" s="60" customFormat="1" ht="11.25" hidden="1" customHeight="1" x14ac:dyDescent="0.25">
      <c r="A38" s="86" t="s">
        <v>71</v>
      </c>
      <c r="B38" s="77" t="s">
        <v>9</v>
      </c>
      <c r="C38" s="82"/>
      <c r="D38" s="8"/>
      <c r="E38" s="8"/>
      <c r="F38" s="8"/>
      <c r="G38" s="8"/>
      <c r="H38" s="8">
        <f>D38+F38+'08-05-21'!H38</f>
        <v>36.659999999999997</v>
      </c>
      <c r="I38" s="8">
        <f>E38+G38+'08-05-21'!I38</f>
        <v>0.43899359999999998</v>
      </c>
      <c r="J38" s="9">
        <f t="shared" si="17"/>
        <v>37.0989936</v>
      </c>
      <c r="K38" s="100">
        <f t="shared" si="18"/>
        <v>-37.0989936</v>
      </c>
      <c r="L38" s="8">
        <f t="shared" si="16"/>
        <v>-241.80594042857075</v>
      </c>
      <c r="M38" s="68"/>
    </row>
    <row r="39" spans="1:13" s="60" customFormat="1" ht="11.25" hidden="1" customHeight="1" x14ac:dyDescent="0.25">
      <c r="A39" s="18" t="s">
        <v>62</v>
      </c>
      <c r="B39" s="61" t="s">
        <v>54</v>
      </c>
      <c r="C39" s="8">
        <v>356.53</v>
      </c>
      <c r="D39" s="32"/>
      <c r="E39" s="32"/>
      <c r="F39" s="32"/>
      <c r="G39" s="32"/>
      <c r="H39" s="8">
        <f>D39+F39+'08-05-21'!H39</f>
        <v>0</v>
      </c>
      <c r="I39" s="8">
        <f>E39+G39+'08-05-21'!I39</f>
        <v>0</v>
      </c>
      <c r="J39" s="8">
        <f t="shared" si="17"/>
        <v>0</v>
      </c>
      <c r="K39" s="8">
        <f t="shared" si="18"/>
        <v>356.53</v>
      </c>
      <c r="L39" s="8">
        <f t="shared" si="16"/>
        <v>356.53</v>
      </c>
      <c r="M39" s="75"/>
    </row>
    <row r="40" spans="1:13" s="60" customFormat="1" ht="11.45" hidden="1" customHeight="1" x14ac:dyDescent="0.25">
      <c r="A40" s="18" t="s">
        <v>58</v>
      </c>
      <c r="B40" s="61" t="s">
        <v>57</v>
      </c>
      <c r="C40" s="8">
        <v>554.22</v>
      </c>
      <c r="D40" s="32"/>
      <c r="E40" s="32"/>
      <c r="F40" s="32"/>
      <c r="G40" s="32"/>
      <c r="H40" s="8">
        <f>D40+F40+'08-05-21'!H40</f>
        <v>0</v>
      </c>
      <c r="I40" s="8">
        <f>E40+G40+'08-05-21'!I40</f>
        <v>0</v>
      </c>
      <c r="J40" s="8">
        <f t="shared" si="17"/>
        <v>0</v>
      </c>
      <c r="K40" s="8">
        <f>C40-J40</f>
        <v>554.22</v>
      </c>
      <c r="L40" s="8">
        <f t="shared" si="16"/>
        <v>554.22</v>
      </c>
      <c r="M40" s="72"/>
    </row>
    <row r="41" spans="1:13" s="54" customFormat="1" ht="11.45" customHeight="1" x14ac:dyDescent="0.2">
      <c r="A41" s="18" t="s">
        <v>48</v>
      </c>
      <c r="B41" s="61" t="s">
        <v>49</v>
      </c>
      <c r="C41" s="8">
        <v>6710</v>
      </c>
      <c r="D41" s="33">
        <v>212.5</v>
      </c>
      <c r="E41" s="33">
        <v>2.5499999999999998</v>
      </c>
      <c r="F41" s="33">
        <v>0</v>
      </c>
      <c r="G41" s="33">
        <v>0</v>
      </c>
      <c r="H41" s="8">
        <f>D41+F41+'08-05-21'!H41</f>
        <v>582.25</v>
      </c>
      <c r="I41" s="8">
        <f>E41+G41+'08-05-21'!I41</f>
        <v>6.97</v>
      </c>
      <c r="J41" s="103">
        <f t="shared" si="17"/>
        <v>589.22</v>
      </c>
      <c r="K41" s="8">
        <f>C41-J41</f>
        <v>6120.78</v>
      </c>
      <c r="L41" s="8">
        <f t="shared" si="16"/>
        <v>2869.548214285725</v>
      </c>
      <c r="M41" s="88"/>
    </row>
    <row r="42" spans="1:13" s="60" customFormat="1" ht="11.25" customHeight="1" x14ac:dyDescent="0.2">
      <c r="A42" s="18" t="s">
        <v>81</v>
      </c>
      <c r="B42" s="105" t="s">
        <v>82</v>
      </c>
      <c r="C42" s="103">
        <f>2880</f>
        <v>2880</v>
      </c>
      <c r="D42" s="32">
        <v>259.16000000000003</v>
      </c>
      <c r="E42" s="32">
        <v>3.11</v>
      </c>
      <c r="F42" s="32">
        <v>0</v>
      </c>
      <c r="G42" s="32">
        <v>0</v>
      </c>
      <c r="H42" s="8">
        <f>D42+F42+'08-05-21'!H42</f>
        <v>2238.1999999999998</v>
      </c>
      <c r="I42" s="8">
        <f>E42+G42+'08-05-21'!I42</f>
        <v>26.86</v>
      </c>
      <c r="J42" s="103">
        <f t="shared" si="17"/>
        <v>2265.06</v>
      </c>
      <c r="K42" s="92">
        <f t="shared" ref="K42:K43" si="19">C42-J42</f>
        <v>614.94000000000005</v>
      </c>
      <c r="L42" s="8">
        <f t="shared" si="16"/>
        <v>-11883.337499999958</v>
      </c>
      <c r="M42" s="88"/>
    </row>
    <row r="43" spans="1:13" s="60" customFormat="1" ht="11.25" customHeight="1" x14ac:dyDescent="0.2">
      <c r="A43" s="18" t="s">
        <v>89</v>
      </c>
      <c r="B43" s="105">
        <v>55110100</v>
      </c>
      <c r="C43" s="103">
        <v>1332</v>
      </c>
      <c r="D43" s="32">
        <v>0</v>
      </c>
      <c r="E43" s="32">
        <v>0</v>
      </c>
      <c r="F43" s="32">
        <v>0</v>
      </c>
      <c r="G43" s="32">
        <v>0</v>
      </c>
      <c r="H43" s="8">
        <f>D43+F43+'08-05-21'!H43</f>
        <v>0</v>
      </c>
      <c r="I43" s="8">
        <f>E43+G43+'08-05-21'!I43</f>
        <v>0</v>
      </c>
      <c r="J43" s="103">
        <f t="shared" si="17"/>
        <v>0</v>
      </c>
      <c r="K43" s="92">
        <f t="shared" si="19"/>
        <v>1332</v>
      </c>
      <c r="L43" s="8">
        <f t="shared" si="16"/>
        <v>1332</v>
      </c>
      <c r="M43" s="88"/>
    </row>
    <row r="44" spans="1:13" s="54" customFormat="1" ht="11.45" customHeight="1" x14ac:dyDescent="0.25">
      <c r="A44" s="18" t="s">
        <v>93</v>
      </c>
      <c r="B44" s="61" t="s">
        <v>47</v>
      </c>
      <c r="C44" s="8">
        <f>1734.35+7700-7700</f>
        <v>1734.3500000000004</v>
      </c>
      <c r="D44" s="62">
        <v>270</v>
      </c>
      <c r="E44" s="62">
        <v>3.24</v>
      </c>
      <c r="F44" s="62">
        <v>0</v>
      </c>
      <c r="G44" s="62">
        <v>0</v>
      </c>
      <c r="H44" s="8">
        <f>D44+F44+'08-05-21'!H44</f>
        <v>372</v>
      </c>
      <c r="I44" s="8">
        <f>E44+G44+'08-05-21'!I44</f>
        <v>4.46</v>
      </c>
      <c r="J44" s="103">
        <f t="shared" si="17"/>
        <v>376.46</v>
      </c>
      <c r="K44" s="8">
        <f>C44-J44</f>
        <v>1357.8900000000003</v>
      </c>
      <c r="L44" s="8">
        <f t="shared" si="16"/>
        <v>-719.36249999999245</v>
      </c>
      <c r="M44" s="68"/>
    </row>
    <row r="45" spans="1:13" s="54" customFormat="1" ht="11.45" hidden="1" customHeight="1" x14ac:dyDescent="0.25">
      <c r="A45" s="18" t="s">
        <v>55</v>
      </c>
      <c r="B45" s="61" t="s">
        <v>56</v>
      </c>
      <c r="C45" s="8">
        <v>1481.58</v>
      </c>
      <c r="D45" s="33"/>
      <c r="E45" s="33"/>
      <c r="F45" s="33"/>
      <c r="G45" s="33"/>
      <c r="H45" s="8">
        <f>D45+F45+'08-05-21'!H45</f>
        <v>0</v>
      </c>
      <c r="I45" s="8">
        <f>E45+G45+'08-05-21'!I45</f>
        <v>0</v>
      </c>
      <c r="J45" s="8">
        <f t="shared" si="17"/>
        <v>0</v>
      </c>
      <c r="K45" s="8">
        <f t="shared" ref="K45" si="20">C45-J45</f>
        <v>1481.58</v>
      </c>
      <c r="L45" s="8">
        <f t="shared" si="16"/>
        <v>1481.58</v>
      </c>
      <c r="M45" s="68"/>
    </row>
    <row r="46" spans="1:13" s="54" customFormat="1" ht="11.45" customHeight="1" x14ac:dyDescent="0.25">
      <c r="A46" s="18" t="s">
        <v>94</v>
      </c>
      <c r="B46" s="61" t="s">
        <v>95</v>
      </c>
      <c r="C46" s="103">
        <v>7700</v>
      </c>
      <c r="D46" s="33">
        <v>0</v>
      </c>
      <c r="E46" s="33">
        <v>0</v>
      </c>
      <c r="F46" s="33">
        <v>0</v>
      </c>
      <c r="G46" s="33">
        <v>0</v>
      </c>
      <c r="H46" s="8">
        <f>D46+F46+'08-05-21'!H46</f>
        <v>0</v>
      </c>
      <c r="I46" s="8">
        <f>E46+G46+'08-05-21'!I46</f>
        <v>0</v>
      </c>
      <c r="J46" s="103">
        <f t="shared" si="17"/>
        <v>0</v>
      </c>
      <c r="K46" s="8">
        <f>C46-J46</f>
        <v>7700</v>
      </c>
      <c r="L46" s="8">
        <f t="shared" si="16"/>
        <v>7700</v>
      </c>
      <c r="M46" s="68"/>
    </row>
    <row r="47" spans="1:13" s="54" customFormat="1" ht="11.45" customHeight="1" x14ac:dyDescent="0.2">
      <c r="A47" s="18" t="s">
        <v>6</v>
      </c>
      <c r="B47" s="61" t="s">
        <v>5</v>
      </c>
      <c r="C47" s="8">
        <v>4270.8500000000004</v>
      </c>
      <c r="D47" s="33">
        <v>0</v>
      </c>
      <c r="E47" s="33">
        <v>0</v>
      </c>
      <c r="F47" s="33">
        <v>0</v>
      </c>
      <c r="G47" s="33">
        <v>0</v>
      </c>
      <c r="H47" s="8">
        <f>D47+F47+'08-05-21'!H47</f>
        <v>1754.38</v>
      </c>
      <c r="I47" s="8">
        <f>E47+G47+'08-05-21'!I47</f>
        <v>131.57</v>
      </c>
      <c r="J47" s="103">
        <f t="shared" si="17"/>
        <v>1885.95</v>
      </c>
      <c r="K47" s="8">
        <f>C47-J47</f>
        <v>2384.9000000000005</v>
      </c>
      <c r="L47" s="8">
        <f t="shared" si="16"/>
        <v>-8021.5026785713944</v>
      </c>
      <c r="M47" s="88"/>
    </row>
    <row r="48" spans="1:13" s="54" customFormat="1" ht="11.45" hidden="1" customHeight="1" x14ac:dyDescent="0.25">
      <c r="A48" s="18" t="s">
        <v>8</v>
      </c>
      <c r="B48" s="61" t="s">
        <v>7</v>
      </c>
      <c r="C48" s="8">
        <v>0</v>
      </c>
      <c r="D48" s="33"/>
      <c r="E48" s="33"/>
      <c r="F48" s="33"/>
      <c r="G48" s="33"/>
      <c r="H48" s="8">
        <f>D48+F48+'08-05-21'!H48</f>
        <v>0</v>
      </c>
      <c r="I48" s="8">
        <f>E48+G48+'08-05-21'!I48</f>
        <v>0</v>
      </c>
      <c r="J48" s="8">
        <f t="shared" si="17"/>
        <v>0</v>
      </c>
      <c r="K48" s="8">
        <f t="shared" si="18"/>
        <v>0</v>
      </c>
      <c r="L48" s="8">
        <f t="shared" si="16"/>
        <v>0</v>
      </c>
      <c r="M48" s="68"/>
    </row>
    <row r="49" spans="1:13" s="54" customFormat="1" ht="11.45" hidden="1" customHeight="1" x14ac:dyDescent="0.25">
      <c r="A49" s="18" t="s">
        <v>50</v>
      </c>
      <c r="B49" s="61" t="s">
        <v>53</v>
      </c>
      <c r="C49" s="8">
        <v>202.01</v>
      </c>
      <c r="D49" s="33"/>
      <c r="E49" s="33"/>
      <c r="F49" s="33"/>
      <c r="G49" s="33"/>
      <c r="H49" s="8">
        <f>D49+F49+'08-05-21'!H49</f>
        <v>0</v>
      </c>
      <c r="I49" s="8">
        <f>E49+G49+'08-05-21'!I49</f>
        <v>0</v>
      </c>
      <c r="J49" s="8">
        <f t="shared" si="17"/>
        <v>0</v>
      </c>
      <c r="K49" s="8">
        <f t="shared" si="18"/>
        <v>202.01</v>
      </c>
      <c r="L49" s="8">
        <f t="shared" si="16"/>
        <v>202.01</v>
      </c>
      <c r="M49" s="68"/>
    </row>
    <row r="50" spans="1:13" s="54" customFormat="1" ht="11.45" hidden="1" customHeight="1" x14ac:dyDescent="0.25">
      <c r="A50" s="18" t="s">
        <v>51</v>
      </c>
      <c r="B50" s="61" t="s">
        <v>52</v>
      </c>
      <c r="C50" s="8"/>
      <c r="D50" s="33"/>
      <c r="E50" s="33"/>
      <c r="F50" s="33"/>
      <c r="G50" s="33"/>
      <c r="H50" s="8">
        <f>D50+F50+'08-05-21'!H50</f>
        <v>0</v>
      </c>
      <c r="I50" s="8">
        <f>E50+G50+'08-05-21'!I50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63" customFormat="1" ht="11.25" hidden="1" customHeight="1" x14ac:dyDescent="0.25">
      <c r="A51" s="18" t="s">
        <v>45</v>
      </c>
      <c r="B51" s="61" t="s">
        <v>46</v>
      </c>
      <c r="C51" s="62">
        <v>3655.06</v>
      </c>
      <c r="D51" s="33"/>
      <c r="E51" s="33"/>
      <c r="F51" s="33"/>
      <c r="G51" s="33"/>
      <c r="H51" s="8">
        <f>D51+F51+'08-05-21'!H51</f>
        <v>0</v>
      </c>
      <c r="I51" s="8">
        <f>E51+G51+'08-05-21'!I51</f>
        <v>0</v>
      </c>
      <c r="J51" s="8">
        <f t="shared" si="17"/>
        <v>0</v>
      </c>
      <c r="K51" s="8">
        <f>C51-J51</f>
        <v>3655.06</v>
      </c>
      <c r="L51" s="8">
        <f t="shared" si="16"/>
        <v>3655.06</v>
      </c>
      <c r="M51" s="67"/>
    </row>
    <row r="52" spans="1:13" s="63" customFormat="1" ht="11.25" hidden="1" customHeight="1" x14ac:dyDescent="0.25">
      <c r="A52" s="18" t="s">
        <v>61</v>
      </c>
      <c r="B52" s="61" t="s">
        <v>60</v>
      </c>
      <c r="C52" s="62">
        <v>0</v>
      </c>
      <c r="D52" s="33"/>
      <c r="E52" s="33"/>
      <c r="F52" s="33"/>
      <c r="G52" s="33"/>
      <c r="H52" s="8">
        <f>D52+F52+'08-05-21'!H52</f>
        <v>0</v>
      </c>
      <c r="I52" s="8">
        <f>E52+G52+'08-05-21'!I52</f>
        <v>0</v>
      </c>
      <c r="J52" s="8">
        <f t="shared" si="17"/>
        <v>0</v>
      </c>
      <c r="K52" s="8">
        <f>C52-J52</f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67</v>
      </c>
      <c r="B53" s="61" t="s">
        <v>66</v>
      </c>
      <c r="C53" s="62">
        <v>3313.36</v>
      </c>
      <c r="D53" s="62"/>
      <c r="E53" s="62"/>
      <c r="F53" s="62"/>
      <c r="G53" s="62"/>
      <c r="H53" s="8">
        <f>D53+F53+'08-05-21'!H53</f>
        <v>0</v>
      </c>
      <c r="I53" s="8">
        <f>E53+G53+'08-05-21'!I53</f>
        <v>0</v>
      </c>
      <c r="J53" s="8">
        <f t="shared" si="17"/>
        <v>0</v>
      </c>
      <c r="K53" s="8">
        <f>C53-J53</f>
        <v>3313.36</v>
      </c>
      <c r="L53" s="8">
        <f t="shared" si="16"/>
        <v>3313.36</v>
      </c>
      <c r="M53" s="68"/>
    </row>
    <row r="54" spans="1:13" s="63" customFormat="1" ht="11.25" customHeight="1" x14ac:dyDescent="0.25">
      <c r="A54" s="18" t="s">
        <v>68</v>
      </c>
      <c r="B54" s="61" t="s">
        <v>69</v>
      </c>
      <c r="C54" s="62">
        <v>4193.1400000000003</v>
      </c>
      <c r="D54" s="62">
        <v>0</v>
      </c>
      <c r="E54" s="62">
        <v>0</v>
      </c>
      <c r="F54" s="62">
        <v>0</v>
      </c>
      <c r="G54" s="62">
        <v>0</v>
      </c>
      <c r="H54" s="8">
        <f>D54+F54+'08-05-21'!H54</f>
        <v>2.4</v>
      </c>
      <c r="I54" s="8">
        <f>E54+G54+'08-05-21'!I54</f>
        <v>0.02</v>
      </c>
      <c r="J54" s="103">
        <f t="shared" si="17"/>
        <v>2.42</v>
      </c>
      <c r="K54" s="8">
        <f>C54-J54</f>
        <v>4190.72</v>
      </c>
      <c r="L54" s="8">
        <f t="shared" si="16"/>
        <v>4177.3667857142864</v>
      </c>
      <c r="M54" s="68"/>
    </row>
    <row r="55" spans="1:13" s="63" customFormat="1" ht="11.25" customHeight="1" x14ac:dyDescent="0.2">
      <c r="A55" s="18" t="s">
        <v>73</v>
      </c>
      <c r="B55" s="61" t="s">
        <v>72</v>
      </c>
      <c r="C55" s="62">
        <v>4193.1400000000003</v>
      </c>
      <c r="D55" s="62">
        <v>225</v>
      </c>
      <c r="E55" s="62">
        <v>2.7</v>
      </c>
      <c r="F55" s="62">
        <v>0</v>
      </c>
      <c r="G55" s="62">
        <v>0</v>
      </c>
      <c r="H55" s="8">
        <f>D55+F55+'08-05-21'!H55</f>
        <v>2754</v>
      </c>
      <c r="I55" s="8">
        <f>E55+G55+'08-05-21'!I55</f>
        <v>114.28999999999999</v>
      </c>
      <c r="J55" s="103">
        <f t="shared" si="17"/>
        <v>2868.29</v>
      </c>
      <c r="K55" s="8">
        <f>C55-J55</f>
        <v>1324.8500000000004</v>
      </c>
      <c r="L55" s="8">
        <f t="shared" si="16"/>
        <v>-14501.964464285662</v>
      </c>
      <c r="M55" s="88"/>
    </row>
    <row r="56" spans="1:13" ht="21.6" customHeight="1" x14ac:dyDescent="0.25">
      <c r="A56" s="119" t="s">
        <v>88</v>
      </c>
      <c r="B56" s="120"/>
      <c r="C56" s="7">
        <f>SUM(C35:C51)</f>
        <v>34070.68</v>
      </c>
      <c r="D56" s="7"/>
      <c r="E56" s="7"/>
      <c r="F56" s="7"/>
      <c r="G56" s="7"/>
      <c r="H56" s="7">
        <f>SUM(H35:H52)</f>
        <v>5729.43</v>
      </c>
      <c r="I56" s="7">
        <f>SUM(I35:I52)</f>
        <v>185.71259359999999</v>
      </c>
      <c r="J56" s="7">
        <f>SUM(J35:J52)</f>
        <v>5915.1425935999996</v>
      </c>
      <c r="K56" s="7">
        <f>SUM(K35:K52)</f>
        <v>28155.537406399999</v>
      </c>
      <c r="L56" s="7">
        <f>SUM(L35:L52)</f>
        <v>-4483.3744047141772</v>
      </c>
      <c r="M56" s="78"/>
    </row>
    <row r="57" spans="1:13" ht="10.9" customHeight="1" x14ac:dyDescent="0.25">
      <c r="A57" s="13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78"/>
    </row>
    <row r="58" spans="1:13" ht="10.9" customHeight="1" x14ac:dyDescent="0.25">
      <c r="A58" s="13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3" s="53" customFormat="1" ht="10.9" customHeight="1" x14ac:dyDescent="0.25">
      <c r="A59" s="17" t="s">
        <v>4</v>
      </c>
      <c r="B59" s="21" t="s">
        <v>3</v>
      </c>
      <c r="C59" s="96">
        <v>62583</v>
      </c>
      <c r="D59" s="9">
        <v>456.08</v>
      </c>
      <c r="E59" s="9">
        <v>5.47</v>
      </c>
      <c r="F59" s="9">
        <v>100</v>
      </c>
      <c r="G59" s="9">
        <v>7.5</v>
      </c>
      <c r="H59" s="8">
        <f>D59+F59+'08-05-21'!H59</f>
        <v>3888.5299999999997</v>
      </c>
      <c r="I59" s="8">
        <f>E59+G59+'08-05-21'!I59</f>
        <v>115.79</v>
      </c>
      <c r="J59" s="103">
        <f t="shared" ref="J59:J60" si="21">H59+I59</f>
        <v>4004.3199999999997</v>
      </c>
      <c r="K59" s="8">
        <f>C59-J59</f>
        <v>58578.68</v>
      </c>
      <c r="L59" s="8">
        <f t="shared" ref="L59:L60" si="22">C59-((J59/4)*26.0714285714285)</f>
        <v>36483.41428571436</v>
      </c>
      <c r="M59" s="67"/>
    </row>
    <row r="60" spans="1:13" s="53" customFormat="1" ht="10.9" customHeight="1" x14ac:dyDescent="0.25">
      <c r="A60" s="17" t="s">
        <v>64</v>
      </c>
      <c r="B60" s="21" t="s">
        <v>63</v>
      </c>
      <c r="C60" s="103">
        <v>0</v>
      </c>
      <c r="D60" s="8">
        <v>0</v>
      </c>
      <c r="E60" s="8">
        <v>0</v>
      </c>
      <c r="F60" s="8">
        <v>0</v>
      </c>
      <c r="G60" s="8">
        <v>0</v>
      </c>
      <c r="H60" s="8">
        <f>D60+F60+'08-05-21'!H60</f>
        <v>0</v>
      </c>
      <c r="I60" s="8">
        <f>E60+G60+'08-05-21'!I60</f>
        <v>0</v>
      </c>
      <c r="J60" s="103">
        <f t="shared" si="21"/>
        <v>0</v>
      </c>
      <c r="K60" s="8">
        <f>C60-J60</f>
        <v>0</v>
      </c>
      <c r="L60" s="8">
        <f t="shared" si="22"/>
        <v>0</v>
      </c>
      <c r="M60" s="67"/>
    </row>
    <row r="61" spans="1:13" ht="21.6" customHeight="1" x14ac:dyDescent="0.25">
      <c r="A61" s="16" t="s">
        <v>2</v>
      </c>
      <c r="B61" s="15"/>
      <c r="C61" s="14">
        <f>C59+C60</f>
        <v>62583</v>
      </c>
      <c r="D61" s="14">
        <f t="shared" ref="D61:L61" si="23">D59+D60</f>
        <v>456.08</v>
      </c>
      <c r="E61" s="14">
        <f t="shared" si="23"/>
        <v>5.47</v>
      </c>
      <c r="F61" s="14">
        <f t="shared" si="23"/>
        <v>100</v>
      </c>
      <c r="G61" s="14">
        <f t="shared" si="23"/>
        <v>7.5</v>
      </c>
      <c r="H61" s="14">
        <f t="shared" si="23"/>
        <v>3888.5299999999997</v>
      </c>
      <c r="I61" s="14">
        <f t="shared" si="23"/>
        <v>115.79</v>
      </c>
      <c r="J61" s="14">
        <f t="shared" si="23"/>
        <v>4004.3199999999997</v>
      </c>
      <c r="K61" s="14">
        <f t="shared" si="23"/>
        <v>58578.68</v>
      </c>
      <c r="L61" s="14">
        <f t="shared" si="23"/>
        <v>36483.41428571436</v>
      </c>
    </row>
    <row r="62" spans="1:13" ht="10.9" customHeight="1" x14ac:dyDescent="0.25">
      <c r="A62" s="13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ht="10.9" customHeight="1" x14ac:dyDescent="0.25">
      <c r="A63" s="13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s="53" customFormat="1" ht="10.9" customHeight="1" x14ac:dyDescent="0.25">
      <c r="A64" s="17" t="s">
        <v>1</v>
      </c>
      <c r="B64" s="21">
        <v>55180000</v>
      </c>
      <c r="C64" s="103">
        <v>37736</v>
      </c>
      <c r="D64" s="9">
        <v>0</v>
      </c>
      <c r="E64" s="9">
        <v>0</v>
      </c>
      <c r="F64" s="9">
        <v>0</v>
      </c>
      <c r="G64" s="9">
        <v>0</v>
      </c>
      <c r="H64" s="8">
        <f>D64+F64+'08-05-21'!H64</f>
        <v>336.26</v>
      </c>
      <c r="I64" s="8">
        <f>E64+G64+'08-05-21'!I64</f>
        <v>25.21</v>
      </c>
      <c r="J64" s="103">
        <f t="shared" ref="J64" si="24">H64+I64</f>
        <v>361.46999999999997</v>
      </c>
      <c r="K64" s="8">
        <f>C64-J64</f>
        <v>37374.53</v>
      </c>
      <c r="L64" s="8">
        <f>C64-((J64/4)*26.0714285714285)</f>
        <v>35379.990178571432</v>
      </c>
      <c r="M64" s="67"/>
    </row>
    <row r="65" spans="1:19" s="3" customFormat="1" ht="21.6" customHeight="1" x14ac:dyDescent="0.25">
      <c r="A65" s="119" t="s">
        <v>0</v>
      </c>
      <c r="B65" s="120"/>
      <c r="C65" s="7">
        <f t="shared" ref="C65:L65" si="25">SUM(C64)</f>
        <v>37736</v>
      </c>
      <c r="D65" s="7">
        <f t="shared" si="25"/>
        <v>0</v>
      </c>
      <c r="E65" s="7">
        <f t="shared" si="25"/>
        <v>0</v>
      </c>
      <c r="F65" s="7">
        <f t="shared" si="25"/>
        <v>0</v>
      </c>
      <c r="G65" s="7">
        <f t="shared" si="25"/>
        <v>0</v>
      </c>
      <c r="H65" s="7">
        <f t="shared" si="25"/>
        <v>336.26</v>
      </c>
      <c r="I65" s="7">
        <f t="shared" si="25"/>
        <v>25.21</v>
      </c>
      <c r="J65" s="7">
        <f t="shared" si="25"/>
        <v>361.46999999999997</v>
      </c>
      <c r="K65" s="7">
        <f t="shared" si="25"/>
        <v>37374.53</v>
      </c>
      <c r="L65" s="7">
        <f t="shared" si="25"/>
        <v>35379.990178571432</v>
      </c>
      <c r="M65" s="73"/>
    </row>
    <row r="66" spans="1:19" s="3" customFormat="1" ht="11.25" customHeight="1" x14ac:dyDescent="0.25">
      <c r="A66" s="6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73"/>
    </row>
    <row r="67" spans="1:19" s="2" customFormat="1" ht="10.5" customHeight="1" x14ac:dyDescent="0.25">
      <c r="A67" s="122" t="s">
        <v>83</v>
      </c>
      <c r="B67" s="122"/>
      <c r="C67" s="122"/>
      <c r="D67" s="122"/>
      <c r="E67" s="122"/>
      <c r="F67" s="122"/>
      <c r="G67" s="89">
        <v>5955</v>
      </c>
      <c r="M67" s="121"/>
      <c r="N67" s="121"/>
      <c r="O67" s="121"/>
      <c r="P67" s="121"/>
      <c r="Q67" s="121"/>
      <c r="R67" s="121"/>
      <c r="S67" s="89"/>
    </row>
    <row r="68" spans="1:19" s="2" customFormat="1" ht="10.5" customHeight="1" x14ac:dyDescent="0.25">
      <c r="A68" s="122" t="s">
        <v>90</v>
      </c>
      <c r="B68" s="122"/>
      <c r="C68" s="122"/>
      <c r="D68" s="122"/>
      <c r="E68" s="122"/>
      <c r="F68" s="122"/>
      <c r="G68" s="89">
        <v>1332</v>
      </c>
      <c r="M68" s="121"/>
      <c r="N68" s="121"/>
      <c r="O68" s="121"/>
      <c r="P68" s="121"/>
      <c r="Q68" s="121"/>
      <c r="R68" s="121"/>
      <c r="S68" s="89"/>
    </row>
    <row r="69" spans="1:19" s="2" customFormat="1" ht="10.5" customHeight="1" x14ac:dyDescent="0.25">
      <c r="A69" s="122" t="s">
        <v>86</v>
      </c>
      <c r="B69" s="122"/>
      <c r="C69" s="122"/>
      <c r="D69" s="122"/>
      <c r="E69" s="122"/>
      <c r="F69" s="122"/>
      <c r="G69" s="89">
        <v>6941</v>
      </c>
      <c r="M69" s="121"/>
      <c r="N69" s="121"/>
      <c r="O69" s="121"/>
      <c r="P69" s="121"/>
      <c r="Q69" s="121"/>
      <c r="R69" s="121"/>
      <c r="S69" s="89"/>
    </row>
    <row r="70" spans="1:19" s="2" customFormat="1" ht="10.5" customHeight="1" x14ac:dyDescent="0.25">
      <c r="A70" s="122" t="s">
        <v>85</v>
      </c>
      <c r="B70" s="122"/>
      <c r="C70" s="122"/>
      <c r="D70" s="122"/>
      <c r="E70" s="122"/>
      <c r="F70" s="122"/>
      <c r="G70" s="89">
        <v>10800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84</v>
      </c>
      <c r="B71" s="122"/>
      <c r="C71" s="122"/>
      <c r="D71" s="122"/>
      <c r="E71" s="122"/>
      <c r="F71" s="122"/>
      <c r="G71" s="89">
        <v>2880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87</v>
      </c>
      <c r="B72" s="122"/>
      <c r="C72" s="122"/>
      <c r="D72" s="122"/>
      <c r="E72" s="122"/>
      <c r="F72" s="122"/>
      <c r="G72" s="89">
        <v>6450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92</v>
      </c>
      <c r="B73" s="122"/>
      <c r="C73" s="122"/>
      <c r="D73" s="122"/>
      <c r="E73" s="122"/>
      <c r="F73" s="122"/>
      <c r="G73" s="89">
        <v>7700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103</v>
      </c>
      <c r="B74" s="122"/>
      <c r="C74" s="122"/>
      <c r="D74" s="122"/>
      <c r="E74" s="122"/>
      <c r="F74" s="122"/>
      <c r="G74" s="89">
        <v>7700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104</v>
      </c>
      <c r="B75" s="122"/>
      <c r="C75" s="122"/>
      <c r="D75" s="122"/>
      <c r="E75" s="122"/>
      <c r="F75" s="122"/>
      <c r="G75" s="89">
        <v>66000</v>
      </c>
      <c r="M75" s="121"/>
      <c r="N75" s="121"/>
      <c r="O75" s="121"/>
      <c r="P75" s="121"/>
      <c r="Q75" s="121"/>
      <c r="R75" s="121"/>
      <c r="S75" s="89"/>
    </row>
    <row r="76" spans="1:19" ht="10.5" customHeight="1" x14ac:dyDescent="0.25">
      <c r="A76" s="122" t="s">
        <v>101</v>
      </c>
      <c r="B76" s="122"/>
      <c r="C76" s="122"/>
      <c r="D76" s="122"/>
      <c r="E76" s="122"/>
      <c r="F76" s="122"/>
      <c r="G76" s="89">
        <v>3194.08</v>
      </c>
      <c r="M76" s="121"/>
      <c r="N76" s="121"/>
      <c r="O76" s="121"/>
      <c r="P76" s="121"/>
      <c r="Q76" s="121"/>
      <c r="R76" s="121"/>
    </row>
  </sheetData>
  <mergeCells count="26">
    <mergeCell ref="A65:B65"/>
    <mergeCell ref="A18:B18"/>
    <mergeCell ref="A24:B24"/>
    <mergeCell ref="A29:B29"/>
    <mergeCell ref="A32:B32"/>
    <mergeCell ref="A56:B56"/>
    <mergeCell ref="A67:F67"/>
    <mergeCell ref="M67:R67"/>
    <mergeCell ref="A68:F68"/>
    <mergeCell ref="M68:R68"/>
    <mergeCell ref="A69:F69"/>
    <mergeCell ref="M69:R69"/>
    <mergeCell ref="A70:F70"/>
    <mergeCell ref="M70:R70"/>
    <mergeCell ref="A71:F71"/>
    <mergeCell ref="M71:R71"/>
    <mergeCell ref="A72:F72"/>
    <mergeCell ref="M72:R72"/>
    <mergeCell ref="A76:F76"/>
    <mergeCell ref="M76:R76"/>
    <mergeCell ref="A73:F73"/>
    <mergeCell ref="M73:R73"/>
    <mergeCell ref="A74:F74"/>
    <mergeCell ref="M74:R74"/>
    <mergeCell ref="A75:F75"/>
    <mergeCell ref="M75:R75"/>
  </mergeCells>
  <pageMargins left="0.25" right="0" top="0.4" bottom="0" header="0.3" footer="0"/>
  <pageSetup scale="8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7A4F-50E3-434F-B53C-BDA3A7C5CEA1}">
  <sheetPr>
    <pageSetUpPr fitToPage="1"/>
  </sheetPr>
  <dimension ref="A1:S80"/>
  <sheetViews>
    <sheetView zoomScale="145" zoomScaleNormal="14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5.85546875" style="1" bestFit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105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hidden="1" customHeight="1" x14ac:dyDescent="0.25">
      <c r="A3" s="17" t="s">
        <v>32</v>
      </c>
      <c r="B3" s="21">
        <v>55010300</v>
      </c>
      <c r="C3" s="8">
        <v>0</v>
      </c>
      <c r="D3" s="32">
        <v>0</v>
      </c>
      <c r="E3" s="32">
        <v>0</v>
      </c>
      <c r="F3" s="32">
        <v>0</v>
      </c>
      <c r="G3" s="32">
        <v>0</v>
      </c>
      <c r="H3" s="8">
        <f>D3+F3</f>
        <v>0</v>
      </c>
      <c r="I3" s="8">
        <f>E3+G3</f>
        <v>0</v>
      </c>
      <c r="J3" s="8">
        <f>H3+I3</f>
        <v>0</v>
      </c>
      <c r="K3" s="8">
        <f>C3-J3</f>
        <v>0</v>
      </c>
      <c r="L3" s="8">
        <f>C3-((J3/1)*26.0714285714285)</f>
        <v>0</v>
      </c>
      <c r="M3" s="66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0</v>
      </c>
      <c r="E4" s="33">
        <v>0</v>
      </c>
      <c r="F4" s="33">
        <v>1684.39</v>
      </c>
      <c r="G4" s="33">
        <v>126.31</v>
      </c>
      <c r="H4" s="8">
        <f>D4+F4+'08-19-21'!H4</f>
        <v>9055.06</v>
      </c>
      <c r="I4" s="8">
        <f>E4+G4+'08-19-21'!I4</f>
        <v>679.09999999999991</v>
      </c>
      <c r="J4" s="8">
        <f t="shared" ref="J4:J17" si="0">H4+I4</f>
        <v>9734.16</v>
      </c>
      <c r="K4" s="8">
        <f t="shared" ref="K4:K17" si="1">C4-J4</f>
        <v>56265.84</v>
      </c>
      <c r="L4" s="8">
        <f>C4-((J4/5)*26.0714285714285)</f>
        <v>15243.308571428715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D5+F5+'08-19-21'!H5</f>
        <v>0</v>
      </c>
      <c r="I5" s="8">
        <f>E5+G5+'08-19-21'!I5</f>
        <v>0</v>
      </c>
      <c r="J5" s="8">
        <f t="shared" si="0"/>
        <v>0</v>
      </c>
      <c r="K5" s="8">
        <f t="shared" si="1"/>
        <v>2917</v>
      </c>
      <c r="L5" s="8">
        <f t="shared" ref="L5:L17" si="2">C5-((J5/5)*26.0714285714285)</f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247.5</v>
      </c>
      <c r="E6" s="8">
        <v>2.97</v>
      </c>
      <c r="F6" s="8">
        <v>0</v>
      </c>
      <c r="G6" s="8">
        <v>0</v>
      </c>
      <c r="H6" s="8">
        <f>D6+F6+'08-19-21'!H6</f>
        <v>1192.5</v>
      </c>
      <c r="I6" s="8">
        <f>E6+G6+'08-19-21'!I6</f>
        <v>14.3</v>
      </c>
      <c r="J6" s="8">
        <f t="shared" si="0"/>
        <v>1206.8</v>
      </c>
      <c r="K6" s="8">
        <f t="shared" si="1"/>
        <v>5243.2</v>
      </c>
      <c r="L6" s="8">
        <f t="shared" si="2"/>
        <v>157.40000000001783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598.27</v>
      </c>
      <c r="E7" s="41">
        <v>7.17</v>
      </c>
      <c r="F7" s="41">
        <v>0</v>
      </c>
      <c r="G7" s="41">
        <v>0</v>
      </c>
      <c r="H7" s="8">
        <f>D7+F7+'08-19-21'!H7</f>
        <v>3881.91</v>
      </c>
      <c r="I7" s="8">
        <f>E7+G7+'08-19-21'!I7</f>
        <v>46.529999999999959</v>
      </c>
      <c r="J7" s="8">
        <f t="shared" si="0"/>
        <v>3928.4399999999996</v>
      </c>
      <c r="K7" s="8">
        <f t="shared" si="1"/>
        <v>20720.560000000001</v>
      </c>
      <c r="L7" s="8">
        <f t="shared" si="2"/>
        <v>4164.9914285714876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513.96</v>
      </c>
      <c r="E8" s="9">
        <v>6.16</v>
      </c>
      <c r="F8" s="9">
        <v>0</v>
      </c>
      <c r="G8" s="9">
        <v>0</v>
      </c>
      <c r="H8" s="8">
        <f>D8+F8+'08-19-21'!H8</f>
        <v>2714.96</v>
      </c>
      <c r="I8" s="8">
        <f>E8+G8+'08-19-21'!I8</f>
        <v>32.49</v>
      </c>
      <c r="J8" s="8">
        <f t="shared" si="0"/>
        <v>2747.45</v>
      </c>
      <c r="K8" s="8">
        <f t="shared" si="1"/>
        <v>15226.55</v>
      </c>
      <c r="L8" s="8">
        <f t="shared" si="2"/>
        <v>3648.0107142857541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581.94000000000005</v>
      </c>
      <c r="E9" s="9">
        <v>6.97</v>
      </c>
      <c r="F9" s="9">
        <v>0</v>
      </c>
      <c r="G9" s="9">
        <v>0</v>
      </c>
      <c r="H9" s="8">
        <f>D9+F9+'08-19-21'!H9</f>
        <v>3473.73</v>
      </c>
      <c r="I9" s="8">
        <f>E9+G9+'08-19-21'!I9</f>
        <v>113.07</v>
      </c>
      <c r="J9" s="8">
        <f t="shared" si="0"/>
        <v>3586.8</v>
      </c>
      <c r="K9" s="8">
        <f t="shared" si="1"/>
        <v>14387.2</v>
      </c>
      <c r="L9" s="8">
        <f t="shared" si="2"/>
        <v>-728.59999999994761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D10+F10+'08-19-21'!H10</f>
        <v>0</v>
      </c>
      <c r="I10" s="8">
        <f>E10+G10+'08-19-21'!I10</f>
        <v>0</v>
      </c>
      <c r="J10" s="8">
        <f t="shared" si="0"/>
        <v>0</v>
      </c>
      <c r="K10" s="8">
        <f t="shared" si="1"/>
        <v>2109</v>
      </c>
      <c r="L10" s="8">
        <f t="shared" si="2"/>
        <v>2109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264.32</v>
      </c>
      <c r="E11" s="9">
        <v>3.16</v>
      </c>
      <c r="F11" s="9">
        <v>0</v>
      </c>
      <c r="G11" s="9">
        <v>0</v>
      </c>
      <c r="H11" s="8">
        <f>D11+F11+'08-19-21'!H11</f>
        <v>4543.1499999999996</v>
      </c>
      <c r="I11" s="8">
        <f>E11+G11+'08-19-21'!I11</f>
        <v>147.33999999999997</v>
      </c>
      <c r="J11" s="8">
        <f t="shared" si="0"/>
        <v>4690.49</v>
      </c>
      <c r="K11" s="8">
        <f t="shared" si="1"/>
        <v>19639.510000000002</v>
      </c>
      <c r="L11" s="8">
        <f t="shared" si="2"/>
        <v>-127.55499999993117</v>
      </c>
      <c r="M11" s="74"/>
    </row>
    <row r="12" spans="1:13" s="53" customFormat="1" ht="11.25" customHeight="1" x14ac:dyDescent="0.25">
      <c r="A12" s="17" t="s">
        <v>27</v>
      </c>
      <c r="B12" s="105">
        <v>55050200</v>
      </c>
      <c r="C12" s="8">
        <f>34000-271.57</f>
        <v>33728.43</v>
      </c>
      <c r="D12" s="8">
        <v>1208.26</v>
      </c>
      <c r="E12" s="8">
        <v>22.08</v>
      </c>
      <c r="F12" s="8">
        <v>0</v>
      </c>
      <c r="G12" s="8">
        <v>0</v>
      </c>
      <c r="H12" s="8">
        <f>D12+F12+'08-19-21'!H12</f>
        <v>5493.41</v>
      </c>
      <c r="I12" s="8">
        <f>E12+G12+'08-19-21'!I12</f>
        <v>143.82</v>
      </c>
      <c r="J12" s="8">
        <f t="shared" si="0"/>
        <v>5637.23</v>
      </c>
      <c r="K12" s="8">
        <f t="shared" si="1"/>
        <v>28091.200000000001</v>
      </c>
      <c r="L12" s="8">
        <f t="shared" si="2"/>
        <v>4334.3021428572283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1998.38</v>
      </c>
      <c r="E13" s="8">
        <v>23.95</v>
      </c>
      <c r="F13" s="8">
        <v>0</v>
      </c>
      <c r="G13" s="8">
        <v>0</v>
      </c>
      <c r="H13" s="8">
        <f>D13+F13+'08-19-21'!H13</f>
        <v>7504.21</v>
      </c>
      <c r="I13" s="8">
        <f>E13+G13+'08-19-21'!I13</f>
        <v>92.27</v>
      </c>
      <c r="J13" s="8">
        <f t="shared" si="0"/>
        <v>7596.4800000000005</v>
      </c>
      <c r="K13" s="8">
        <f t="shared" si="1"/>
        <v>35144.519999999997</v>
      </c>
      <c r="L13" s="8">
        <f t="shared" si="2"/>
        <v>3130.7828571429636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482.39</v>
      </c>
      <c r="E14" s="9">
        <v>5.78</v>
      </c>
      <c r="F14" s="9">
        <v>0</v>
      </c>
      <c r="G14" s="9">
        <v>0</v>
      </c>
      <c r="H14" s="8">
        <f>D14+F14+'08-19-21'!H14</f>
        <v>1989.8399999999997</v>
      </c>
      <c r="I14" s="8">
        <f>E14+G14+'08-19-21'!I14</f>
        <v>23.840000000000003</v>
      </c>
      <c r="J14" s="8">
        <f t="shared" si="0"/>
        <v>2013.6799999999996</v>
      </c>
      <c r="K14" s="8">
        <f t="shared" si="1"/>
        <v>22159.32</v>
      </c>
      <c r="L14" s="8">
        <f t="shared" si="2"/>
        <v>13673.097142857174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D15+F15+'08-19-21'!H15</f>
        <v>0</v>
      </c>
      <c r="I15" s="8">
        <f>E15+G15+'08-19-21'!I15</f>
        <v>0</v>
      </c>
      <c r="J15" s="8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23.02</v>
      </c>
      <c r="E16" s="9">
        <v>0.27</v>
      </c>
      <c r="F16" s="9">
        <v>0</v>
      </c>
      <c r="G16" s="9">
        <v>0</v>
      </c>
      <c r="H16" s="8">
        <f>D16+F16+'08-19-21'!H16</f>
        <v>555</v>
      </c>
      <c r="I16" s="8">
        <f>E16+G16+'08-19-21'!I16</f>
        <v>15.6</v>
      </c>
      <c r="J16" s="8">
        <f t="shared" si="0"/>
        <v>570.6</v>
      </c>
      <c r="K16" s="8">
        <f t="shared" si="1"/>
        <v>5429.4</v>
      </c>
      <c r="L16" s="8">
        <f t="shared" si="2"/>
        <v>3024.7285714285795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5.75</v>
      </c>
      <c r="F17" s="9">
        <v>0</v>
      </c>
      <c r="G17" s="9">
        <v>0</v>
      </c>
      <c r="H17" s="8">
        <f>D17+F17+'08-19-21'!H17</f>
        <v>2472</v>
      </c>
      <c r="I17" s="8">
        <f>E17+G17+'08-19-21'!I17</f>
        <v>29.650000000000002</v>
      </c>
      <c r="J17" s="8">
        <f t="shared" si="0"/>
        <v>2501.65</v>
      </c>
      <c r="K17" s="8">
        <f t="shared" si="1"/>
        <v>8298.35</v>
      </c>
      <c r="L17" s="8">
        <f t="shared" si="2"/>
        <v>-2244.3178571428216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284600.43</v>
      </c>
      <c r="D18" s="7">
        <f t="shared" ref="D18:L18" si="4">SUM(D3:D17)</f>
        <v>6398.0400000000009</v>
      </c>
      <c r="E18" s="7">
        <f t="shared" si="4"/>
        <v>84.259999999999991</v>
      </c>
      <c r="F18" s="7">
        <f t="shared" si="4"/>
        <v>1684.39</v>
      </c>
      <c r="G18" s="7">
        <f t="shared" si="4"/>
        <v>126.31</v>
      </c>
      <c r="H18" s="7">
        <f t="shared" si="4"/>
        <v>42875.77</v>
      </c>
      <c r="I18" s="7">
        <f t="shared" si="4"/>
        <v>1338.0099999999995</v>
      </c>
      <c r="J18" s="35">
        <f t="shared" si="4"/>
        <v>44213.78</v>
      </c>
      <c r="K18" s="35">
        <f t="shared" si="4"/>
        <v>251186.65</v>
      </c>
      <c r="L18" s="7">
        <f t="shared" si="4"/>
        <v>64857.148571429214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 t="s">
        <v>77</v>
      </c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D22+F22+'08-19-21'!H22</f>
        <v>0</v>
      </c>
      <c r="I22" s="8">
        <f>E22+G22+'08-19-21'!I22</f>
        <v>0</v>
      </c>
      <c r="J22" s="8">
        <f t="shared" si="6"/>
        <v>0</v>
      </c>
      <c r="K22" s="8">
        <f t="shared" ref="K22:K23" si="8">C22-J22</f>
        <v>13953</v>
      </c>
      <c r="L22" s="8">
        <f t="shared" ref="L22:L23" si="9">C22-((J22/5)*26.0714285714285)</f>
        <v>13953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D23+F23+'08-19-21'!H23</f>
        <v>0</v>
      </c>
      <c r="I23" s="8">
        <f>E23+G23+'08-19-21'!I23</f>
        <v>0</v>
      </c>
      <c r="J23" s="8">
        <f t="shared" si="6"/>
        <v>0</v>
      </c>
      <c r="K23" s="8">
        <f t="shared" si="8"/>
        <v>2026</v>
      </c>
      <c r="L23" s="8">
        <f t="shared" si="9"/>
        <v>2026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0</v>
      </c>
      <c r="E24" s="7">
        <f t="shared" si="10"/>
        <v>0</v>
      </c>
      <c r="F24" s="7">
        <f t="shared" si="10"/>
        <v>0</v>
      </c>
      <c r="G24" s="7">
        <f t="shared" si="10"/>
        <v>0</v>
      </c>
      <c r="H24" s="8">
        <f>D24+F24+'07-22-21'!H23</f>
        <v>0</v>
      </c>
      <c r="I24" s="8">
        <f>E24+G24+'07-22-21'!I23</f>
        <v>0</v>
      </c>
      <c r="J24" s="35">
        <f t="shared" si="10"/>
        <v>0</v>
      </c>
      <c r="K24" s="7">
        <f t="shared" si="10"/>
        <v>15979</v>
      </c>
      <c r="L24" s="7">
        <f t="shared" si="10"/>
        <v>15979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480</v>
      </c>
      <c r="E27" s="9">
        <v>5.75</v>
      </c>
      <c r="F27" s="9">
        <v>607.5</v>
      </c>
      <c r="G27" s="9">
        <v>45.56</v>
      </c>
      <c r="H27" s="8">
        <f>D27+F27+'08-19-21'!H27</f>
        <v>3129.75</v>
      </c>
      <c r="I27" s="8">
        <f>E27+G27+'08-19-21'!I27</f>
        <v>138.78</v>
      </c>
      <c r="J27" s="8">
        <f t="shared" ref="J27:J28" si="11">H27+I27</f>
        <v>3268.53</v>
      </c>
      <c r="K27" s="8">
        <f>C27-J27</f>
        <v>21731.47</v>
      </c>
      <c r="L27" s="8">
        <f>C27-((J27/5)*26.0714285714285)</f>
        <v>7956.9507142857619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480</v>
      </c>
      <c r="E29" s="31">
        <f t="shared" si="14"/>
        <v>5.75</v>
      </c>
      <c r="F29" s="31">
        <f t="shared" si="14"/>
        <v>607.5</v>
      </c>
      <c r="G29" s="31">
        <f t="shared" si="14"/>
        <v>45.56</v>
      </c>
      <c r="H29" s="31">
        <f t="shared" si="14"/>
        <v>3129.75</v>
      </c>
      <c r="I29" s="31">
        <f t="shared" si="14"/>
        <v>138.78</v>
      </c>
      <c r="J29" s="31">
        <f t="shared" si="14"/>
        <v>3268.53</v>
      </c>
      <c r="K29" s="31">
        <f t="shared" si="14"/>
        <v>21731.47</v>
      </c>
      <c r="L29" s="31">
        <f t="shared" si="14"/>
        <v>7956.9507142857619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325579.43</v>
      </c>
      <c r="D32" s="24">
        <f t="shared" si="15"/>
        <v>6878.0400000000009</v>
      </c>
      <c r="E32" s="24">
        <f t="shared" si="15"/>
        <v>90.009999999999991</v>
      </c>
      <c r="F32" s="24">
        <f t="shared" si="15"/>
        <v>2291.8900000000003</v>
      </c>
      <c r="G32" s="24">
        <f t="shared" si="15"/>
        <v>171.87</v>
      </c>
      <c r="H32" s="24">
        <f t="shared" si="15"/>
        <v>46005.52</v>
      </c>
      <c r="I32" s="24">
        <f t="shared" si="15"/>
        <v>1476.7899999999995</v>
      </c>
      <c r="J32" s="24">
        <f t="shared" si="15"/>
        <v>47482.31</v>
      </c>
      <c r="K32" s="24">
        <f t="shared" si="15"/>
        <v>288897.12</v>
      </c>
      <c r="L32" s="24">
        <f t="shared" si="15"/>
        <v>88793.099285714983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9">
        <v>200</v>
      </c>
      <c r="E35" s="9">
        <v>2.39</v>
      </c>
      <c r="F35" s="9">
        <v>0</v>
      </c>
      <c r="G35" s="9">
        <v>0</v>
      </c>
      <c r="H35" s="8">
        <f>D35+F35+'08-19-21'!H35</f>
        <v>945.94</v>
      </c>
      <c r="I35" s="8">
        <f>E35+G35+'08-19-21'!I35</f>
        <v>17.803599999999999</v>
      </c>
      <c r="J35" s="8">
        <f>H35+I35</f>
        <v>963.74360000000001</v>
      </c>
      <c r="K35" s="8">
        <f>C35-J35</f>
        <v>2230.3364000000001</v>
      </c>
      <c r="L35" s="8">
        <f t="shared" ref="L35:L56" si="16">C35-((J35/5)*26.0714285714285)</f>
        <v>-1831.1544857142717</v>
      </c>
      <c r="M35" s="76"/>
    </row>
    <row r="36" spans="1:13" s="59" customFormat="1" ht="11.25" hidden="1" customHeight="1" x14ac:dyDescent="0.25">
      <c r="A36" s="22" t="s">
        <v>13</v>
      </c>
      <c r="B36" s="19" t="s">
        <v>12</v>
      </c>
      <c r="C36" s="83"/>
      <c r="D36" s="9"/>
      <c r="E36" s="9"/>
      <c r="F36" s="9"/>
      <c r="G36" s="9"/>
      <c r="H36" s="8">
        <f>D36+F36+'08-19-21'!H36</f>
        <v>0</v>
      </c>
      <c r="I36" s="8">
        <f>E36+G36+'08-19-21'!I36</f>
        <v>0</v>
      </c>
      <c r="J36" s="8">
        <f t="shared" ref="J36:J56" si="17">H36+I36</f>
        <v>0</v>
      </c>
      <c r="K36" s="8">
        <f t="shared" ref="K36:K51" si="18">C36-J36</f>
        <v>0</v>
      </c>
      <c r="L36" s="8">
        <f t="shared" si="16"/>
        <v>0</v>
      </c>
      <c r="M36" s="71"/>
    </row>
    <row r="37" spans="1:13" s="60" customFormat="1" ht="11.25" hidden="1" customHeight="1" x14ac:dyDescent="0.25">
      <c r="A37" s="20" t="s">
        <v>11</v>
      </c>
      <c r="B37" s="21" t="s">
        <v>10</v>
      </c>
      <c r="C37" s="8">
        <v>0</v>
      </c>
      <c r="D37" s="32"/>
      <c r="E37" s="32"/>
      <c r="F37" s="32"/>
      <c r="G37" s="32"/>
      <c r="H37" s="8">
        <f>D37+F37+'08-19-21'!H37</f>
        <v>0</v>
      </c>
      <c r="I37" s="8">
        <f>E37+G37+'08-19-21'!I37</f>
        <v>0</v>
      </c>
      <c r="J37" s="8">
        <f t="shared" si="17"/>
        <v>0</v>
      </c>
      <c r="K37" s="8">
        <f t="shared" si="18"/>
        <v>0</v>
      </c>
      <c r="L37" s="8">
        <f t="shared" si="16"/>
        <v>0</v>
      </c>
      <c r="M37" s="72"/>
    </row>
    <row r="38" spans="1:13" s="60" customFormat="1" ht="11.25" hidden="1" customHeight="1" x14ac:dyDescent="0.25">
      <c r="A38" s="86" t="s">
        <v>71</v>
      </c>
      <c r="B38" s="77" t="s">
        <v>9</v>
      </c>
      <c r="C38" s="82"/>
      <c r="D38" s="8"/>
      <c r="E38" s="8"/>
      <c r="F38" s="8"/>
      <c r="G38" s="8"/>
      <c r="H38" s="8">
        <f>D38+F38+'08-19-21'!H38</f>
        <v>36.659999999999997</v>
      </c>
      <c r="I38" s="8">
        <f>E38+G38+'08-19-21'!I38</f>
        <v>0.43899359999999998</v>
      </c>
      <c r="J38" s="9">
        <f t="shared" si="17"/>
        <v>37.0989936</v>
      </c>
      <c r="K38" s="100">
        <f t="shared" si="18"/>
        <v>-37.0989936</v>
      </c>
      <c r="L38" s="8">
        <f t="shared" si="16"/>
        <v>-193.44475234285662</v>
      </c>
      <c r="M38" s="68"/>
    </row>
    <row r="39" spans="1:13" s="60" customFormat="1" ht="11.25" hidden="1" customHeight="1" x14ac:dyDescent="0.25">
      <c r="A39" s="18" t="s">
        <v>62</v>
      </c>
      <c r="B39" s="61" t="s">
        <v>54</v>
      </c>
      <c r="C39" s="8">
        <v>356.53</v>
      </c>
      <c r="D39" s="32"/>
      <c r="E39" s="32"/>
      <c r="F39" s="32"/>
      <c r="G39" s="32"/>
      <c r="H39" s="8">
        <f>D39+F39+'08-19-21'!H39</f>
        <v>0</v>
      </c>
      <c r="I39" s="8">
        <f>E39+G39+'08-19-21'!I39</f>
        <v>0</v>
      </c>
      <c r="J39" s="8">
        <f t="shared" si="17"/>
        <v>0</v>
      </c>
      <c r="K39" s="8">
        <f t="shared" si="18"/>
        <v>356.53</v>
      </c>
      <c r="L39" s="8">
        <f t="shared" si="16"/>
        <v>356.53</v>
      </c>
      <c r="M39" s="75"/>
    </row>
    <row r="40" spans="1:13" s="60" customFormat="1" ht="11.45" hidden="1" customHeight="1" x14ac:dyDescent="0.25">
      <c r="A40" s="18" t="s">
        <v>58</v>
      </c>
      <c r="B40" s="61" t="s">
        <v>57</v>
      </c>
      <c r="C40" s="8">
        <v>554.22</v>
      </c>
      <c r="D40" s="32"/>
      <c r="E40" s="32"/>
      <c r="F40" s="32"/>
      <c r="G40" s="32"/>
      <c r="H40" s="8">
        <f>D40+F40+'08-19-21'!H40</f>
        <v>0</v>
      </c>
      <c r="I40" s="8">
        <f>E40+G40+'08-19-21'!I40</f>
        <v>0</v>
      </c>
      <c r="J40" s="8">
        <f t="shared" si="17"/>
        <v>0</v>
      </c>
      <c r="K40" s="8">
        <f>C40-J40</f>
        <v>554.22</v>
      </c>
      <c r="L40" s="8">
        <f t="shared" si="16"/>
        <v>554.22</v>
      </c>
      <c r="M40" s="72"/>
    </row>
    <row r="41" spans="1:13" s="54" customFormat="1" ht="11.45" customHeight="1" x14ac:dyDescent="0.2">
      <c r="A41" s="18" t="s">
        <v>48</v>
      </c>
      <c r="B41" s="61" t="s">
        <v>49</v>
      </c>
      <c r="C41" s="8">
        <v>6710</v>
      </c>
      <c r="D41" s="33">
        <v>0</v>
      </c>
      <c r="E41" s="33">
        <v>0</v>
      </c>
      <c r="F41" s="33">
        <v>0</v>
      </c>
      <c r="G41" s="33">
        <v>0</v>
      </c>
      <c r="H41" s="8">
        <f>D41+F41+'08-19-21'!H41</f>
        <v>582.25</v>
      </c>
      <c r="I41" s="8">
        <f>E41+G41+'08-19-21'!I41</f>
        <v>6.97</v>
      </c>
      <c r="J41" s="8">
        <f t="shared" si="17"/>
        <v>589.22</v>
      </c>
      <c r="K41" s="8">
        <f>C41-J41</f>
        <v>6120.78</v>
      </c>
      <c r="L41" s="8">
        <f t="shared" si="16"/>
        <v>3637.6385714285798</v>
      </c>
      <c r="M41" s="88"/>
    </row>
    <row r="42" spans="1:13" s="60" customFormat="1" ht="11.25" customHeight="1" x14ac:dyDescent="0.2">
      <c r="A42" s="18" t="s">
        <v>81</v>
      </c>
      <c r="B42" s="105" t="s">
        <v>82</v>
      </c>
      <c r="C42" s="8">
        <f>2880+271.57</f>
        <v>3151.57</v>
      </c>
      <c r="D42" s="32">
        <v>883.5</v>
      </c>
      <c r="E42" s="32">
        <v>3.01</v>
      </c>
      <c r="F42" s="32">
        <v>0</v>
      </c>
      <c r="G42" s="32">
        <v>0</v>
      </c>
      <c r="H42" s="8">
        <f>D42+F42+'08-19-21'!H42</f>
        <v>3121.7</v>
      </c>
      <c r="I42" s="8">
        <f>E42+G42+'08-19-21'!I42</f>
        <v>29.869999999999997</v>
      </c>
      <c r="J42" s="9">
        <f t="shared" si="17"/>
        <v>3151.5699999999997</v>
      </c>
      <c r="K42" s="92">
        <f t="shared" ref="K42:K43" si="19">C42-J42</f>
        <v>0</v>
      </c>
      <c r="L42" s="8">
        <f t="shared" si="16"/>
        <v>-13281.616428571382</v>
      </c>
      <c r="M42" s="88"/>
    </row>
    <row r="43" spans="1:13" s="60" customFormat="1" ht="11.25" customHeight="1" x14ac:dyDescent="0.2">
      <c r="A43" s="18" t="s">
        <v>89</v>
      </c>
      <c r="B43" s="105">
        <v>55110100</v>
      </c>
      <c r="C43" s="8">
        <v>1332</v>
      </c>
      <c r="D43" s="32">
        <v>0</v>
      </c>
      <c r="E43" s="32">
        <v>0</v>
      </c>
      <c r="F43" s="32">
        <v>0</v>
      </c>
      <c r="G43" s="32">
        <v>0</v>
      </c>
      <c r="H43" s="8">
        <f>D43+F43+'08-19-21'!H43</f>
        <v>0</v>
      </c>
      <c r="I43" s="8">
        <f>E43+G43+'08-19-21'!I43</f>
        <v>0</v>
      </c>
      <c r="J43" s="9">
        <f t="shared" si="17"/>
        <v>0</v>
      </c>
      <c r="K43" s="92">
        <f t="shared" si="19"/>
        <v>1332</v>
      </c>
      <c r="L43" s="8">
        <f t="shared" si="16"/>
        <v>1332</v>
      </c>
      <c r="M43" s="88"/>
    </row>
    <row r="44" spans="1:13" s="60" customFormat="1" ht="11.25" customHeight="1" x14ac:dyDescent="0.2">
      <c r="A44" s="94" t="s">
        <v>108</v>
      </c>
      <c r="B44" s="61" t="s">
        <v>109</v>
      </c>
      <c r="C44" s="96">
        <v>5000</v>
      </c>
      <c r="D44" s="97">
        <v>0</v>
      </c>
      <c r="E44" s="97">
        <v>0</v>
      </c>
      <c r="F44" s="97">
        <v>0</v>
      </c>
      <c r="G44" s="97">
        <v>0</v>
      </c>
      <c r="H44" s="96">
        <f>D44+F44</f>
        <v>0</v>
      </c>
      <c r="I44" s="96">
        <f>E44+G44</f>
        <v>0</v>
      </c>
      <c r="J44" s="96">
        <f t="shared" ref="J44" si="20">H44+I44</f>
        <v>0</v>
      </c>
      <c r="K44" s="102">
        <f t="shared" ref="K44" si="21">C44-J44</f>
        <v>5000</v>
      </c>
      <c r="L44" s="96">
        <f t="shared" ref="L44" si="22">C44-((J44/5)*26.0714285714285)</f>
        <v>5000</v>
      </c>
      <c r="M44" s="88"/>
    </row>
    <row r="45" spans="1:13" s="54" customFormat="1" ht="11.45" customHeight="1" x14ac:dyDescent="0.25">
      <c r="A45" s="18" t="s">
        <v>93</v>
      </c>
      <c r="B45" s="61" t="s">
        <v>47</v>
      </c>
      <c r="C45" s="8">
        <f>1734.35+7700-7700</f>
        <v>1734.3500000000004</v>
      </c>
      <c r="D45" s="62">
        <v>0</v>
      </c>
      <c r="E45" s="62">
        <v>0</v>
      </c>
      <c r="F45" s="62">
        <v>0</v>
      </c>
      <c r="G45" s="62">
        <v>0</v>
      </c>
      <c r="H45" s="8">
        <f>D45+F45+'08-19-21'!H44</f>
        <v>372</v>
      </c>
      <c r="I45" s="8">
        <f>E45+G45+'08-19-21'!I44</f>
        <v>4.46</v>
      </c>
      <c r="J45" s="8">
        <f t="shared" si="17"/>
        <v>376.46</v>
      </c>
      <c r="K45" s="8">
        <f>C45-J45</f>
        <v>1357.8900000000003</v>
      </c>
      <c r="L45" s="8">
        <f t="shared" si="16"/>
        <v>-228.61999999999421</v>
      </c>
      <c r="M45" s="68"/>
    </row>
    <row r="46" spans="1:13" s="54" customFormat="1" ht="11.45" hidden="1" customHeight="1" x14ac:dyDescent="0.25">
      <c r="A46" s="18" t="s">
        <v>55</v>
      </c>
      <c r="B46" s="61" t="s">
        <v>56</v>
      </c>
      <c r="C46" s="8">
        <v>1481.58</v>
      </c>
      <c r="D46" s="33"/>
      <c r="E46" s="33"/>
      <c r="F46" s="33"/>
      <c r="G46" s="33"/>
      <c r="H46" s="8">
        <f>D46+F46+'08-19-21'!H45</f>
        <v>0</v>
      </c>
      <c r="I46" s="8">
        <f>E46+G46+'08-19-21'!I45</f>
        <v>0</v>
      </c>
      <c r="J46" s="8">
        <f t="shared" si="17"/>
        <v>0</v>
      </c>
      <c r="K46" s="8">
        <f t="shared" ref="K46" si="23">C46-J46</f>
        <v>1481.58</v>
      </c>
      <c r="L46" s="8">
        <f t="shared" si="16"/>
        <v>1481.58</v>
      </c>
      <c r="M46" s="68"/>
    </row>
    <row r="47" spans="1:13" s="54" customFormat="1" ht="11.45" customHeight="1" x14ac:dyDescent="0.25">
      <c r="A47" s="18" t="s">
        <v>94</v>
      </c>
      <c r="B47" s="61" t="s">
        <v>95</v>
      </c>
      <c r="C47" s="8">
        <v>7700</v>
      </c>
      <c r="D47" s="33">
        <v>0</v>
      </c>
      <c r="E47" s="33">
        <v>0</v>
      </c>
      <c r="F47" s="33">
        <v>0</v>
      </c>
      <c r="G47" s="33">
        <v>0</v>
      </c>
      <c r="H47" s="8">
        <f>D47+F47+'08-19-21'!H46</f>
        <v>0</v>
      </c>
      <c r="I47" s="8">
        <f>E47+G47+'08-19-21'!I46</f>
        <v>0</v>
      </c>
      <c r="J47" s="8">
        <f t="shared" si="17"/>
        <v>0</v>
      </c>
      <c r="K47" s="8">
        <f>C47-J47</f>
        <v>7700</v>
      </c>
      <c r="L47" s="8">
        <f t="shared" si="16"/>
        <v>7700</v>
      </c>
      <c r="M47" s="68"/>
    </row>
    <row r="48" spans="1:13" s="54" customFormat="1" ht="11.45" customHeight="1" x14ac:dyDescent="0.2">
      <c r="A48" s="18" t="s">
        <v>6</v>
      </c>
      <c r="B48" s="61" t="s">
        <v>5</v>
      </c>
      <c r="C48" s="8">
        <v>4270.8500000000004</v>
      </c>
      <c r="D48" s="33">
        <v>0</v>
      </c>
      <c r="E48" s="33">
        <v>0</v>
      </c>
      <c r="F48" s="33">
        <v>0</v>
      </c>
      <c r="G48" s="33">
        <v>0</v>
      </c>
      <c r="H48" s="8">
        <f>D48+F48+'08-19-21'!H47</f>
        <v>1754.38</v>
      </c>
      <c r="I48" s="8">
        <f>E48+G48+'08-19-21'!I47</f>
        <v>131.57</v>
      </c>
      <c r="J48" s="8">
        <f t="shared" si="17"/>
        <v>1885.95</v>
      </c>
      <c r="K48" s="8">
        <f>C48-J48</f>
        <v>2384.9000000000005</v>
      </c>
      <c r="L48" s="8">
        <f t="shared" si="16"/>
        <v>-5563.0321428571151</v>
      </c>
      <c r="M48" s="88"/>
    </row>
    <row r="49" spans="1:13" s="54" customFormat="1" ht="11.45" hidden="1" customHeight="1" x14ac:dyDescent="0.25">
      <c r="A49" s="18" t="s">
        <v>8</v>
      </c>
      <c r="B49" s="61" t="s">
        <v>7</v>
      </c>
      <c r="C49" s="8">
        <v>0</v>
      </c>
      <c r="D49" s="33"/>
      <c r="E49" s="33"/>
      <c r="F49" s="33"/>
      <c r="G49" s="33"/>
      <c r="H49" s="8">
        <f>D49+F49+'08-19-21'!H48</f>
        <v>0</v>
      </c>
      <c r="I49" s="8">
        <f>E49+G49+'08-19-21'!I48</f>
        <v>0</v>
      </c>
      <c r="J49" s="8">
        <f t="shared" si="17"/>
        <v>0</v>
      </c>
      <c r="K49" s="8">
        <f t="shared" si="18"/>
        <v>0</v>
      </c>
      <c r="L49" s="8">
        <f t="shared" si="16"/>
        <v>0</v>
      </c>
      <c r="M49" s="68"/>
    </row>
    <row r="50" spans="1:13" s="54" customFormat="1" ht="11.45" hidden="1" customHeight="1" x14ac:dyDescent="0.25">
      <c r="A50" s="18" t="s">
        <v>50</v>
      </c>
      <c r="B50" s="61" t="s">
        <v>53</v>
      </c>
      <c r="C50" s="8">
        <v>202.01</v>
      </c>
      <c r="D50" s="33"/>
      <c r="E50" s="33"/>
      <c r="F50" s="33"/>
      <c r="G50" s="33"/>
      <c r="H50" s="8">
        <f>D50+F50+'08-19-21'!H49</f>
        <v>0</v>
      </c>
      <c r="I50" s="8">
        <f>E50+G50+'08-19-21'!I49</f>
        <v>0</v>
      </c>
      <c r="J50" s="8">
        <f t="shared" si="17"/>
        <v>0</v>
      </c>
      <c r="K50" s="8">
        <f t="shared" si="18"/>
        <v>202.01</v>
      </c>
      <c r="L50" s="8">
        <f t="shared" si="16"/>
        <v>202.01</v>
      </c>
      <c r="M50" s="68"/>
    </row>
    <row r="51" spans="1:13" s="54" customFormat="1" ht="11.45" hidden="1" customHeight="1" x14ac:dyDescent="0.25">
      <c r="A51" s="18" t="s">
        <v>51</v>
      </c>
      <c r="B51" s="61" t="s">
        <v>52</v>
      </c>
      <c r="C51" s="8"/>
      <c r="D51" s="33"/>
      <c r="E51" s="33"/>
      <c r="F51" s="33"/>
      <c r="G51" s="33"/>
      <c r="H51" s="8">
        <f>D51+F51+'08-19-21'!H50</f>
        <v>0</v>
      </c>
      <c r="I51" s="8">
        <f>E51+G51+'08-19-21'!I50</f>
        <v>0</v>
      </c>
      <c r="J51" s="8">
        <f t="shared" si="17"/>
        <v>0</v>
      </c>
      <c r="K51" s="8">
        <f t="shared" si="18"/>
        <v>0</v>
      </c>
      <c r="L51" s="8">
        <f t="shared" si="16"/>
        <v>0</v>
      </c>
      <c r="M51" s="68"/>
    </row>
    <row r="52" spans="1:13" s="63" customFormat="1" ht="11.25" hidden="1" customHeight="1" x14ac:dyDescent="0.25">
      <c r="A52" s="18" t="s">
        <v>45</v>
      </c>
      <c r="B52" s="61" t="s">
        <v>46</v>
      </c>
      <c r="C52" s="62">
        <v>3655.06</v>
      </c>
      <c r="D52" s="33"/>
      <c r="E52" s="33"/>
      <c r="F52" s="33"/>
      <c r="G52" s="33"/>
      <c r="H52" s="8">
        <f>D52+F52+'08-19-21'!H51</f>
        <v>0</v>
      </c>
      <c r="I52" s="8">
        <f>E52+G52+'08-19-21'!I51</f>
        <v>0</v>
      </c>
      <c r="J52" s="8">
        <f t="shared" si="17"/>
        <v>0</v>
      </c>
      <c r="K52" s="8">
        <f t="shared" ref="K52:K57" si="24">C52-J52</f>
        <v>3655.06</v>
      </c>
      <c r="L52" s="8">
        <f t="shared" si="16"/>
        <v>3655.06</v>
      </c>
      <c r="M52" s="67"/>
    </row>
    <row r="53" spans="1:13" s="63" customFormat="1" ht="11.25" hidden="1" customHeight="1" x14ac:dyDescent="0.25">
      <c r="A53" s="18" t="s">
        <v>61</v>
      </c>
      <c r="B53" s="61" t="s">
        <v>60</v>
      </c>
      <c r="C53" s="62">
        <v>0</v>
      </c>
      <c r="D53" s="33"/>
      <c r="E53" s="33"/>
      <c r="F53" s="33"/>
      <c r="G53" s="33"/>
      <c r="H53" s="8">
        <f>D53+F53+'08-19-21'!H52</f>
        <v>0</v>
      </c>
      <c r="I53" s="8">
        <f>E53+G53+'08-19-21'!I52</f>
        <v>0</v>
      </c>
      <c r="J53" s="8">
        <f t="shared" si="17"/>
        <v>0</v>
      </c>
      <c r="K53" s="8">
        <f t="shared" si="24"/>
        <v>0</v>
      </c>
      <c r="L53" s="8">
        <f t="shared" si="16"/>
        <v>0</v>
      </c>
      <c r="M53" s="68"/>
    </row>
    <row r="54" spans="1:13" s="63" customFormat="1" ht="11.25" hidden="1" customHeight="1" x14ac:dyDescent="0.25">
      <c r="A54" s="18" t="s">
        <v>67</v>
      </c>
      <c r="B54" s="61" t="s">
        <v>66</v>
      </c>
      <c r="C54" s="62">
        <v>3313.36</v>
      </c>
      <c r="D54" s="62"/>
      <c r="E54" s="62"/>
      <c r="F54" s="62"/>
      <c r="G54" s="62"/>
      <c r="H54" s="8">
        <f>D54+F54+'08-19-21'!H53</f>
        <v>0</v>
      </c>
      <c r="I54" s="8">
        <f>E54+G54+'08-19-21'!I53</f>
        <v>0</v>
      </c>
      <c r="J54" s="8">
        <f t="shared" si="17"/>
        <v>0</v>
      </c>
      <c r="K54" s="8">
        <f t="shared" si="24"/>
        <v>3313.36</v>
      </c>
      <c r="L54" s="8">
        <f t="shared" si="16"/>
        <v>3313.36</v>
      </c>
      <c r="M54" s="68"/>
    </row>
    <row r="55" spans="1:13" s="63" customFormat="1" ht="11.25" customHeight="1" x14ac:dyDescent="0.25">
      <c r="A55" s="18" t="s">
        <v>68</v>
      </c>
      <c r="B55" s="61" t="s">
        <v>69</v>
      </c>
      <c r="C55" s="62">
        <v>4193.1400000000003</v>
      </c>
      <c r="D55" s="62">
        <v>0</v>
      </c>
      <c r="E55" s="62">
        <v>0</v>
      </c>
      <c r="F55" s="62">
        <v>0</v>
      </c>
      <c r="G55" s="62">
        <v>0</v>
      </c>
      <c r="H55" s="8">
        <f>D55+F55+'08-19-21'!H54</f>
        <v>2.4</v>
      </c>
      <c r="I55" s="8">
        <f>E55+G55+'08-19-21'!I54</f>
        <v>0.02</v>
      </c>
      <c r="J55" s="8">
        <f t="shared" si="17"/>
        <v>2.42</v>
      </c>
      <c r="K55" s="8">
        <f t="shared" si="24"/>
        <v>4190.72</v>
      </c>
      <c r="L55" s="8">
        <f t="shared" si="16"/>
        <v>4180.5214285714292</v>
      </c>
      <c r="M55" s="68"/>
    </row>
    <row r="56" spans="1:13" s="63" customFormat="1" ht="11.25" customHeight="1" x14ac:dyDescent="0.2">
      <c r="A56" s="18" t="s">
        <v>73</v>
      </c>
      <c r="B56" s="61" t="s">
        <v>72</v>
      </c>
      <c r="C56" s="62">
        <v>4193.1400000000003</v>
      </c>
      <c r="D56" s="62">
        <v>0</v>
      </c>
      <c r="E56" s="62">
        <v>0</v>
      </c>
      <c r="F56" s="62">
        <v>0</v>
      </c>
      <c r="G56" s="62">
        <v>0</v>
      </c>
      <c r="H56" s="8">
        <f>D56+F56+'08-19-21'!H55</f>
        <v>2754</v>
      </c>
      <c r="I56" s="8">
        <f>E56+G56+'08-19-21'!I55</f>
        <v>114.28999999999999</v>
      </c>
      <c r="J56" s="8">
        <f t="shared" si="17"/>
        <v>2868.29</v>
      </c>
      <c r="K56" s="8">
        <f t="shared" si="24"/>
        <v>1324.8500000000004</v>
      </c>
      <c r="L56" s="8">
        <f t="shared" si="16"/>
        <v>-10762.943571428528</v>
      </c>
      <c r="M56" s="88"/>
    </row>
    <row r="57" spans="1:13" s="63" customFormat="1" ht="11.25" customHeight="1" x14ac:dyDescent="0.2">
      <c r="A57" s="94" t="s">
        <v>106</v>
      </c>
      <c r="B57" s="61" t="s">
        <v>107</v>
      </c>
      <c r="C57" s="101">
        <v>2600</v>
      </c>
      <c r="D57" s="101">
        <v>104</v>
      </c>
      <c r="E57" s="101">
        <v>1.24</v>
      </c>
      <c r="F57" s="101">
        <v>0</v>
      </c>
      <c r="G57" s="101">
        <v>0</v>
      </c>
      <c r="H57" s="96">
        <f>D57+F57</f>
        <v>104</v>
      </c>
      <c r="I57" s="96">
        <f>E57+G57</f>
        <v>1.24</v>
      </c>
      <c r="J57" s="96">
        <f t="shared" ref="J57" si="25">H57+I57</f>
        <v>105.24</v>
      </c>
      <c r="K57" s="96">
        <f t="shared" si="24"/>
        <v>2494.7600000000002</v>
      </c>
      <c r="L57" s="96">
        <f t="shared" ref="L57" si="26">C57-((J57/5)*26.0714285714285)</f>
        <v>2051.2485714285731</v>
      </c>
      <c r="M57" s="88"/>
    </row>
    <row r="58" spans="1:13" ht="21.6" customHeight="1" x14ac:dyDescent="0.25">
      <c r="A58" s="119" t="s">
        <v>88</v>
      </c>
      <c r="B58" s="120"/>
      <c r="C58" s="7">
        <f>SUM(C35:C52)</f>
        <v>39342.25</v>
      </c>
      <c r="D58" s="7"/>
      <c r="E58" s="7"/>
      <c r="F58" s="7"/>
      <c r="G58" s="7"/>
      <c r="H58" s="7">
        <f>SUM(H35:H53)</f>
        <v>6812.9299999999994</v>
      </c>
      <c r="I58" s="7">
        <f>SUM(I35:I53)</f>
        <v>191.1125936</v>
      </c>
      <c r="J58" s="7">
        <f>SUM(J35:J53)</f>
        <v>7004.0425935999992</v>
      </c>
      <c r="K58" s="7">
        <f>SUM(K35:K53)</f>
        <v>32338.207406400004</v>
      </c>
      <c r="L58" s="7">
        <f>SUM(L35:L53)</f>
        <v>2821.170761942959</v>
      </c>
      <c r="M58" s="78"/>
    </row>
    <row r="59" spans="1:13" ht="10.9" customHeight="1" x14ac:dyDescent="0.25">
      <c r="A59" s="13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3" s="53" customFormat="1" ht="10.9" customHeight="1" x14ac:dyDescent="0.25">
      <c r="A61" s="17" t="s">
        <v>4</v>
      </c>
      <c r="B61" s="21" t="s">
        <v>3</v>
      </c>
      <c r="C61" s="8">
        <v>62583</v>
      </c>
      <c r="D61" s="9">
        <v>857.75</v>
      </c>
      <c r="E61" s="9">
        <v>10.28</v>
      </c>
      <c r="F61" s="9">
        <v>0</v>
      </c>
      <c r="G61" s="9">
        <v>0</v>
      </c>
      <c r="H61" s="8">
        <f>D61+F61+'08-19-21'!H59</f>
        <v>4746.28</v>
      </c>
      <c r="I61" s="8">
        <f>E61+G61+'08-19-21'!I59</f>
        <v>126.07000000000001</v>
      </c>
      <c r="J61" s="8">
        <f t="shared" ref="J61:J62" si="27">H61+I61</f>
        <v>4872.3499999999995</v>
      </c>
      <c r="K61" s="8">
        <f>C61-J61</f>
        <v>57710.65</v>
      </c>
      <c r="L61" s="8">
        <f t="shared" ref="L61:L62" si="28">C61-((J61/5)*26.0714285714285)</f>
        <v>37177.175000000076</v>
      </c>
      <c r="M61" s="67"/>
    </row>
    <row r="62" spans="1:13" s="53" customFormat="1" ht="10.9" customHeight="1" x14ac:dyDescent="0.25">
      <c r="A62" s="17" t="s">
        <v>64</v>
      </c>
      <c r="B62" s="21" t="s">
        <v>63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D62+F62+'08-19-21'!H60</f>
        <v>0</v>
      </c>
      <c r="I62" s="8">
        <f>E62+G62+'08-19-21'!I60</f>
        <v>0</v>
      </c>
      <c r="J62" s="8">
        <f t="shared" si="27"/>
        <v>0</v>
      </c>
      <c r="K62" s="8">
        <f>C62-J62</f>
        <v>0</v>
      </c>
      <c r="L62" s="8">
        <f t="shared" si="28"/>
        <v>0</v>
      </c>
      <c r="M62" s="67"/>
    </row>
    <row r="63" spans="1:13" ht="21.6" customHeight="1" x14ac:dyDescent="0.25">
      <c r="A63" s="16" t="s">
        <v>2</v>
      </c>
      <c r="B63" s="15"/>
      <c r="C63" s="14">
        <f>C61+C62</f>
        <v>62583</v>
      </c>
      <c r="D63" s="14">
        <f t="shared" ref="D63:L63" si="29">D61+D62</f>
        <v>857.75</v>
      </c>
      <c r="E63" s="14">
        <f t="shared" si="29"/>
        <v>10.28</v>
      </c>
      <c r="F63" s="14">
        <f t="shared" si="29"/>
        <v>0</v>
      </c>
      <c r="G63" s="14">
        <f t="shared" si="29"/>
        <v>0</v>
      </c>
      <c r="H63" s="14">
        <f t="shared" si="29"/>
        <v>4746.28</v>
      </c>
      <c r="I63" s="14">
        <f t="shared" si="29"/>
        <v>126.07000000000001</v>
      </c>
      <c r="J63" s="14">
        <f t="shared" si="29"/>
        <v>4872.3499999999995</v>
      </c>
      <c r="K63" s="14">
        <f t="shared" si="29"/>
        <v>57710.65</v>
      </c>
      <c r="L63" s="14">
        <f t="shared" si="29"/>
        <v>37177.175000000076</v>
      </c>
    </row>
    <row r="64" spans="1:13" ht="10.9" customHeight="1" x14ac:dyDescent="0.25">
      <c r="A64" s="13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s="53" customFormat="1" ht="10.9" customHeight="1" x14ac:dyDescent="0.25">
      <c r="A66" s="17" t="s">
        <v>1</v>
      </c>
      <c r="B66" s="21">
        <v>55180000</v>
      </c>
      <c r="C66" s="8">
        <v>37736</v>
      </c>
      <c r="D66" s="9">
        <v>0</v>
      </c>
      <c r="E66" s="9">
        <v>0</v>
      </c>
      <c r="F66" s="9">
        <v>0</v>
      </c>
      <c r="G66" s="9">
        <v>0</v>
      </c>
      <c r="H66" s="8">
        <f>D66+F66+'08-19-21'!H64</f>
        <v>336.26</v>
      </c>
      <c r="I66" s="8">
        <f>E66+G66+'08-19-21'!I64</f>
        <v>25.21</v>
      </c>
      <c r="J66" s="8">
        <f t="shared" ref="J66" si="30">H66+I66</f>
        <v>361.46999999999997</v>
      </c>
      <c r="K66" s="8">
        <f>C66-J66</f>
        <v>37374.53</v>
      </c>
      <c r="L66" s="8">
        <f>C66-((J66/5)*26.0714285714285)</f>
        <v>35851.192142857151</v>
      </c>
      <c r="M66" s="67"/>
    </row>
    <row r="67" spans="1:19" s="3" customFormat="1" ht="21.6" customHeight="1" x14ac:dyDescent="0.25">
      <c r="A67" s="119" t="s">
        <v>0</v>
      </c>
      <c r="B67" s="120"/>
      <c r="C67" s="7">
        <f t="shared" ref="C67:L67" si="31">SUM(C66)</f>
        <v>37736</v>
      </c>
      <c r="D67" s="7">
        <f t="shared" si="31"/>
        <v>0</v>
      </c>
      <c r="E67" s="7">
        <f t="shared" si="31"/>
        <v>0</v>
      </c>
      <c r="F67" s="7">
        <f t="shared" si="31"/>
        <v>0</v>
      </c>
      <c r="G67" s="7">
        <f t="shared" si="31"/>
        <v>0</v>
      </c>
      <c r="H67" s="7">
        <f t="shared" si="31"/>
        <v>336.26</v>
      </c>
      <c r="I67" s="7">
        <f t="shared" si="31"/>
        <v>25.21</v>
      </c>
      <c r="J67" s="7">
        <f t="shared" si="31"/>
        <v>361.46999999999997</v>
      </c>
      <c r="K67" s="7">
        <f t="shared" si="31"/>
        <v>37374.53</v>
      </c>
      <c r="L67" s="7">
        <f t="shared" si="31"/>
        <v>35851.192142857151</v>
      </c>
      <c r="M67" s="73"/>
    </row>
    <row r="68" spans="1:19" s="3" customFormat="1" ht="11.25" customHeight="1" x14ac:dyDescent="0.25">
      <c r="A68" s="6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73"/>
    </row>
    <row r="69" spans="1:19" s="2" customFormat="1" ht="10.5" customHeight="1" x14ac:dyDescent="0.25">
      <c r="A69" s="122" t="s">
        <v>83</v>
      </c>
      <c r="B69" s="122"/>
      <c r="C69" s="122"/>
      <c r="D69" s="122"/>
      <c r="E69" s="122"/>
      <c r="F69" s="122"/>
      <c r="G69" s="89">
        <v>5955</v>
      </c>
      <c r="M69" s="121"/>
      <c r="N69" s="121"/>
      <c r="O69" s="121"/>
      <c r="P69" s="121"/>
      <c r="Q69" s="121"/>
      <c r="R69" s="121"/>
      <c r="S69" s="89"/>
    </row>
    <row r="70" spans="1:19" s="2" customFormat="1" ht="10.5" customHeight="1" x14ac:dyDescent="0.25">
      <c r="A70" s="122" t="s">
        <v>90</v>
      </c>
      <c r="B70" s="122"/>
      <c r="C70" s="122"/>
      <c r="D70" s="122"/>
      <c r="E70" s="122"/>
      <c r="F70" s="122"/>
      <c r="G70" s="89">
        <v>1332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86</v>
      </c>
      <c r="B71" s="122"/>
      <c r="C71" s="122"/>
      <c r="D71" s="122"/>
      <c r="E71" s="122"/>
      <c r="F71" s="122"/>
      <c r="G71" s="89">
        <v>6941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85</v>
      </c>
      <c r="B72" s="122"/>
      <c r="C72" s="122"/>
      <c r="D72" s="122"/>
      <c r="E72" s="122"/>
      <c r="F72" s="122"/>
      <c r="G72" s="89">
        <v>10800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84</v>
      </c>
      <c r="B73" s="122"/>
      <c r="C73" s="122"/>
      <c r="D73" s="122"/>
      <c r="E73" s="122"/>
      <c r="F73" s="122"/>
      <c r="G73" s="89">
        <v>2880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87</v>
      </c>
      <c r="B74" s="122"/>
      <c r="C74" s="122"/>
      <c r="D74" s="122"/>
      <c r="E74" s="122"/>
      <c r="F74" s="122"/>
      <c r="G74" s="89">
        <v>6450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92</v>
      </c>
      <c r="B75" s="122"/>
      <c r="C75" s="122"/>
      <c r="D75" s="122"/>
      <c r="E75" s="122"/>
      <c r="F75" s="122"/>
      <c r="G75" s="89">
        <v>7700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103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104</v>
      </c>
      <c r="B77" s="122"/>
      <c r="C77" s="122"/>
      <c r="D77" s="122"/>
      <c r="E77" s="122"/>
      <c r="F77" s="122"/>
      <c r="G77" s="89">
        <v>66000</v>
      </c>
      <c r="M77" s="121"/>
      <c r="N77" s="121"/>
      <c r="O77" s="121"/>
      <c r="P77" s="121"/>
      <c r="Q77" s="121"/>
      <c r="R77" s="121"/>
      <c r="S77" s="89"/>
    </row>
    <row r="78" spans="1:19" ht="10.5" customHeight="1" x14ac:dyDescent="0.25">
      <c r="A78" s="122" t="s">
        <v>101</v>
      </c>
      <c r="B78" s="122"/>
      <c r="C78" s="122"/>
      <c r="D78" s="122"/>
      <c r="E78" s="122"/>
      <c r="F78" s="122"/>
      <c r="G78" s="89">
        <v>3194.08</v>
      </c>
      <c r="M78" s="121"/>
      <c r="N78" s="121"/>
      <c r="O78" s="121"/>
      <c r="P78" s="121"/>
      <c r="Q78" s="121"/>
      <c r="R78" s="121"/>
    </row>
    <row r="79" spans="1:19" ht="10.5" customHeight="1" x14ac:dyDescent="0.25">
      <c r="A79" s="122" t="s">
        <v>110</v>
      </c>
      <c r="B79" s="122"/>
      <c r="C79" s="122"/>
      <c r="D79" s="122"/>
      <c r="E79" s="122"/>
      <c r="F79" s="122"/>
      <c r="G79" s="89">
        <v>2600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111</v>
      </c>
      <c r="B80" s="122"/>
      <c r="C80" s="122"/>
      <c r="D80" s="122"/>
      <c r="E80" s="122"/>
      <c r="F80" s="122"/>
      <c r="G80" s="89">
        <v>5000</v>
      </c>
      <c r="M80" s="121"/>
      <c r="N80" s="121"/>
      <c r="O80" s="121"/>
      <c r="P80" s="121"/>
      <c r="Q80" s="121"/>
      <c r="R80" s="121"/>
    </row>
  </sheetData>
  <mergeCells count="30">
    <mergeCell ref="A67:B67"/>
    <mergeCell ref="A18:B18"/>
    <mergeCell ref="A24:B24"/>
    <mergeCell ref="A29:B29"/>
    <mergeCell ref="A32:B32"/>
    <mergeCell ref="A58:B58"/>
    <mergeCell ref="A69:F69"/>
    <mergeCell ref="M69:R6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80:F80"/>
    <mergeCell ref="M80:R80"/>
    <mergeCell ref="A78:F78"/>
    <mergeCell ref="M78:R78"/>
    <mergeCell ref="A79:F79"/>
    <mergeCell ref="M79:R79"/>
  </mergeCells>
  <pageMargins left="0.25" right="0" top="0.4" bottom="0" header="0.3" footer="0"/>
  <pageSetup scale="8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D904-848F-42F3-AE15-2A78800F7D7E}">
  <sheetPr>
    <pageSetUpPr fitToPage="1"/>
  </sheetPr>
  <dimension ref="A1:S84"/>
  <sheetViews>
    <sheetView zoomScale="145" zoomScaleNormal="145" workbookViewId="0">
      <pane ySplit="2" topLeftCell="A15" activePane="bottomLeft" state="frozen"/>
      <selection pane="bottomLeft" activeCell="D27" sqref="D27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112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0</v>
      </c>
      <c r="E3" s="32">
        <v>0</v>
      </c>
      <c r="F3" s="32">
        <v>0</v>
      </c>
      <c r="G3" s="32">
        <v>0</v>
      </c>
      <c r="H3" s="8">
        <f>D3+F3</f>
        <v>0</v>
      </c>
      <c r="I3" s="8">
        <f>E3+G3</f>
        <v>0</v>
      </c>
      <c r="J3" s="8">
        <f>H3+I3</f>
        <v>0</v>
      </c>
      <c r="K3" s="8">
        <f>C3-J3</f>
        <v>1000</v>
      </c>
      <c r="L3" s="8">
        <f>C3-((J3/6)*26.0714285714285)</f>
        <v>1000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81.25</v>
      </c>
      <c r="E4" s="33">
        <v>0.97</v>
      </c>
      <c r="F4" s="33">
        <v>993.75</v>
      </c>
      <c r="G4" s="33">
        <v>74.53</v>
      </c>
      <c r="H4" s="8">
        <f>D4+F4+'09-02-21'!H4</f>
        <v>10130.06</v>
      </c>
      <c r="I4" s="8">
        <f>E4+G4+'09-02-21'!I4</f>
        <v>754.59999999999991</v>
      </c>
      <c r="J4" s="8">
        <f t="shared" ref="J4:J17" si="0">H4+I4</f>
        <v>10884.66</v>
      </c>
      <c r="K4" s="8">
        <f t="shared" ref="K4:K17" si="1">C4-J4</f>
        <v>55115.34</v>
      </c>
      <c r="L4" s="8">
        <f t="shared" ref="L4:L17" si="2">C4-((J4/6)*26.0714285714285)</f>
        <v>18703.56071428585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D5+F5+'09-02-21'!H5</f>
        <v>0</v>
      </c>
      <c r="I5" s="8">
        <f>E5+G5+'09-02-21'!I5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157.5</v>
      </c>
      <c r="E6" s="8">
        <v>1.89</v>
      </c>
      <c r="F6" s="8">
        <v>0</v>
      </c>
      <c r="G6" s="8">
        <v>0</v>
      </c>
      <c r="H6" s="8">
        <f>D6+F6+'09-02-21'!H6</f>
        <v>1350</v>
      </c>
      <c r="I6" s="8">
        <f>E6+G6+'09-02-21'!I6</f>
        <v>16.190000000000001</v>
      </c>
      <c r="J6" s="8">
        <f t="shared" si="0"/>
        <v>1366.19</v>
      </c>
      <c r="K6" s="8">
        <f t="shared" si="1"/>
        <v>5083.8099999999995</v>
      </c>
      <c r="L6" s="8">
        <f t="shared" si="2"/>
        <v>513.5791666666828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873.95</v>
      </c>
      <c r="E7" s="41">
        <v>10.48</v>
      </c>
      <c r="F7" s="41">
        <v>815.63</v>
      </c>
      <c r="G7" s="41">
        <v>61.17</v>
      </c>
      <c r="H7" s="8">
        <f>D7+F7+'09-02-21'!H7</f>
        <v>5571.49</v>
      </c>
      <c r="I7" s="8">
        <f>E7+G7+'09-02-21'!I7</f>
        <v>118.17999999999996</v>
      </c>
      <c r="J7" s="8">
        <f t="shared" si="0"/>
        <v>5689.67</v>
      </c>
      <c r="K7" s="8">
        <f t="shared" si="1"/>
        <v>18959.330000000002</v>
      </c>
      <c r="L7" s="8">
        <f t="shared" si="2"/>
        <v>-73.970833333263727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490.31</v>
      </c>
      <c r="E8" s="9">
        <v>5.88</v>
      </c>
      <c r="F8" s="9">
        <v>0</v>
      </c>
      <c r="G8" s="9">
        <v>0</v>
      </c>
      <c r="H8" s="8">
        <f>D8+F8+'09-02-21'!H8</f>
        <v>3205.27</v>
      </c>
      <c r="I8" s="8">
        <f>E8+G8+'09-02-21'!I8</f>
        <v>38.370000000000005</v>
      </c>
      <c r="J8" s="8">
        <f t="shared" si="0"/>
        <v>3243.64</v>
      </c>
      <c r="K8" s="8">
        <f t="shared" si="1"/>
        <v>14730.36</v>
      </c>
      <c r="L8" s="8">
        <f t="shared" si="2"/>
        <v>3879.6119047619432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568.22</v>
      </c>
      <c r="E9" s="9">
        <v>6.81</v>
      </c>
      <c r="F9" s="9">
        <v>0</v>
      </c>
      <c r="G9" s="9">
        <v>0</v>
      </c>
      <c r="H9" s="8">
        <f>D9+F9+'09-02-21'!H9</f>
        <v>4041.95</v>
      </c>
      <c r="I9" s="8">
        <f>E9+G9+'09-02-21'!I9</f>
        <v>119.88</v>
      </c>
      <c r="J9" s="8">
        <f t="shared" si="0"/>
        <v>4161.83</v>
      </c>
      <c r="K9" s="8">
        <f t="shared" si="1"/>
        <v>13812.17</v>
      </c>
      <c r="L9" s="8">
        <f t="shared" si="2"/>
        <v>-110.14226190471163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D10+F10+'09-02-21'!H10</f>
        <v>0</v>
      </c>
      <c r="I10" s="8">
        <f>E10+G10+'09-02-21'!I10</f>
        <v>0</v>
      </c>
      <c r="J10" s="8">
        <f t="shared" si="0"/>
        <v>0</v>
      </c>
      <c r="K10" s="8">
        <f t="shared" si="1"/>
        <v>2109</v>
      </c>
      <c r="L10" s="8">
        <f t="shared" si="2"/>
        <v>2109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213.47</v>
      </c>
      <c r="E11" s="9">
        <v>2.56</v>
      </c>
      <c r="F11" s="9">
        <v>0</v>
      </c>
      <c r="G11" s="9">
        <v>0</v>
      </c>
      <c r="H11" s="8">
        <f>D11+F11+'09-02-21'!H11</f>
        <v>4756.62</v>
      </c>
      <c r="I11" s="8">
        <f>E11+G11+'09-02-21'!I11</f>
        <v>149.89999999999998</v>
      </c>
      <c r="J11" s="8">
        <f t="shared" si="0"/>
        <v>4906.5199999999995</v>
      </c>
      <c r="K11" s="8">
        <f t="shared" si="1"/>
        <v>19423.48</v>
      </c>
      <c r="L11" s="8">
        <f t="shared" si="2"/>
        <v>3010.0023809524428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1066.81</v>
      </c>
      <c r="E12" s="8">
        <v>12.8</v>
      </c>
      <c r="F12" s="8">
        <v>0</v>
      </c>
      <c r="G12" s="8">
        <v>0</v>
      </c>
      <c r="H12" s="8">
        <f>D12+F12+'09-02-21'!H12</f>
        <v>6560.2199999999993</v>
      </c>
      <c r="I12" s="8">
        <f>E12+G12+'09-02-21'!I12</f>
        <v>156.62</v>
      </c>
      <c r="J12" s="8">
        <f t="shared" si="0"/>
        <v>6716.8399999999992</v>
      </c>
      <c r="K12" s="8">
        <f t="shared" si="1"/>
        <v>27011.59</v>
      </c>
      <c r="L12" s="8">
        <f t="shared" si="2"/>
        <v>4542.1609523810403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f>138.87+1548.45</f>
        <v>1687.3200000000002</v>
      </c>
      <c r="E13" s="8">
        <f>1.66+18.58</f>
        <v>20.239999999999998</v>
      </c>
      <c r="F13" s="8">
        <v>0</v>
      </c>
      <c r="G13" s="8">
        <v>0</v>
      </c>
      <c r="H13" s="8">
        <f>D13+F13+'09-02-21'!H13</f>
        <v>9191.5300000000007</v>
      </c>
      <c r="I13" s="8">
        <f>E13+G13+'09-02-21'!I13</f>
        <v>112.50999999999999</v>
      </c>
      <c r="J13" s="8">
        <f t="shared" si="0"/>
        <v>9304.0400000000009</v>
      </c>
      <c r="K13" s="8">
        <f t="shared" si="1"/>
        <v>33436.959999999999</v>
      </c>
      <c r="L13" s="8">
        <f t="shared" si="2"/>
        <v>2312.7309523810618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334.28</v>
      </c>
      <c r="E14" s="9">
        <v>4.01</v>
      </c>
      <c r="F14" s="9">
        <v>0</v>
      </c>
      <c r="G14" s="9">
        <v>0</v>
      </c>
      <c r="H14" s="8">
        <f>D14+F14+'09-02-21'!H14</f>
        <v>2324.12</v>
      </c>
      <c r="I14" s="8">
        <f>E14+G14+'09-02-21'!I14</f>
        <v>27.85</v>
      </c>
      <c r="J14" s="8">
        <f t="shared" si="0"/>
        <v>2351.9699999999998</v>
      </c>
      <c r="K14" s="8">
        <f t="shared" si="1"/>
        <v>21821.03</v>
      </c>
      <c r="L14" s="8">
        <f t="shared" si="2"/>
        <v>13953.130357142887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D15+F15+'09-02-21'!H15</f>
        <v>0</v>
      </c>
      <c r="I15" s="8">
        <f>E15+G15+'09-02-21'!I15</f>
        <v>0</v>
      </c>
      <c r="J15" s="8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0</v>
      </c>
      <c r="E16" s="9">
        <v>0</v>
      </c>
      <c r="F16" s="9">
        <v>0</v>
      </c>
      <c r="G16" s="9">
        <v>0</v>
      </c>
      <c r="H16" s="8">
        <f>D16+F16+'09-02-21'!H16</f>
        <v>555</v>
      </c>
      <c r="I16" s="8">
        <f>E16+G16+'09-02-21'!I16</f>
        <v>15.6</v>
      </c>
      <c r="J16" s="8">
        <f t="shared" si="0"/>
        <v>570.6</v>
      </c>
      <c r="K16" s="8">
        <f t="shared" si="1"/>
        <v>5429.4</v>
      </c>
      <c r="L16" s="8">
        <f t="shared" si="2"/>
        <v>3520.6071428571495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5.76</v>
      </c>
      <c r="F17" s="9">
        <v>0</v>
      </c>
      <c r="G17" s="9">
        <v>0</v>
      </c>
      <c r="H17" s="8">
        <f>D17+F17+'09-02-21'!H17</f>
        <v>2952</v>
      </c>
      <c r="I17" s="8">
        <f>E17+G17+'09-02-21'!I17</f>
        <v>35.410000000000004</v>
      </c>
      <c r="J17" s="8">
        <f t="shared" si="0"/>
        <v>2987.41</v>
      </c>
      <c r="K17" s="8">
        <f t="shared" si="1"/>
        <v>7812.59</v>
      </c>
      <c r="L17" s="8">
        <f t="shared" si="2"/>
        <v>-2181.0077380952007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5953.11</v>
      </c>
      <c r="E18" s="7">
        <f t="shared" si="4"/>
        <v>71.400000000000006</v>
      </c>
      <c r="F18" s="7">
        <f t="shared" si="4"/>
        <v>1809.38</v>
      </c>
      <c r="G18" s="7">
        <f t="shared" si="4"/>
        <v>135.69999999999999</v>
      </c>
      <c r="H18" s="7">
        <f t="shared" si="4"/>
        <v>50638.26</v>
      </c>
      <c r="I18" s="7">
        <f t="shared" si="4"/>
        <v>1545.1099999999997</v>
      </c>
      <c r="J18" s="35">
        <f t="shared" si="4"/>
        <v>52183.369999999995</v>
      </c>
      <c r="K18" s="35">
        <f t="shared" si="4"/>
        <v>244217.05999999997</v>
      </c>
      <c r="L18" s="7">
        <f t="shared" si="4"/>
        <v>69651.262738095887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D22+F22+'09-02-21'!H22</f>
        <v>0</v>
      </c>
      <c r="I22" s="8">
        <f>E22+G22+'09-02-21'!I22</f>
        <v>0</v>
      </c>
      <c r="J22" s="8">
        <f t="shared" si="6"/>
        <v>0</v>
      </c>
      <c r="K22" s="8">
        <f t="shared" ref="K22:K23" si="8">C22-J22</f>
        <v>13953</v>
      </c>
      <c r="L22" s="8">
        <f t="shared" ref="L22:L23" si="9">C22-((J22/6)*26.0714285714285)</f>
        <v>13953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0</v>
      </c>
      <c r="E23" s="32">
        <v>0</v>
      </c>
      <c r="F23" s="32">
        <v>0</v>
      </c>
      <c r="G23" s="32">
        <v>0</v>
      </c>
      <c r="H23" s="8">
        <f>D23+F23+'09-02-21'!H23</f>
        <v>0</v>
      </c>
      <c r="I23" s="8">
        <f>E23+G23+'09-02-21'!I23</f>
        <v>0</v>
      </c>
      <c r="J23" s="8">
        <f t="shared" si="6"/>
        <v>0</v>
      </c>
      <c r="K23" s="8">
        <f t="shared" si="8"/>
        <v>2026</v>
      </c>
      <c r="L23" s="8">
        <f t="shared" si="9"/>
        <v>2026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0</v>
      </c>
      <c r="E24" s="7">
        <f t="shared" si="10"/>
        <v>0</v>
      </c>
      <c r="F24" s="7">
        <f t="shared" si="10"/>
        <v>0</v>
      </c>
      <c r="G24" s="7">
        <f t="shared" si="10"/>
        <v>0</v>
      </c>
      <c r="H24" s="8">
        <f>D24+F24+'07-22-21'!H23</f>
        <v>0</v>
      </c>
      <c r="I24" s="8">
        <f>E24+G24+'07-22-21'!I23</f>
        <v>0</v>
      </c>
      <c r="J24" s="35">
        <f t="shared" si="10"/>
        <v>0</v>
      </c>
      <c r="K24" s="7">
        <f t="shared" si="10"/>
        <v>15979</v>
      </c>
      <c r="L24" s="7">
        <f t="shared" si="10"/>
        <v>15979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1177.5</v>
      </c>
      <c r="E27" s="9">
        <v>14.12</v>
      </c>
      <c r="F27" s="9">
        <v>300</v>
      </c>
      <c r="G27" s="9">
        <v>22.5</v>
      </c>
      <c r="H27" s="8">
        <f>D27+F27+'09-02-21'!H27</f>
        <v>4607.25</v>
      </c>
      <c r="I27" s="8">
        <f>E27+G27+'09-02-21'!I27</f>
        <v>175.4</v>
      </c>
      <c r="J27" s="8">
        <f t="shared" ref="J27:J28" si="11">H27+I27</f>
        <v>4782.6499999999996</v>
      </c>
      <c r="K27" s="8">
        <f>C27-J27</f>
        <v>20217.349999999999</v>
      </c>
      <c r="L27" s="8">
        <f>C27-((J27/6)*26.0714285714285)</f>
        <v>4218.2470238095848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1177.5</v>
      </c>
      <c r="E29" s="31">
        <f t="shared" si="14"/>
        <v>14.12</v>
      </c>
      <c r="F29" s="31">
        <f t="shared" si="14"/>
        <v>300</v>
      </c>
      <c r="G29" s="31">
        <f t="shared" si="14"/>
        <v>22.5</v>
      </c>
      <c r="H29" s="31">
        <f t="shared" si="14"/>
        <v>4607.25</v>
      </c>
      <c r="I29" s="31">
        <f t="shared" si="14"/>
        <v>175.4</v>
      </c>
      <c r="J29" s="31">
        <f t="shared" si="14"/>
        <v>4782.6499999999996</v>
      </c>
      <c r="K29" s="31">
        <f t="shared" si="14"/>
        <v>20217.349999999999</v>
      </c>
      <c r="L29" s="31">
        <f t="shared" si="14"/>
        <v>4218.2470238095848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7130.61</v>
      </c>
      <c r="E32" s="24">
        <f t="shared" si="15"/>
        <v>85.52000000000001</v>
      </c>
      <c r="F32" s="24">
        <f t="shared" si="15"/>
        <v>2109.38</v>
      </c>
      <c r="G32" s="24">
        <f t="shared" si="15"/>
        <v>158.19999999999999</v>
      </c>
      <c r="H32" s="24">
        <f t="shared" si="15"/>
        <v>55245.51</v>
      </c>
      <c r="I32" s="24">
        <f t="shared" si="15"/>
        <v>1720.5099999999998</v>
      </c>
      <c r="J32" s="24">
        <f t="shared" si="15"/>
        <v>56966.02</v>
      </c>
      <c r="K32" s="24">
        <f t="shared" si="15"/>
        <v>280413.40999999997</v>
      </c>
      <c r="L32" s="24">
        <f t="shared" si="15"/>
        <v>89848.509761905472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9">
        <v>200</v>
      </c>
      <c r="E35" s="9">
        <v>2.4</v>
      </c>
      <c r="F35" s="9">
        <v>0</v>
      </c>
      <c r="G35" s="9">
        <v>0</v>
      </c>
      <c r="H35" s="8">
        <f>D35+F35+'09-02-21'!H35</f>
        <v>1145.94</v>
      </c>
      <c r="I35" s="8">
        <f>E35+G35+'09-02-21'!I35</f>
        <v>20.203599999999998</v>
      </c>
      <c r="J35" s="8">
        <f>H35+I35</f>
        <v>1166.1436000000001</v>
      </c>
      <c r="K35" s="8">
        <f>C35-J35</f>
        <v>2027.9363999999998</v>
      </c>
      <c r="L35" s="8">
        <f t="shared" ref="L35:L58" si="16">C35-((J35/6)*26.0714285714285)</f>
        <v>-1873.091595238081</v>
      </c>
      <c r="M35" s="76"/>
    </row>
    <row r="36" spans="1:13" s="59" customFormat="1" ht="11.25" customHeight="1" x14ac:dyDescent="0.25">
      <c r="A36" s="108" t="s">
        <v>117</v>
      </c>
      <c r="B36" s="95" t="s">
        <v>12</v>
      </c>
      <c r="C36" s="109">
        <v>900</v>
      </c>
      <c r="D36" s="96">
        <v>0</v>
      </c>
      <c r="E36" s="96">
        <v>0</v>
      </c>
      <c r="F36" s="96">
        <v>0</v>
      </c>
      <c r="G36" s="96">
        <v>0</v>
      </c>
      <c r="H36" s="96">
        <f>D36+F36+'09-02-21'!H36</f>
        <v>0</v>
      </c>
      <c r="I36" s="96">
        <f>E36+G36+'09-02-21'!I36</f>
        <v>0</v>
      </c>
      <c r="J36" s="96">
        <f t="shared" ref="J36:J58" si="17">H36+I36</f>
        <v>0</v>
      </c>
      <c r="K36" s="96">
        <f t="shared" ref="K36:K58" si="18">C36-J36</f>
        <v>900</v>
      </c>
      <c r="L36" s="8">
        <f t="shared" si="16"/>
        <v>900</v>
      </c>
      <c r="M36" s="70"/>
    </row>
    <row r="37" spans="1:13" s="59" customFormat="1" ht="11.25" customHeight="1" x14ac:dyDescent="0.25">
      <c r="A37" s="108" t="s">
        <v>114</v>
      </c>
      <c r="B37" s="95" t="s">
        <v>12</v>
      </c>
      <c r="C37" s="109">
        <v>12000</v>
      </c>
      <c r="D37" s="96">
        <v>0</v>
      </c>
      <c r="E37" s="96">
        <v>0</v>
      </c>
      <c r="F37" s="96">
        <v>0</v>
      </c>
      <c r="G37" s="96">
        <v>0</v>
      </c>
      <c r="H37" s="96">
        <f>D37+F37+'09-02-21'!H37</f>
        <v>0</v>
      </c>
      <c r="I37" s="96">
        <f>E37+G37+'09-02-21'!I37</f>
        <v>0</v>
      </c>
      <c r="J37" s="96">
        <f t="shared" ref="J37" si="19">H37+I37</f>
        <v>0</v>
      </c>
      <c r="K37" s="96">
        <f t="shared" ref="K37" si="20">C37-J37</f>
        <v>12000</v>
      </c>
      <c r="L37" s="8">
        <f t="shared" si="16"/>
        <v>12000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D38+F38+'09-02-21'!H37</f>
        <v>0</v>
      </c>
      <c r="I38" s="8">
        <f>E38+G38+'09-02-21'!I37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D39+F39+'09-02-21'!H38</f>
        <v>36.659999999999997</v>
      </c>
      <c r="I39" s="8">
        <f>E39+G39+'09-02-21'!I38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-161.20396028571383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D40+F40+'09-02-21'!H39</f>
        <v>0</v>
      </c>
      <c r="I40" s="8">
        <f>E40+G40+'09-02-21'!I39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D41+F41+'09-02-21'!H40</f>
        <v>0</v>
      </c>
      <c r="I41" s="8">
        <f>E41+G41+'09-02-21'!I40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3">
        <v>0</v>
      </c>
      <c r="E42" s="33">
        <v>0</v>
      </c>
      <c r="F42" s="33">
        <v>0</v>
      </c>
      <c r="G42" s="33">
        <v>0</v>
      </c>
      <c r="H42" s="8">
        <f>D42+F42+'09-02-21'!H41</f>
        <v>582.25</v>
      </c>
      <c r="I42" s="8">
        <f>E42+G42+'09-02-21'!I41</f>
        <v>6.97</v>
      </c>
      <c r="J42" s="8">
        <f t="shared" si="17"/>
        <v>589.22</v>
      </c>
      <c r="K42" s="8">
        <f>C42-J42</f>
        <v>6120.78</v>
      </c>
      <c r="L42" s="8">
        <f t="shared" si="16"/>
        <v>4149.6988095238166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D43+F43+'09-02-21'!H42</f>
        <v>3121.7</v>
      </c>
      <c r="I43" s="8">
        <f>E43+G43+'09-02-21'!I42</f>
        <v>29.869999999999997</v>
      </c>
      <c r="J43" s="9">
        <f t="shared" si="17"/>
        <v>3151.5699999999997</v>
      </c>
      <c r="K43" s="92">
        <f t="shared" ref="K43:K45" si="21">C43-J43</f>
        <v>0</v>
      </c>
      <c r="L43" s="8">
        <f t="shared" si="16"/>
        <v>-10542.752023809486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D44+F44+'09-02-21'!H43</f>
        <v>0</v>
      </c>
      <c r="I44" s="8">
        <f>E44+G44+'09-02-21'!I43</f>
        <v>0</v>
      </c>
      <c r="J44" s="9">
        <f t="shared" si="17"/>
        <v>0</v>
      </c>
      <c r="K44" s="92">
        <f t="shared" si="21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133.91999999999999</v>
      </c>
      <c r="E45" s="33">
        <v>1.6</v>
      </c>
      <c r="F45" s="33">
        <v>0</v>
      </c>
      <c r="G45" s="33">
        <v>0</v>
      </c>
      <c r="H45" s="8">
        <f>D45+F45+'09-02-21'!H44</f>
        <v>133.91999999999999</v>
      </c>
      <c r="I45" s="8">
        <f>E45+G45+'09-02-21'!I44</f>
        <v>1.6</v>
      </c>
      <c r="J45" s="8">
        <f t="shared" si="17"/>
        <v>135.51999999999998</v>
      </c>
      <c r="K45" s="92">
        <f t="shared" si="21"/>
        <v>4864.4799999999996</v>
      </c>
      <c r="L45" s="8">
        <f t="shared" si="16"/>
        <v>4411.133333333335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62">
        <v>0</v>
      </c>
      <c r="E46" s="62">
        <v>0</v>
      </c>
      <c r="F46" s="62">
        <v>0</v>
      </c>
      <c r="G46" s="62">
        <v>0</v>
      </c>
      <c r="H46" s="8">
        <f>D46+F46+'09-02-21'!H45</f>
        <v>372</v>
      </c>
      <c r="I46" s="8">
        <f>E46+G46+'09-02-21'!I45</f>
        <v>4.46</v>
      </c>
      <c r="J46" s="8">
        <f t="shared" si="17"/>
        <v>376.46</v>
      </c>
      <c r="K46" s="8">
        <f>C46-J46</f>
        <v>1357.8900000000003</v>
      </c>
      <c r="L46" s="8">
        <f t="shared" si="16"/>
        <v>98.541666666671745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D47+F47+'09-02-21'!H46</f>
        <v>0</v>
      </c>
      <c r="I47" s="8">
        <f>E47+G47+'09-02-21'!I46</f>
        <v>0</v>
      </c>
      <c r="J47" s="8">
        <f t="shared" si="17"/>
        <v>0</v>
      </c>
      <c r="K47" s="8">
        <f t="shared" ref="K47" si="22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v>7700</v>
      </c>
      <c r="D48" s="33">
        <v>859.94</v>
      </c>
      <c r="E48" s="33">
        <v>10.31</v>
      </c>
      <c r="F48" s="33">
        <v>0</v>
      </c>
      <c r="G48" s="33">
        <v>0</v>
      </c>
      <c r="H48" s="8">
        <f>D48+F48+'09-02-21'!H47</f>
        <v>859.94</v>
      </c>
      <c r="I48" s="8">
        <f>E48+G48+'09-02-21'!I47</f>
        <v>10.31</v>
      </c>
      <c r="J48" s="8">
        <f t="shared" si="17"/>
        <v>870.25</v>
      </c>
      <c r="K48" s="8">
        <f>C48-J48</f>
        <v>6829.75</v>
      </c>
      <c r="L48" s="8">
        <f t="shared" si="16"/>
        <v>3918.5565476190586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3">
        <v>0</v>
      </c>
      <c r="E49" s="33">
        <v>0</v>
      </c>
      <c r="F49" s="33">
        <v>0</v>
      </c>
      <c r="G49" s="33">
        <v>0</v>
      </c>
      <c r="H49" s="8">
        <f>D49+F49+'09-02-21'!H48</f>
        <v>1754.38</v>
      </c>
      <c r="I49" s="8">
        <f>E49+G49+'09-02-21'!I48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-3924.0517857142622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D50+F50+'09-02-21'!H49</f>
        <v>0</v>
      </c>
      <c r="I50" s="8">
        <f>E50+G50+'09-02-21'!I49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D51+F51+'09-02-21'!H50</f>
        <v>0</v>
      </c>
      <c r="I51" s="8">
        <f>E51+G51+'09-02-21'!I50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D52+F52+'09-02-21'!H51</f>
        <v>0</v>
      </c>
      <c r="I52" s="8">
        <f>E52+G52+'09-02-21'!I51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D53+F53+'09-02-21'!H52</f>
        <v>0</v>
      </c>
      <c r="I53" s="8">
        <f>E53+G53+'09-02-21'!I52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D54+F54+'09-02-21'!H53</f>
        <v>0</v>
      </c>
      <c r="I54" s="8">
        <f>E54+G54+'09-02-21'!I53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D55+F55+'09-02-21'!H54</f>
        <v>0</v>
      </c>
      <c r="I55" s="8">
        <f>E55+G55+'09-02-21'!I54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62">
        <v>0</v>
      </c>
      <c r="E56" s="62">
        <v>0</v>
      </c>
      <c r="F56" s="62">
        <v>0</v>
      </c>
      <c r="G56" s="62">
        <v>0</v>
      </c>
      <c r="H56" s="8">
        <f>D56+F56+'09-02-21'!H55</f>
        <v>2.4</v>
      </c>
      <c r="I56" s="8">
        <f>E56+G56+'09-02-21'!I55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4182.6245238095244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62">
        <v>0</v>
      </c>
      <c r="E57" s="62">
        <v>0</v>
      </c>
      <c r="F57" s="62">
        <v>0</v>
      </c>
      <c r="G57" s="62">
        <v>0</v>
      </c>
      <c r="H57" s="8">
        <f>D57+F57+'09-02-21'!H56</f>
        <v>2754</v>
      </c>
      <c r="I57" s="8">
        <f>E57+G57+'09-02-21'!I56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-8270.2629761904427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v>2600</v>
      </c>
      <c r="D58" s="62">
        <v>291.45999999999998</v>
      </c>
      <c r="E58" s="62">
        <v>3.49</v>
      </c>
      <c r="F58" s="62">
        <v>0</v>
      </c>
      <c r="G58" s="62">
        <v>0</v>
      </c>
      <c r="H58" s="8">
        <f>D58+F58+'09-02-21'!H57</f>
        <v>395.46</v>
      </c>
      <c r="I58" s="8">
        <f>E58+G58+'09-02-21'!I57</f>
        <v>4.7300000000000004</v>
      </c>
      <c r="J58" s="8">
        <f t="shared" si="17"/>
        <v>400.19</v>
      </c>
      <c r="K58" s="8">
        <f t="shared" si="18"/>
        <v>2199.81</v>
      </c>
      <c r="L58" s="8">
        <f t="shared" si="16"/>
        <v>861.07916666667143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52242.25</v>
      </c>
      <c r="D59" s="7"/>
      <c r="E59" s="7"/>
      <c r="F59" s="7"/>
      <c r="G59" s="7"/>
      <c r="H59" s="7">
        <f>SUM(H35:H54)</f>
        <v>8006.79</v>
      </c>
      <c r="I59" s="7">
        <f>SUM(I35:I54)</f>
        <v>205.42259359999997</v>
      </c>
      <c r="J59" s="7">
        <f>SUM(J35:J54)</f>
        <v>8212.2125935999993</v>
      </c>
      <c r="K59" s="7">
        <f>SUM(K35:K54)</f>
        <v>44030.037406399999</v>
      </c>
      <c r="L59" s="7">
        <f>SUM(L35:L54)</f>
        <v>16558.230992095341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1033.1099999999999</v>
      </c>
      <c r="E62" s="9">
        <v>12.39</v>
      </c>
      <c r="F62" s="9">
        <v>0</v>
      </c>
      <c r="G62" s="9">
        <v>0</v>
      </c>
      <c r="H62" s="8">
        <f>D62+F62+'09-02-21'!H61</f>
        <v>5779.3899999999994</v>
      </c>
      <c r="I62" s="8">
        <f>E62+G62+'09-02-21'!I61</f>
        <v>138.46</v>
      </c>
      <c r="J62" s="8">
        <f t="shared" ref="J62:J63" si="23">H62+I62</f>
        <v>5917.8499999999995</v>
      </c>
      <c r="K62" s="8">
        <f>C62-J62</f>
        <v>56665.15</v>
      </c>
      <c r="L62" s="8">
        <f t="shared" ref="L62:L63" si="24">C62-((J62/6)*26.0714285714285)</f>
        <v>36868.532738095309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D63+F63+'09-02-21'!H62</f>
        <v>0</v>
      </c>
      <c r="I63" s="8">
        <f>E63+G63+'09-02-21'!I62</f>
        <v>0</v>
      </c>
      <c r="J63" s="8">
        <f t="shared" si="23"/>
        <v>0</v>
      </c>
      <c r="K63" s="8">
        <f>C63-J63</f>
        <v>0</v>
      </c>
      <c r="L63" s="8">
        <f t="shared" si="24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5">D62+D63</f>
        <v>1033.1099999999999</v>
      </c>
      <c r="E64" s="14">
        <f t="shared" si="25"/>
        <v>12.39</v>
      </c>
      <c r="F64" s="14">
        <f t="shared" si="25"/>
        <v>0</v>
      </c>
      <c r="G64" s="14">
        <f t="shared" si="25"/>
        <v>0</v>
      </c>
      <c r="H64" s="14">
        <f t="shared" si="25"/>
        <v>5779.3899999999994</v>
      </c>
      <c r="I64" s="14">
        <f t="shared" si="25"/>
        <v>138.46</v>
      </c>
      <c r="J64" s="14">
        <f t="shared" si="25"/>
        <v>5917.8499999999995</v>
      </c>
      <c r="K64" s="14">
        <f t="shared" si="25"/>
        <v>56665.15</v>
      </c>
      <c r="L64" s="14">
        <f t="shared" si="25"/>
        <v>36868.532738095309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9">
        <v>0</v>
      </c>
      <c r="E67" s="9">
        <v>0</v>
      </c>
      <c r="F67" s="9">
        <v>0</v>
      </c>
      <c r="G67" s="9">
        <v>0</v>
      </c>
      <c r="H67" s="8">
        <f>D67+F67+'09-02-21'!H66</f>
        <v>336.26</v>
      </c>
      <c r="I67" s="8">
        <f>E67+G67+'09-02-21'!I66</f>
        <v>25.21</v>
      </c>
      <c r="J67" s="8">
        <f t="shared" ref="J67" si="26">H67+I67</f>
        <v>361.46999999999997</v>
      </c>
      <c r="K67" s="8">
        <f>C67-J67</f>
        <v>37374.53</v>
      </c>
      <c r="L67" s="8">
        <f>C67-((J67/6)*26.0714285714285)</f>
        <v>36165.326785714293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7">SUM(C67)</f>
        <v>37736</v>
      </c>
      <c r="D68" s="7">
        <f t="shared" si="27"/>
        <v>0</v>
      </c>
      <c r="E68" s="7">
        <f t="shared" si="27"/>
        <v>0</v>
      </c>
      <c r="F68" s="7">
        <f t="shared" si="27"/>
        <v>0</v>
      </c>
      <c r="G68" s="7">
        <f t="shared" si="27"/>
        <v>0</v>
      </c>
      <c r="H68" s="7">
        <f t="shared" si="27"/>
        <v>336.26</v>
      </c>
      <c r="I68" s="7">
        <f t="shared" si="27"/>
        <v>25.21</v>
      </c>
      <c r="J68" s="7">
        <f t="shared" si="27"/>
        <v>361.46999999999997</v>
      </c>
      <c r="K68" s="7">
        <f t="shared" si="27"/>
        <v>37374.53</v>
      </c>
      <c r="L68" s="7">
        <f t="shared" si="27"/>
        <v>36165.326785714293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115</v>
      </c>
      <c r="B83" s="122"/>
      <c r="C83" s="122"/>
      <c r="D83" s="122"/>
      <c r="E83" s="122"/>
      <c r="F83" s="122"/>
      <c r="G83" s="89">
        <v>900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</sheetData>
  <mergeCells count="36">
    <mergeCell ref="A68:B68"/>
    <mergeCell ref="A18:B18"/>
    <mergeCell ref="A24:B24"/>
    <mergeCell ref="A29:B29"/>
    <mergeCell ref="A32:B32"/>
    <mergeCell ref="A59:B5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3:F83"/>
    <mergeCell ref="M83:R83"/>
    <mergeCell ref="A84:F84"/>
    <mergeCell ref="M84:R84"/>
    <mergeCell ref="A82:F82"/>
    <mergeCell ref="M82:R82"/>
  </mergeCells>
  <pageMargins left="0.25" right="0" top="0.4" bottom="0" header="0.3" footer="0"/>
  <pageSetup scale="8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EE60-6D51-4FDD-9A1D-A8A120AD5577}">
  <sheetPr>
    <pageSetUpPr fitToPage="1"/>
  </sheetPr>
  <dimension ref="A1:S84"/>
  <sheetViews>
    <sheetView zoomScale="145" zoomScaleNormal="145" workbookViewId="0">
      <pane ySplit="2" topLeftCell="A17" activePane="bottomLeft" state="frozen"/>
      <selection pane="bottomLeft" activeCell="M1" sqref="M1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118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120</v>
      </c>
      <c r="E3" s="32">
        <v>1.44</v>
      </c>
      <c r="F3" s="32">
        <v>0</v>
      </c>
      <c r="G3" s="32">
        <v>0</v>
      </c>
      <c r="H3" s="8">
        <f>D3+F3+'09-16-21'!H3</f>
        <v>120</v>
      </c>
      <c r="I3" s="8">
        <f>E3+G3+'09-16-21'!I3</f>
        <v>1.44</v>
      </c>
      <c r="J3" s="8">
        <f>H3+I3</f>
        <v>121.44</v>
      </c>
      <c r="K3" s="8">
        <f>C3-J3</f>
        <v>878.56</v>
      </c>
      <c r="L3" s="8">
        <f>C3-((J3/7)*26.0714285714285)</f>
        <v>547.69795918367481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0</v>
      </c>
      <c r="E4" s="33">
        <v>0</v>
      </c>
      <c r="F4" s="33">
        <f>-453.13+1906.26</f>
        <v>1453.13</v>
      </c>
      <c r="G4" s="33">
        <f>-33.98+142.96</f>
        <v>108.98000000000002</v>
      </c>
      <c r="H4" s="8">
        <f>D4+F4+'09-16-21'!H4</f>
        <v>11583.189999999999</v>
      </c>
      <c r="I4" s="8">
        <f>E4+G4+'09-16-21'!I4</f>
        <v>863.57999999999993</v>
      </c>
      <c r="J4" s="8">
        <f t="shared" ref="J4:J17" si="0">H4+I4</f>
        <v>12446.769999999999</v>
      </c>
      <c r="K4" s="8">
        <f t="shared" ref="K4:K17" si="1">C4-J4</f>
        <v>53553.23</v>
      </c>
      <c r="L4" s="8">
        <f t="shared" ref="L4:L17" si="2">C4-((J4/7)*26.0714285714285)</f>
        <v>19642.132142857277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D5+F5+'09-16-21'!H5</f>
        <v>0</v>
      </c>
      <c r="I5" s="8">
        <f>E5+G5+'09-16-21'!I5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307.5</v>
      </c>
      <c r="E6" s="8">
        <v>3.69</v>
      </c>
      <c r="F6" s="8">
        <v>0</v>
      </c>
      <c r="G6" s="8">
        <v>0</v>
      </c>
      <c r="H6" s="8">
        <f>D6+F6+'09-16-21'!H6</f>
        <v>1657.5</v>
      </c>
      <c r="I6" s="8">
        <f>E6+G6+'09-16-21'!I6</f>
        <v>19.880000000000003</v>
      </c>
      <c r="J6" s="8">
        <f t="shared" si="0"/>
        <v>1677.38</v>
      </c>
      <c r="K6" s="8">
        <f t="shared" si="1"/>
        <v>4772.62</v>
      </c>
      <c r="L6" s="8">
        <f t="shared" si="2"/>
        <v>202.61530612246588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902.59</v>
      </c>
      <c r="E7" s="41">
        <v>10.83</v>
      </c>
      <c r="F7" s="41">
        <f>453.13</f>
        <v>453.13</v>
      </c>
      <c r="G7" s="41">
        <f>33.98</f>
        <v>33.979999999999997</v>
      </c>
      <c r="H7" s="8">
        <f>D7+F7+'09-16-21'!H7</f>
        <v>6927.21</v>
      </c>
      <c r="I7" s="8">
        <f>E7+G7+'09-16-21'!I7</f>
        <v>162.98999999999995</v>
      </c>
      <c r="J7" s="8">
        <f t="shared" si="0"/>
        <v>7090.2</v>
      </c>
      <c r="K7" s="8">
        <f t="shared" si="1"/>
        <v>17558.8</v>
      </c>
      <c r="L7" s="8">
        <f t="shared" si="2"/>
        <v>-1758.3775510203341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555.30999999999995</v>
      </c>
      <c r="E8" s="9">
        <v>6.66</v>
      </c>
      <c r="F8" s="9">
        <v>0</v>
      </c>
      <c r="G8" s="9">
        <v>0</v>
      </c>
      <c r="H8" s="8">
        <f>D8+F8+'09-16-21'!H8</f>
        <v>3760.58</v>
      </c>
      <c r="I8" s="8">
        <f>E8+G8+'09-16-21'!I8</f>
        <v>45.03</v>
      </c>
      <c r="J8" s="8">
        <f t="shared" si="0"/>
        <v>3805.61</v>
      </c>
      <c r="K8" s="8">
        <f t="shared" si="1"/>
        <v>14168.39</v>
      </c>
      <c r="L8" s="8">
        <f t="shared" si="2"/>
        <v>3800.0443877551406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615.65</v>
      </c>
      <c r="E9" s="9">
        <v>7.38</v>
      </c>
      <c r="F9" s="9">
        <v>0</v>
      </c>
      <c r="G9" s="9">
        <v>0</v>
      </c>
      <c r="H9" s="8">
        <f>D9+F9+'09-16-21'!H9</f>
        <v>4657.5999999999995</v>
      </c>
      <c r="I9" s="8">
        <f>E9+G9+'09-16-21'!I9</f>
        <v>127.25999999999999</v>
      </c>
      <c r="J9" s="8">
        <f t="shared" si="0"/>
        <v>4784.8599999999997</v>
      </c>
      <c r="K9" s="8">
        <f t="shared" si="1"/>
        <v>13189.14</v>
      </c>
      <c r="L9" s="8">
        <f t="shared" si="2"/>
        <v>152.83775510208943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0</v>
      </c>
      <c r="E10" s="32">
        <v>0</v>
      </c>
      <c r="F10" s="32">
        <v>0</v>
      </c>
      <c r="G10" s="32">
        <v>0</v>
      </c>
      <c r="H10" s="8">
        <f>D10+F10+'09-16-21'!H10</f>
        <v>0</v>
      </c>
      <c r="I10" s="8">
        <f>E10+G10+'09-16-21'!I10</f>
        <v>0</v>
      </c>
      <c r="J10" s="8">
        <f t="shared" si="0"/>
        <v>0</v>
      </c>
      <c r="K10" s="8">
        <f t="shared" si="1"/>
        <v>2109</v>
      </c>
      <c r="L10" s="8">
        <f t="shared" si="2"/>
        <v>2109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201.85</v>
      </c>
      <c r="E11" s="9">
        <v>2.42</v>
      </c>
      <c r="F11" s="9">
        <v>0</v>
      </c>
      <c r="G11" s="9">
        <v>0</v>
      </c>
      <c r="H11" s="8">
        <f>D11+F11+'09-16-21'!H11</f>
        <v>4958.47</v>
      </c>
      <c r="I11" s="8">
        <f>E11+G11+'09-16-21'!I11</f>
        <v>152.31999999999996</v>
      </c>
      <c r="J11" s="8">
        <f t="shared" si="0"/>
        <v>5110.79</v>
      </c>
      <c r="K11" s="8">
        <f t="shared" si="1"/>
        <v>19219.21</v>
      </c>
      <c r="L11" s="8">
        <f t="shared" si="2"/>
        <v>5294.9147959184193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1112.58</v>
      </c>
      <c r="E12" s="8">
        <v>13.35</v>
      </c>
      <c r="F12" s="8">
        <v>0</v>
      </c>
      <c r="G12" s="8">
        <v>0</v>
      </c>
      <c r="H12" s="8">
        <f>D12+F12+'09-16-21'!H12</f>
        <v>7672.7999999999993</v>
      </c>
      <c r="I12" s="8">
        <f>E12+G12+'09-16-21'!I12</f>
        <v>169.97</v>
      </c>
      <c r="J12" s="8">
        <f t="shared" si="0"/>
        <v>7842.7699999999995</v>
      </c>
      <c r="K12" s="8">
        <f t="shared" si="1"/>
        <v>25885.66</v>
      </c>
      <c r="L12" s="8">
        <f t="shared" si="2"/>
        <v>4518.1131632653924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2013.73</v>
      </c>
      <c r="E13" s="8">
        <v>24.16</v>
      </c>
      <c r="F13" s="8">
        <v>0</v>
      </c>
      <c r="G13" s="8">
        <v>0</v>
      </c>
      <c r="H13" s="8">
        <f>D13+F13+'09-16-21'!H13</f>
        <v>11205.26</v>
      </c>
      <c r="I13" s="8">
        <f>E13+G13+'09-16-21'!I13</f>
        <v>136.66999999999999</v>
      </c>
      <c r="J13" s="8">
        <f t="shared" si="0"/>
        <v>11341.93</v>
      </c>
      <c r="K13" s="8">
        <f t="shared" si="1"/>
        <v>31399.07</v>
      </c>
      <c r="L13" s="8">
        <f t="shared" si="2"/>
        <v>498.09744897970813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628.30999999999995</v>
      </c>
      <c r="E14" s="9">
        <v>7.53</v>
      </c>
      <c r="F14" s="9">
        <v>0</v>
      </c>
      <c r="G14" s="9">
        <v>0</v>
      </c>
      <c r="H14" s="8">
        <f>D14+F14+'09-16-21'!H14</f>
        <v>2952.43</v>
      </c>
      <c r="I14" s="8">
        <f>E14+G14+'09-16-21'!I14</f>
        <v>35.380000000000003</v>
      </c>
      <c r="J14" s="8">
        <f t="shared" si="0"/>
        <v>2987.81</v>
      </c>
      <c r="K14" s="8">
        <f t="shared" si="1"/>
        <v>21185.19</v>
      </c>
      <c r="L14" s="8">
        <f t="shared" si="2"/>
        <v>13044.932142857175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D15+F15+'09-16-21'!H15</f>
        <v>0</v>
      </c>
      <c r="I15" s="8">
        <f>E15+G15+'09-16-21'!I15</f>
        <v>0</v>
      </c>
      <c r="J15" s="8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60.1</v>
      </c>
      <c r="E16" s="9">
        <v>0.72</v>
      </c>
      <c r="F16" s="9">
        <v>0</v>
      </c>
      <c r="G16" s="9">
        <v>0</v>
      </c>
      <c r="H16" s="8">
        <f>D16+F16+'09-16-21'!H16</f>
        <v>615.1</v>
      </c>
      <c r="I16" s="8">
        <f>E16+G16+'09-16-21'!I16</f>
        <v>16.32</v>
      </c>
      <c r="J16" s="8">
        <f t="shared" si="0"/>
        <v>631.42000000000007</v>
      </c>
      <c r="K16" s="8">
        <f t="shared" si="1"/>
        <v>5368.58</v>
      </c>
      <c r="L16" s="8">
        <f t="shared" si="2"/>
        <v>3648.2826530612306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5.76</v>
      </c>
      <c r="F17" s="9">
        <v>0</v>
      </c>
      <c r="G17" s="9">
        <v>0</v>
      </c>
      <c r="H17" s="8">
        <f>D17+F17+'09-16-21'!H17</f>
        <v>3432</v>
      </c>
      <c r="I17" s="8">
        <f>E17+G17+'09-16-21'!I17</f>
        <v>41.17</v>
      </c>
      <c r="J17" s="8">
        <f t="shared" si="0"/>
        <v>3473.17</v>
      </c>
      <c r="K17" s="8">
        <f t="shared" si="1"/>
        <v>7326.83</v>
      </c>
      <c r="L17" s="8">
        <f t="shared" si="2"/>
        <v>-2135.7862244897606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6997.6200000000008</v>
      </c>
      <c r="E18" s="7">
        <f t="shared" si="4"/>
        <v>83.940000000000012</v>
      </c>
      <c r="F18" s="7">
        <f t="shared" si="4"/>
        <v>1906.2600000000002</v>
      </c>
      <c r="G18" s="7">
        <f t="shared" si="4"/>
        <v>142.96</v>
      </c>
      <c r="H18" s="7">
        <f t="shared" si="4"/>
        <v>59542.139999999992</v>
      </c>
      <c r="I18" s="7">
        <f t="shared" si="4"/>
        <v>1772.01</v>
      </c>
      <c r="J18" s="35">
        <f t="shared" si="4"/>
        <v>61314.149999999994</v>
      </c>
      <c r="K18" s="35">
        <f t="shared" si="4"/>
        <v>235086.28</v>
      </c>
      <c r="L18" s="7">
        <f t="shared" si="4"/>
        <v>68036.503979592497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 t="s">
        <v>77</v>
      </c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0</v>
      </c>
      <c r="E22" s="32">
        <v>0</v>
      </c>
      <c r="F22" s="32">
        <v>0</v>
      </c>
      <c r="G22" s="32">
        <v>0</v>
      </c>
      <c r="H22" s="8">
        <f>D22+F22+'09-16-21'!H22</f>
        <v>0</v>
      </c>
      <c r="I22" s="8">
        <f>E22+G22+'09-16-21'!I22</f>
        <v>0</v>
      </c>
      <c r="J22" s="8">
        <f t="shared" si="6"/>
        <v>0</v>
      </c>
      <c r="K22" s="8">
        <f t="shared" ref="K22:K23" si="8">C22-J22</f>
        <v>13953</v>
      </c>
      <c r="L22" s="8">
        <f t="shared" ref="L22:L23" si="9">C22-((J22/7)*26.0714285714285)</f>
        <v>13953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142.5</v>
      </c>
      <c r="E23" s="32">
        <v>1.71</v>
      </c>
      <c r="F23" s="32">
        <v>0</v>
      </c>
      <c r="G23" s="32">
        <v>0</v>
      </c>
      <c r="H23" s="8">
        <f>D23+F23+'09-16-21'!H23</f>
        <v>142.5</v>
      </c>
      <c r="I23" s="8">
        <f>E23+G23+'09-16-21'!I23</f>
        <v>1.71</v>
      </c>
      <c r="J23" s="8">
        <f t="shared" si="6"/>
        <v>144.21</v>
      </c>
      <c r="K23" s="8">
        <f t="shared" si="8"/>
        <v>1881.79</v>
      </c>
      <c r="L23" s="8">
        <f t="shared" si="9"/>
        <v>1488.8913265306137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142.5</v>
      </c>
      <c r="E24" s="7">
        <f t="shared" si="10"/>
        <v>1.71</v>
      </c>
      <c r="F24" s="7">
        <f t="shared" si="10"/>
        <v>0</v>
      </c>
      <c r="G24" s="7">
        <f t="shared" si="10"/>
        <v>0</v>
      </c>
      <c r="H24" s="8">
        <f>D24+F24+'07-22-21'!H23</f>
        <v>142.5</v>
      </c>
      <c r="I24" s="8">
        <f>E24+G24+'07-22-21'!I23</f>
        <v>1.71</v>
      </c>
      <c r="J24" s="35">
        <f t="shared" si="10"/>
        <v>144.21</v>
      </c>
      <c r="K24" s="7">
        <f t="shared" si="10"/>
        <v>15834.79</v>
      </c>
      <c r="L24" s="7">
        <f t="shared" si="10"/>
        <v>15441.891326530615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630</v>
      </c>
      <c r="E27" s="9">
        <v>7.56</v>
      </c>
      <c r="F27" s="9">
        <v>720</v>
      </c>
      <c r="G27" s="9">
        <v>54</v>
      </c>
      <c r="H27" s="8">
        <f>D27+F27+'09-16-21'!H27</f>
        <v>5957.25</v>
      </c>
      <c r="I27" s="8">
        <f>E27+G27+'09-16-21'!I27</f>
        <v>236.96</v>
      </c>
      <c r="J27" s="8">
        <f t="shared" ref="J27:J28" si="11">H27+I27</f>
        <v>6194.21</v>
      </c>
      <c r="K27" s="8">
        <f>C27-J27</f>
        <v>18805.79</v>
      </c>
      <c r="L27" s="8">
        <f>C27-((J27/7)*26.0714285714285)</f>
        <v>1929.7280612245559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630</v>
      </c>
      <c r="E29" s="31">
        <f t="shared" si="14"/>
        <v>7.56</v>
      </c>
      <c r="F29" s="31">
        <f t="shared" si="14"/>
        <v>720</v>
      </c>
      <c r="G29" s="31">
        <f t="shared" si="14"/>
        <v>54</v>
      </c>
      <c r="H29" s="31">
        <f t="shared" si="14"/>
        <v>5957.25</v>
      </c>
      <c r="I29" s="31">
        <f t="shared" si="14"/>
        <v>236.96</v>
      </c>
      <c r="J29" s="31">
        <f t="shared" si="14"/>
        <v>6194.21</v>
      </c>
      <c r="K29" s="31">
        <f t="shared" si="14"/>
        <v>18805.79</v>
      </c>
      <c r="L29" s="31">
        <f t="shared" si="14"/>
        <v>1929.7280612245559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7770.1200000000008</v>
      </c>
      <c r="E32" s="24">
        <f t="shared" si="15"/>
        <v>93.210000000000008</v>
      </c>
      <c r="F32" s="24">
        <f t="shared" si="15"/>
        <v>2626.26</v>
      </c>
      <c r="G32" s="24">
        <f t="shared" si="15"/>
        <v>196.96</v>
      </c>
      <c r="H32" s="24">
        <f t="shared" si="15"/>
        <v>65641.889999999985</v>
      </c>
      <c r="I32" s="24">
        <f t="shared" si="15"/>
        <v>2010.68</v>
      </c>
      <c r="J32" s="24">
        <f t="shared" si="15"/>
        <v>67652.569999999992</v>
      </c>
      <c r="K32" s="24">
        <f t="shared" si="15"/>
        <v>269726.86</v>
      </c>
      <c r="L32" s="24">
        <f t="shared" si="15"/>
        <v>85408.123367347667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9">
        <v>0</v>
      </c>
      <c r="E35" s="9">
        <v>0</v>
      </c>
      <c r="F35" s="9">
        <v>0</v>
      </c>
      <c r="G35" s="9">
        <v>0</v>
      </c>
      <c r="H35" s="8">
        <f>D35+F35+'09-16-21'!H35</f>
        <v>1145.94</v>
      </c>
      <c r="I35" s="8">
        <f>E35+G35+'09-16-21'!I35</f>
        <v>20.203599999999998</v>
      </c>
      <c r="J35" s="8">
        <f>H35+I35</f>
        <v>1166.1436000000001</v>
      </c>
      <c r="K35" s="8">
        <f>C35-J35</f>
        <v>2027.9363999999998</v>
      </c>
      <c r="L35" s="8">
        <f t="shared" ref="L35:L58" si="16">C35-((J35/7)*26.0714285714285)</f>
        <v>-1149.2099387754988</v>
      </c>
      <c r="M35" s="76"/>
    </row>
    <row r="36" spans="1:13" s="59" customFormat="1" ht="11.25" customHeight="1" x14ac:dyDescent="0.25">
      <c r="A36" s="20" t="s">
        <v>117</v>
      </c>
      <c r="B36" s="21" t="s">
        <v>12</v>
      </c>
      <c r="C36" s="110">
        <v>900</v>
      </c>
      <c r="D36" s="8">
        <v>0</v>
      </c>
      <c r="E36" s="8">
        <v>0</v>
      </c>
      <c r="F36" s="8">
        <v>0</v>
      </c>
      <c r="G36" s="8">
        <v>0</v>
      </c>
      <c r="H36" s="8">
        <f>D36+F36+'09-16-21'!H36</f>
        <v>0</v>
      </c>
      <c r="I36" s="8">
        <f>E36+G36+'09-16-21'!I36</f>
        <v>0</v>
      </c>
      <c r="J36" s="8">
        <f t="shared" ref="J36:J58" si="17">H36+I36</f>
        <v>0</v>
      </c>
      <c r="K36" s="8">
        <f t="shared" ref="K36:K58" si="18">C36-J36</f>
        <v>900</v>
      </c>
      <c r="L36" s="8">
        <f t="shared" si="16"/>
        <v>900</v>
      </c>
      <c r="M36" s="70"/>
    </row>
    <row r="37" spans="1:13" s="59" customFormat="1" ht="11.25" customHeight="1" x14ac:dyDescent="0.25">
      <c r="A37" s="20" t="s">
        <v>114</v>
      </c>
      <c r="B37" s="21" t="s">
        <v>12</v>
      </c>
      <c r="C37" s="110">
        <v>12000</v>
      </c>
      <c r="D37" s="8">
        <v>210</v>
      </c>
      <c r="E37" s="8">
        <v>2.52</v>
      </c>
      <c r="F37" s="8">
        <v>0</v>
      </c>
      <c r="G37" s="8">
        <v>0</v>
      </c>
      <c r="H37" s="8">
        <f>D37+F37+'09-16-21'!H37</f>
        <v>210</v>
      </c>
      <c r="I37" s="8">
        <f>E37+G37+'09-16-21'!I37</f>
        <v>2.52</v>
      </c>
      <c r="J37" s="8">
        <f t="shared" si="17"/>
        <v>212.52</v>
      </c>
      <c r="K37" s="8">
        <f t="shared" si="18"/>
        <v>11787.48</v>
      </c>
      <c r="L37" s="8">
        <f t="shared" si="16"/>
        <v>11208.471428571431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D38+F38+'09-16-21'!H38</f>
        <v>0</v>
      </c>
      <c r="I38" s="8">
        <f>E38+G38+'09-16-21'!I38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D39+F39+'09-16-21'!H39</f>
        <v>36.659999999999997</v>
      </c>
      <c r="I39" s="8">
        <f>E39+G39+'09-16-21'!I39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-138.17482310204042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D40+F40+'09-16-21'!H40</f>
        <v>0</v>
      </c>
      <c r="I40" s="8">
        <f>E40+G40+'09-16-21'!I40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D41+F41+'09-16-21'!H41</f>
        <v>0</v>
      </c>
      <c r="I41" s="8">
        <f>E41+G41+'09-16-21'!I41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D42+F42+'09-16-21'!H42</f>
        <v>582.25</v>
      </c>
      <c r="I42" s="8">
        <f>E42+G42+'09-16-21'!I42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4515.4561224489862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D43+F43+'09-16-21'!H43</f>
        <v>3121.7</v>
      </c>
      <c r="I43" s="8">
        <f>E43+G43+'09-16-21'!I43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-8586.4203061224143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D44+F44+'09-16-21'!H44</f>
        <v>0</v>
      </c>
      <c r="I44" s="8">
        <f>E44+G44+'09-16-21'!I44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f>133.92</f>
        <v>133.91999999999999</v>
      </c>
      <c r="E45" s="33">
        <f>1.6</f>
        <v>1.6</v>
      </c>
      <c r="F45" s="33">
        <v>0</v>
      </c>
      <c r="G45" s="33">
        <v>0</v>
      </c>
      <c r="H45" s="8">
        <f>D45+F45+'09-16-21'!H45</f>
        <v>267.83999999999997</v>
      </c>
      <c r="I45" s="8">
        <f>E45+G45+'09-16-21'!I45</f>
        <v>3.2</v>
      </c>
      <c r="J45" s="8">
        <f t="shared" si="17"/>
        <v>271.03999999999996</v>
      </c>
      <c r="K45" s="92">
        <f t="shared" si="19"/>
        <v>4728.96</v>
      </c>
      <c r="L45" s="8">
        <f t="shared" si="16"/>
        <v>3990.5142857142887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0</v>
      </c>
      <c r="E46" s="32">
        <v>0</v>
      </c>
      <c r="F46" s="32">
        <v>0</v>
      </c>
      <c r="G46" s="32">
        <v>0</v>
      </c>
      <c r="H46" s="8">
        <f>D46+F46+'09-16-21'!H46</f>
        <v>372</v>
      </c>
      <c r="I46" s="8">
        <f>E46+G46+'09-16-21'!I46</f>
        <v>4.46</v>
      </c>
      <c r="J46" s="8">
        <f t="shared" si="17"/>
        <v>376.46</v>
      </c>
      <c r="K46" s="8">
        <f>C46-J46</f>
        <v>1357.8900000000003</v>
      </c>
      <c r="L46" s="8">
        <f t="shared" si="16"/>
        <v>332.22857142857583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D47+F47+'09-16-21'!H47</f>
        <v>0</v>
      </c>
      <c r="I47" s="8">
        <f>E47+G47+'09-16-21'!I47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v>7700</v>
      </c>
      <c r="D48" s="33">
        <f>553.66</f>
        <v>553.66</v>
      </c>
      <c r="E48" s="33">
        <f>6.64</f>
        <v>6.64</v>
      </c>
      <c r="F48" s="33">
        <v>0</v>
      </c>
      <c r="G48" s="33">
        <v>0</v>
      </c>
      <c r="H48" s="8">
        <f>D48+F48+'09-16-21'!H48</f>
        <v>1413.6</v>
      </c>
      <c r="I48" s="8">
        <f>E48+G48+'09-16-21'!I48</f>
        <v>16.95</v>
      </c>
      <c r="J48" s="8">
        <f t="shared" si="17"/>
        <v>1430.55</v>
      </c>
      <c r="K48" s="8">
        <f>C48-J48</f>
        <v>6269.45</v>
      </c>
      <c r="L48" s="8">
        <f t="shared" si="16"/>
        <v>2371.9311224489948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D49+F49+'09-16-21'!H49</f>
        <v>1754.38</v>
      </c>
      <c r="I49" s="8">
        <f>E49+G49+'09-16-21'!I49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-2753.3515306122254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D50+F50+'09-16-21'!H50</f>
        <v>0</v>
      </c>
      <c r="I50" s="8">
        <f>E50+G50+'09-16-21'!I50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D51+F51+'09-16-21'!H51</f>
        <v>0</v>
      </c>
      <c r="I51" s="8">
        <f>E51+G51+'09-16-21'!I51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D52+F52+'09-16-21'!H52</f>
        <v>0</v>
      </c>
      <c r="I52" s="8">
        <f>E52+G52+'09-16-21'!I52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D53+F53+'09-16-21'!H53</f>
        <v>0</v>
      </c>
      <c r="I53" s="8">
        <f>E53+G53+'09-16-21'!I53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D54+F54+'09-16-21'!H54</f>
        <v>0</v>
      </c>
      <c r="I54" s="8">
        <f>E54+G54+'09-16-21'!I54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D55+F55+'09-16-21'!H55</f>
        <v>0</v>
      </c>
      <c r="I55" s="8">
        <f>E55+G55+'09-16-21'!I55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D56+F56+'09-16-21'!H56</f>
        <v>2.4</v>
      </c>
      <c r="I56" s="8">
        <f>E56+G56+'09-16-21'!I56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4184.1267346938776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D57+F57+'09-16-21'!H57</f>
        <v>2754</v>
      </c>
      <c r="I57" s="8">
        <f>E57+G57+'09-16-21'!I57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-6489.7768367346644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v>2600</v>
      </c>
      <c r="D58" s="62">
        <f>307.84</f>
        <v>307.83999999999997</v>
      </c>
      <c r="E58" s="62">
        <f>3.69</f>
        <v>3.69</v>
      </c>
      <c r="F58" s="62">
        <v>0</v>
      </c>
      <c r="G58" s="62">
        <v>0</v>
      </c>
      <c r="H58" s="8">
        <f>D58+F58+'09-16-21'!H58</f>
        <v>703.3</v>
      </c>
      <c r="I58" s="8">
        <f>E58+G58+'09-16-21'!I58</f>
        <v>8.42</v>
      </c>
      <c r="J58" s="8">
        <f t="shared" si="17"/>
        <v>711.71999999999991</v>
      </c>
      <c r="K58" s="8">
        <f t="shared" si="18"/>
        <v>1888.2800000000002</v>
      </c>
      <c r="L58" s="8">
        <f t="shared" si="16"/>
        <v>-50.793877551012429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52242.25</v>
      </c>
      <c r="D59" s="7"/>
      <c r="E59" s="7"/>
      <c r="F59" s="7"/>
      <c r="G59" s="7"/>
      <c r="H59" s="7">
        <f>SUM(H35:H54)</f>
        <v>8904.369999999999</v>
      </c>
      <c r="I59" s="7">
        <f>SUM(I35:I54)</f>
        <v>216.18259359999999</v>
      </c>
      <c r="J59" s="7">
        <f>SUM(J35:J54)</f>
        <v>9120.5525935999995</v>
      </c>
      <c r="K59" s="7">
        <f>SUM(K35:K54)</f>
        <v>43121.697406399995</v>
      </c>
      <c r="L59" s="7">
        <f>SUM(L35:L54)</f>
        <v>18272.844932000098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1254.96</v>
      </c>
      <c r="E62" s="9">
        <v>15.05</v>
      </c>
      <c r="F62" s="9">
        <v>0</v>
      </c>
      <c r="G62" s="9">
        <v>0</v>
      </c>
      <c r="H62" s="8">
        <f>D62+F62+'09-16-21'!H62</f>
        <v>7034.3499999999995</v>
      </c>
      <c r="I62" s="8">
        <f>E62+G62+'09-16-21'!I62</f>
        <v>153.51000000000002</v>
      </c>
      <c r="J62" s="8">
        <f t="shared" ref="J62:J63" si="21">H62+I62</f>
        <v>7187.86</v>
      </c>
      <c r="K62" s="8">
        <f>C62-J62</f>
        <v>55395.14</v>
      </c>
      <c r="L62" s="8">
        <f t="shared" ref="L62:L63" si="22">C62-((J62/7)*26.0714285714285)</f>
        <v>35811.888775510277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D63+F63+'09-16-21'!H63</f>
        <v>0</v>
      </c>
      <c r="I63" s="8">
        <f>E63+G63+'09-16-21'!I63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1254.96</v>
      </c>
      <c r="E64" s="14">
        <f t="shared" si="23"/>
        <v>15.05</v>
      </c>
      <c r="F64" s="14">
        <f t="shared" si="23"/>
        <v>0</v>
      </c>
      <c r="G64" s="14">
        <f t="shared" si="23"/>
        <v>0</v>
      </c>
      <c r="H64" s="14">
        <f t="shared" si="23"/>
        <v>7034.3499999999995</v>
      </c>
      <c r="I64" s="14">
        <f t="shared" si="23"/>
        <v>153.51000000000002</v>
      </c>
      <c r="J64" s="14">
        <f t="shared" si="23"/>
        <v>7187.86</v>
      </c>
      <c r="K64" s="14">
        <f t="shared" si="23"/>
        <v>55395.14</v>
      </c>
      <c r="L64" s="14">
        <f t="shared" si="23"/>
        <v>35811.888775510277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9">
        <v>0</v>
      </c>
      <c r="E67" s="9">
        <v>0</v>
      </c>
      <c r="F67" s="9">
        <v>0</v>
      </c>
      <c r="G67" s="9">
        <v>0</v>
      </c>
      <c r="H67" s="8">
        <f>D67+F67+'09-16-21'!H67</f>
        <v>336.26</v>
      </c>
      <c r="I67" s="8">
        <f>E67+G67+'09-16-21'!I67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C67-((J67/7)*26.0714285714285)</f>
        <v>36389.708673469395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36389.708673469395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115</v>
      </c>
      <c r="B83" s="122"/>
      <c r="C83" s="122"/>
      <c r="D83" s="122"/>
      <c r="E83" s="122"/>
      <c r="F83" s="122"/>
      <c r="G83" s="89">
        <v>900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</sheetData>
  <mergeCells count="36">
    <mergeCell ref="A68:B68"/>
    <mergeCell ref="A18:B18"/>
    <mergeCell ref="A24:B24"/>
    <mergeCell ref="A29:B29"/>
    <mergeCell ref="A32:B32"/>
    <mergeCell ref="A59:B5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</mergeCells>
  <pageMargins left="0.25" right="0" top="0.4" bottom="0" header="0.3" footer="0"/>
  <pageSetup scale="84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C656-8AF3-4DAC-A6D1-2DE39907B022}">
  <sheetPr>
    <pageSetUpPr fitToPage="1"/>
  </sheetPr>
  <dimension ref="A1:S84"/>
  <sheetViews>
    <sheetView zoomScale="145" zoomScaleNormal="145" workbookViewId="0">
      <pane ySplit="2" topLeftCell="A17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119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225</v>
      </c>
      <c r="E3" s="32">
        <v>2.7</v>
      </c>
      <c r="F3" s="32">
        <v>0</v>
      </c>
      <c r="G3" s="32">
        <v>0</v>
      </c>
      <c r="H3" s="8">
        <f>D3+F3+'09-30-21'!H3</f>
        <v>345</v>
      </c>
      <c r="I3" s="8">
        <f>E3+G3+'09-30-21'!I3</f>
        <v>4.1400000000000006</v>
      </c>
      <c r="J3" s="8">
        <f>H3+I3</f>
        <v>349.14</v>
      </c>
      <c r="K3" s="8">
        <f>C3-J3</f>
        <v>650.86</v>
      </c>
      <c r="L3" s="8">
        <f>C3-((J3/8)*26.0714285714285)</f>
        <v>-137.8223214285681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109.38</v>
      </c>
      <c r="E4" s="33">
        <v>1.31</v>
      </c>
      <c r="F4" s="33">
        <f>1268.76+1784.39</f>
        <v>3053.15</v>
      </c>
      <c r="G4" s="33">
        <f>95.15+133.82</f>
        <v>228.97</v>
      </c>
      <c r="H4" s="8">
        <f>D4+F4+'09-30-21'!H4</f>
        <v>14745.72</v>
      </c>
      <c r="I4" s="8">
        <f>E4+G4+'09-30-21'!I4</f>
        <v>1093.8599999999999</v>
      </c>
      <c r="J4" s="8">
        <f t="shared" ref="J4:J17" si="0">H4+I4</f>
        <v>15839.58</v>
      </c>
      <c r="K4" s="8">
        <f t="shared" ref="K4:K17" si="1">C4-J4</f>
        <v>50160.42</v>
      </c>
      <c r="L4" s="8">
        <f t="shared" ref="L4:L17" si="2">C4-((J4/8)*26.0714285714285)</f>
        <v>14379.940178571575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D5+F5+'09-30-21'!H5</f>
        <v>0</v>
      </c>
      <c r="I5" s="8">
        <f>E5+G5+'09-30-21'!I5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330</v>
      </c>
      <c r="E6" s="8">
        <v>3.96</v>
      </c>
      <c r="F6" s="8">
        <v>0</v>
      </c>
      <c r="G6" s="8">
        <v>0</v>
      </c>
      <c r="H6" s="8">
        <f>D6+F6+'09-30-21'!H6</f>
        <v>1987.5</v>
      </c>
      <c r="I6" s="8">
        <f>E6+G6+'09-30-21'!I6</f>
        <v>23.840000000000003</v>
      </c>
      <c r="J6" s="8">
        <f t="shared" si="0"/>
        <v>2011.34</v>
      </c>
      <c r="K6" s="8">
        <f t="shared" si="1"/>
        <v>4438.66</v>
      </c>
      <c r="L6" s="8">
        <f t="shared" si="2"/>
        <v>-104.8133928571242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736.41</v>
      </c>
      <c r="E7" s="41">
        <v>8.83</v>
      </c>
      <c r="F7" s="41">
        <f>-1268.76</f>
        <v>-1268.76</v>
      </c>
      <c r="G7" s="41">
        <f>-95.15</f>
        <v>-95.15</v>
      </c>
      <c r="H7" s="8">
        <f>D7+F7+'09-30-21'!H7</f>
        <v>6394.86</v>
      </c>
      <c r="I7" s="8">
        <f>E7+G7+'09-30-21'!I7</f>
        <v>76.669999999999945</v>
      </c>
      <c r="J7" s="8">
        <f t="shared" si="0"/>
        <v>6471.53</v>
      </c>
      <c r="K7" s="8">
        <f t="shared" si="1"/>
        <v>18177.47</v>
      </c>
      <c r="L7" s="8">
        <f t="shared" si="2"/>
        <v>3558.7459821429184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607.58000000000004</v>
      </c>
      <c r="E8" s="9">
        <v>7.29</v>
      </c>
      <c r="F8" s="9">
        <v>0</v>
      </c>
      <c r="G8" s="9">
        <v>0</v>
      </c>
      <c r="H8" s="8">
        <f>D8+F8+'09-30-21'!H8</f>
        <v>4368.16</v>
      </c>
      <c r="I8" s="8">
        <f>E8+G8+'09-30-21'!I8</f>
        <v>52.32</v>
      </c>
      <c r="J8" s="8">
        <f t="shared" si="0"/>
        <v>4420.4799999999996</v>
      </c>
      <c r="K8" s="8">
        <f t="shared" si="1"/>
        <v>13553.52</v>
      </c>
      <c r="L8" s="8">
        <f t="shared" si="2"/>
        <v>3567.9714285714708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617.23</v>
      </c>
      <c r="E9" s="9">
        <v>7.4</v>
      </c>
      <c r="F9" s="9">
        <v>0</v>
      </c>
      <c r="G9" s="9">
        <v>0</v>
      </c>
      <c r="H9" s="8">
        <f>D9+F9+'09-30-21'!H9</f>
        <v>5274.83</v>
      </c>
      <c r="I9" s="8">
        <f>E9+G9+'09-30-21'!I9</f>
        <v>134.66</v>
      </c>
      <c r="J9" s="8">
        <f t="shared" si="0"/>
        <v>5409.49</v>
      </c>
      <c r="K9" s="8">
        <f t="shared" si="1"/>
        <v>12564.51</v>
      </c>
      <c r="L9" s="8">
        <f t="shared" si="2"/>
        <v>344.85848214290672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338.56</v>
      </c>
      <c r="E10" s="32">
        <v>4.0599999999999996</v>
      </c>
      <c r="F10" s="32">
        <v>0</v>
      </c>
      <c r="G10" s="32">
        <v>0</v>
      </c>
      <c r="H10" s="8">
        <f>D10+F10+'09-30-21'!H10</f>
        <v>338.56</v>
      </c>
      <c r="I10" s="8">
        <f>E10+G10+'09-30-21'!I10</f>
        <v>4.0599999999999996</v>
      </c>
      <c r="J10" s="8">
        <f t="shared" si="0"/>
        <v>342.62</v>
      </c>
      <c r="K10" s="8">
        <f t="shared" si="1"/>
        <v>1766.38</v>
      </c>
      <c r="L10" s="8">
        <f t="shared" si="2"/>
        <v>992.42589285714598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f>273.64+526.06</f>
        <v>799.69999999999993</v>
      </c>
      <c r="E11" s="9">
        <f>3.28+6.31</f>
        <v>9.59</v>
      </c>
      <c r="F11" s="9">
        <v>0</v>
      </c>
      <c r="G11" s="9">
        <v>0</v>
      </c>
      <c r="H11" s="8">
        <f>D11+F11+'09-30-21'!H11</f>
        <v>5758.17</v>
      </c>
      <c r="I11" s="8">
        <f>E11+G11+'09-30-21'!I11</f>
        <v>161.90999999999997</v>
      </c>
      <c r="J11" s="8">
        <f t="shared" si="0"/>
        <v>5920.08</v>
      </c>
      <c r="K11" s="8">
        <f t="shared" si="1"/>
        <v>18409.919999999998</v>
      </c>
      <c r="L11" s="8">
        <f t="shared" si="2"/>
        <v>5036.8821428571973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740.93</v>
      </c>
      <c r="E12" s="8">
        <v>8.89</v>
      </c>
      <c r="F12" s="8">
        <v>0</v>
      </c>
      <c r="G12" s="8">
        <v>0</v>
      </c>
      <c r="H12" s="8">
        <f>D12+F12+'09-30-21'!H12</f>
        <v>8413.73</v>
      </c>
      <c r="I12" s="8">
        <f>E12+G12+'09-30-21'!I12</f>
        <v>178.86</v>
      </c>
      <c r="J12" s="8">
        <f t="shared" si="0"/>
        <v>8592.59</v>
      </c>
      <c r="K12" s="8">
        <f t="shared" si="1"/>
        <v>25135.84</v>
      </c>
      <c r="L12" s="8">
        <f t="shared" si="2"/>
        <v>5725.7929464286499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1360.63</v>
      </c>
      <c r="E13" s="8">
        <v>16.32</v>
      </c>
      <c r="F13" s="8">
        <v>0</v>
      </c>
      <c r="G13" s="8">
        <v>0</v>
      </c>
      <c r="H13" s="8">
        <f>D13+F13+'09-30-21'!H13</f>
        <v>12565.89</v>
      </c>
      <c r="I13" s="8">
        <f>E13+G13+'09-30-21'!I13</f>
        <v>152.98999999999998</v>
      </c>
      <c r="J13" s="8">
        <f t="shared" si="0"/>
        <v>12718.88</v>
      </c>
      <c r="K13" s="8">
        <f t="shared" si="1"/>
        <v>30022.120000000003</v>
      </c>
      <c r="L13" s="8">
        <f t="shared" si="2"/>
        <v>1291.0785714286903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854.15</v>
      </c>
      <c r="E14" s="9">
        <v>10.24</v>
      </c>
      <c r="F14" s="9">
        <v>0</v>
      </c>
      <c r="G14" s="9">
        <v>0</v>
      </c>
      <c r="H14" s="8">
        <f>D14+F14+'09-30-21'!H14</f>
        <v>3806.58</v>
      </c>
      <c r="I14" s="8">
        <f>E14+G14+'09-30-21'!I14</f>
        <v>45.620000000000005</v>
      </c>
      <c r="J14" s="8">
        <f t="shared" si="0"/>
        <v>3852.2</v>
      </c>
      <c r="K14" s="8">
        <f t="shared" si="1"/>
        <v>20320.8</v>
      </c>
      <c r="L14" s="8">
        <f t="shared" si="2"/>
        <v>11618.955357142893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D15+F15+'09-30-21'!H15</f>
        <v>0</v>
      </c>
      <c r="I15" s="8">
        <f>E15+G15+'09-30-21'!I15</f>
        <v>0</v>
      </c>
      <c r="J15" s="8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145.9</v>
      </c>
      <c r="E16" s="9">
        <v>1.75</v>
      </c>
      <c r="F16" s="9">
        <v>0</v>
      </c>
      <c r="G16" s="9">
        <v>0</v>
      </c>
      <c r="H16" s="8">
        <f>D16+F16+'09-30-21'!H16</f>
        <v>761</v>
      </c>
      <c r="I16" s="8">
        <f>E16+G16+'09-30-21'!I16</f>
        <v>18.07</v>
      </c>
      <c r="J16" s="8">
        <f t="shared" si="0"/>
        <v>779.07</v>
      </c>
      <c r="K16" s="8">
        <f t="shared" si="1"/>
        <v>5220.93</v>
      </c>
      <c r="L16" s="8">
        <f t="shared" si="2"/>
        <v>3461.0665178571498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5.76</v>
      </c>
      <c r="F17" s="9">
        <v>0</v>
      </c>
      <c r="G17" s="9">
        <v>0</v>
      </c>
      <c r="H17" s="8">
        <f>D17+F17+'09-30-21'!H17</f>
        <v>3912</v>
      </c>
      <c r="I17" s="8">
        <f>E17+G17+'09-30-21'!I17</f>
        <v>46.93</v>
      </c>
      <c r="J17" s="8">
        <f t="shared" si="0"/>
        <v>3958.93</v>
      </c>
      <c r="K17" s="8">
        <f t="shared" si="1"/>
        <v>6841.07</v>
      </c>
      <c r="L17" s="8">
        <f t="shared" si="2"/>
        <v>-2101.8700892856778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7345.4699999999993</v>
      </c>
      <c r="E18" s="7">
        <f t="shared" si="4"/>
        <v>88.1</v>
      </c>
      <c r="F18" s="7">
        <f t="shared" si="4"/>
        <v>1784.39</v>
      </c>
      <c r="G18" s="7">
        <f t="shared" si="4"/>
        <v>133.82</v>
      </c>
      <c r="H18" s="7">
        <f t="shared" si="4"/>
        <v>68672</v>
      </c>
      <c r="I18" s="7">
        <f t="shared" si="4"/>
        <v>1993.9299999999998</v>
      </c>
      <c r="J18" s="35">
        <f t="shared" si="4"/>
        <v>70665.930000000008</v>
      </c>
      <c r="K18" s="35">
        <f t="shared" si="4"/>
        <v>225734.5</v>
      </c>
      <c r="L18" s="7">
        <f t="shared" si="4"/>
        <v>66105.211696429222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158.69999999999999</v>
      </c>
      <c r="E22" s="32">
        <v>1.9</v>
      </c>
      <c r="F22" s="32">
        <v>0</v>
      </c>
      <c r="G22" s="32">
        <v>0</v>
      </c>
      <c r="H22" s="8">
        <f>D22+F22+'09-30-21'!H22</f>
        <v>158.69999999999999</v>
      </c>
      <c r="I22" s="8">
        <f>E22+G22+'09-30-21'!I22</f>
        <v>1.9</v>
      </c>
      <c r="J22" s="8">
        <f t="shared" si="6"/>
        <v>160.6</v>
      </c>
      <c r="K22" s="8">
        <f t="shared" ref="K22:K23" si="8">C22-J22</f>
        <v>13792.4</v>
      </c>
      <c r="L22" s="8">
        <f t="shared" ref="L22:L23" si="9">C22-((J22/8)*26.0714285714285)</f>
        <v>13429.616071428572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287.5</v>
      </c>
      <c r="E23" s="32">
        <v>3.45</v>
      </c>
      <c r="F23" s="32">
        <v>0</v>
      </c>
      <c r="G23" s="32">
        <v>0</v>
      </c>
      <c r="H23" s="8">
        <f>D23+F23+'09-30-21'!H23</f>
        <v>430</v>
      </c>
      <c r="I23" s="8">
        <f>E23+G23+'09-30-21'!I23</f>
        <v>5.16</v>
      </c>
      <c r="J23" s="8">
        <f t="shared" si="6"/>
        <v>435.16</v>
      </c>
      <c r="K23" s="8">
        <f t="shared" si="8"/>
        <v>1590.84</v>
      </c>
      <c r="L23" s="8">
        <f t="shared" si="9"/>
        <v>607.84464285714671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446.2</v>
      </c>
      <c r="E24" s="7">
        <f t="shared" si="10"/>
        <v>5.35</v>
      </c>
      <c r="F24" s="7">
        <f t="shared" si="10"/>
        <v>0</v>
      </c>
      <c r="G24" s="7">
        <f t="shared" si="10"/>
        <v>0</v>
      </c>
      <c r="H24" s="8">
        <f>D24+F24+'07-22-21'!H23</f>
        <v>446.2</v>
      </c>
      <c r="I24" s="8">
        <f>E24+G24+'07-22-21'!I23</f>
        <v>5.35</v>
      </c>
      <c r="J24" s="35">
        <f t="shared" si="10"/>
        <v>595.76</v>
      </c>
      <c r="K24" s="7">
        <f t="shared" si="10"/>
        <v>15383.24</v>
      </c>
      <c r="L24" s="7">
        <f t="shared" si="10"/>
        <v>14037.460714285718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900</v>
      </c>
      <c r="E27" s="9">
        <v>10.8</v>
      </c>
      <c r="F27" s="9">
        <v>502.5</v>
      </c>
      <c r="G27" s="9">
        <v>37.68</v>
      </c>
      <c r="H27" s="8">
        <f>D27+F27+'09-30-21'!H27</f>
        <v>7359.75</v>
      </c>
      <c r="I27" s="8">
        <f>E27+G27+'09-30-21'!I27</f>
        <v>285.44</v>
      </c>
      <c r="J27" s="8">
        <f t="shared" ref="J27:J28" si="11">H27+I27</f>
        <v>7645.19</v>
      </c>
      <c r="K27" s="8">
        <f>C27-J27</f>
        <v>17354.810000000001</v>
      </c>
      <c r="L27" s="8">
        <f>C27-((J27/8)*26.0714285714285)</f>
        <v>84.871875000069849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900</v>
      </c>
      <c r="E29" s="31">
        <f t="shared" si="14"/>
        <v>10.8</v>
      </c>
      <c r="F29" s="31">
        <f t="shared" si="14"/>
        <v>502.5</v>
      </c>
      <c r="G29" s="31">
        <f t="shared" si="14"/>
        <v>37.68</v>
      </c>
      <c r="H29" s="31">
        <f t="shared" si="14"/>
        <v>7359.75</v>
      </c>
      <c r="I29" s="31">
        <f t="shared" si="14"/>
        <v>285.44</v>
      </c>
      <c r="J29" s="31">
        <f t="shared" si="14"/>
        <v>7645.19</v>
      </c>
      <c r="K29" s="31">
        <f t="shared" si="14"/>
        <v>17354.810000000001</v>
      </c>
      <c r="L29" s="31">
        <f t="shared" si="14"/>
        <v>84.871875000069849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8691.6699999999983</v>
      </c>
      <c r="E32" s="24">
        <f t="shared" si="15"/>
        <v>104.24999999999999</v>
      </c>
      <c r="F32" s="24">
        <f t="shared" si="15"/>
        <v>2286.8900000000003</v>
      </c>
      <c r="G32" s="24">
        <f t="shared" si="15"/>
        <v>171.5</v>
      </c>
      <c r="H32" s="24">
        <f t="shared" si="15"/>
        <v>76477.95</v>
      </c>
      <c r="I32" s="24">
        <f t="shared" si="15"/>
        <v>2284.7199999999998</v>
      </c>
      <c r="J32" s="24">
        <f t="shared" si="15"/>
        <v>78906.880000000005</v>
      </c>
      <c r="K32" s="24">
        <f t="shared" si="15"/>
        <v>258472.55</v>
      </c>
      <c r="L32" s="24">
        <f t="shared" si="15"/>
        <v>80227.544285715005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9">
        <f>-1080</f>
        <v>-1080</v>
      </c>
      <c r="E35" s="9">
        <f>-12.96</f>
        <v>-12.96</v>
      </c>
      <c r="F35" s="9">
        <v>735</v>
      </c>
      <c r="G35" s="9">
        <v>55.12</v>
      </c>
      <c r="H35" s="8">
        <f>D35+F35+'09-30-21'!H35</f>
        <v>800.94</v>
      </c>
      <c r="I35" s="8">
        <f>E35+G35+'09-30-21'!I35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8" si="16">C35-((J35/8)*26.0714285714285)</f>
        <v>380.63523214286488</v>
      </c>
      <c r="M35" s="76"/>
    </row>
    <row r="36" spans="1:13" s="59" customFormat="1" ht="11.25" customHeight="1" x14ac:dyDescent="0.25">
      <c r="A36" s="20" t="s">
        <v>117</v>
      </c>
      <c r="B36" s="21" t="s">
        <v>12</v>
      </c>
      <c r="C36" s="110">
        <v>900</v>
      </c>
      <c r="D36" s="8">
        <v>0</v>
      </c>
      <c r="E36" s="8">
        <v>0</v>
      </c>
      <c r="F36" s="8">
        <v>120</v>
      </c>
      <c r="G36" s="8">
        <v>9</v>
      </c>
      <c r="H36" s="8">
        <f>D36+F36+'09-30-21'!H36</f>
        <v>120</v>
      </c>
      <c r="I36" s="8">
        <f>E36+G36+'09-30-21'!I36</f>
        <v>9</v>
      </c>
      <c r="J36" s="8">
        <f t="shared" ref="J36:J58" si="17">H36+I36</f>
        <v>129</v>
      </c>
      <c r="K36" s="8">
        <f t="shared" ref="K36:K58" si="18">C36-J36</f>
        <v>771</v>
      </c>
      <c r="L36" s="8">
        <f t="shared" si="16"/>
        <v>479.59821428571547</v>
      </c>
      <c r="M36" s="70"/>
    </row>
    <row r="37" spans="1:13" s="59" customFormat="1" ht="11.25" customHeight="1" x14ac:dyDescent="0.25">
      <c r="A37" s="20" t="s">
        <v>114</v>
      </c>
      <c r="B37" s="21" t="s">
        <v>12</v>
      </c>
      <c r="C37" s="110">
        <v>12000</v>
      </c>
      <c r="D37" s="8">
        <f>1080+309</f>
        <v>1389</v>
      </c>
      <c r="E37" s="8">
        <f>12.96+3.7</f>
        <v>16.66</v>
      </c>
      <c r="F37" s="8">
        <v>0</v>
      </c>
      <c r="G37" s="8">
        <v>0</v>
      </c>
      <c r="H37" s="8">
        <f>D37+F37+'09-30-21'!H37</f>
        <v>1599</v>
      </c>
      <c r="I37" s="8">
        <f>E37+G37+'09-30-21'!I37</f>
        <v>19.18</v>
      </c>
      <c r="J37" s="8">
        <f t="shared" si="17"/>
        <v>1618.18</v>
      </c>
      <c r="K37" s="8">
        <f t="shared" si="18"/>
        <v>10381.82</v>
      </c>
      <c r="L37" s="8">
        <f t="shared" si="16"/>
        <v>6726.4669642857289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D38+F38+'09-30-21'!H38</f>
        <v>0</v>
      </c>
      <c r="I38" s="8">
        <f>E38+G38+'09-30-21'!I38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D39+F39+'09-30-21'!H39</f>
        <v>36.659999999999997</v>
      </c>
      <c r="I39" s="8">
        <f>E39+G39+'09-30-21'!I39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-120.90297021428538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D40+F40+'09-30-21'!H40</f>
        <v>0</v>
      </c>
      <c r="I40" s="8">
        <f>E40+G40+'09-30-21'!I40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D41+F41+'09-30-21'!H41</f>
        <v>0</v>
      </c>
      <c r="I41" s="8">
        <f>E41+G41+'09-30-21'!I41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D42+F42+'09-30-21'!H42</f>
        <v>582.25</v>
      </c>
      <c r="I42" s="8">
        <f>E42+G42+'09-30-21'!I42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4789.7741071428627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D43+F43+'09-30-21'!H43</f>
        <v>3121.7</v>
      </c>
      <c r="I43" s="8">
        <f>E43+G43+'09-30-21'!I43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-7119.1715178571139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D44+F44+'09-30-21'!H44</f>
        <v>0</v>
      </c>
      <c r="I44" s="8">
        <f>E44+G44+'09-30-21'!I44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111.6</v>
      </c>
      <c r="E45" s="33">
        <v>1.33</v>
      </c>
      <c r="F45" s="33">
        <v>0</v>
      </c>
      <c r="G45" s="33">
        <v>0</v>
      </c>
      <c r="H45" s="8">
        <f>D45+F45+'09-30-21'!H45</f>
        <v>379.43999999999994</v>
      </c>
      <c r="I45" s="8">
        <f>E45+G45+'09-30-21'!I45</f>
        <v>4.53</v>
      </c>
      <c r="J45" s="8">
        <f t="shared" si="17"/>
        <v>383.96999999999991</v>
      </c>
      <c r="K45" s="92">
        <f t="shared" si="19"/>
        <v>4616.03</v>
      </c>
      <c r="L45" s="8">
        <f t="shared" si="16"/>
        <v>3748.6691964285751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240</v>
      </c>
      <c r="E46" s="32">
        <v>2.88</v>
      </c>
      <c r="F46" s="32">
        <v>558</v>
      </c>
      <c r="G46" s="32">
        <v>41.85</v>
      </c>
      <c r="H46" s="8">
        <f>D46+F46+'09-30-21'!H46</f>
        <v>1170</v>
      </c>
      <c r="I46" s="8">
        <f>E46+G46+'09-30-21'!I46</f>
        <v>49.190000000000005</v>
      </c>
      <c r="J46" s="8">
        <f t="shared" si="17"/>
        <v>1219.19</v>
      </c>
      <c r="K46" s="8">
        <f>C46-J46</f>
        <v>515.16000000000031</v>
      </c>
      <c r="L46" s="8">
        <f t="shared" si="16"/>
        <v>-2238.9031249999884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D47+F47+'09-30-21'!H47</f>
        <v>0</v>
      </c>
      <c r="I47" s="8">
        <f>E47+G47+'09-30-21'!I47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v>7700</v>
      </c>
      <c r="D48" s="33">
        <v>1236.9000000000001</v>
      </c>
      <c r="E48" s="33">
        <v>14.84</v>
      </c>
      <c r="F48" s="33">
        <v>0</v>
      </c>
      <c r="G48" s="33">
        <v>0</v>
      </c>
      <c r="H48" s="8">
        <f>D48+F48+'09-30-21'!H48</f>
        <v>2650.5</v>
      </c>
      <c r="I48" s="8">
        <f>E48+G48+'09-30-21'!I48</f>
        <v>31.79</v>
      </c>
      <c r="J48" s="8">
        <f t="shared" si="17"/>
        <v>2682.29</v>
      </c>
      <c r="K48" s="8">
        <f>C48-J48</f>
        <v>5017.71</v>
      </c>
      <c r="L48" s="8">
        <f t="shared" si="16"/>
        <v>-1041.3915178571187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D49+F49+'09-30-21'!H49</f>
        <v>1754.38</v>
      </c>
      <c r="I49" s="8">
        <f>E49+G49+'09-30-21'!I49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-1875.326339285697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D50+F50+'09-30-21'!H50</f>
        <v>0</v>
      </c>
      <c r="I50" s="8">
        <f>E50+G50+'09-30-21'!I50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D51+F51+'09-30-21'!H51</f>
        <v>0</v>
      </c>
      <c r="I51" s="8">
        <f>E51+G51+'09-30-21'!I51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D52+F52+'09-30-21'!H52</f>
        <v>0</v>
      </c>
      <c r="I52" s="8">
        <f>E52+G52+'09-30-21'!I52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D53+F53+'09-30-21'!H53</f>
        <v>0</v>
      </c>
      <c r="I53" s="8">
        <f>E53+G53+'09-30-21'!I53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D54+F54+'09-30-21'!H54</f>
        <v>0</v>
      </c>
      <c r="I54" s="8">
        <f>E54+G54+'09-30-21'!I54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D55+F55+'09-30-21'!H55</f>
        <v>0</v>
      </c>
      <c r="I55" s="8">
        <f>E55+G55+'09-30-21'!I55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D56+F56+'09-30-21'!H56</f>
        <v>2.4</v>
      </c>
      <c r="I56" s="8">
        <f>E56+G56+'09-30-21'!I56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4185.2533928571429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D57+F57+'09-30-21'!H57</f>
        <v>2754</v>
      </c>
      <c r="I57" s="8">
        <f>E57+G57+'09-30-21'!I57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-5154.4122321428304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v>2600</v>
      </c>
      <c r="D58" s="62">
        <v>307.83999999999997</v>
      </c>
      <c r="E58" s="62">
        <v>3.69</v>
      </c>
      <c r="F58" s="62">
        <v>0</v>
      </c>
      <c r="G58" s="62">
        <v>0</v>
      </c>
      <c r="H58" s="8">
        <f>D58+F58+'09-30-21'!H58</f>
        <v>1011.1399999999999</v>
      </c>
      <c r="I58" s="8">
        <f>E58+G58+'09-30-21'!I58</f>
        <v>12.11</v>
      </c>
      <c r="J58" s="8">
        <f t="shared" si="17"/>
        <v>1023.2499999999999</v>
      </c>
      <c r="K58" s="8">
        <f t="shared" si="18"/>
        <v>1576.75</v>
      </c>
      <c r="L58" s="8">
        <f t="shared" si="16"/>
        <v>-734.69866071427577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52242.25</v>
      </c>
      <c r="D59" s="7"/>
      <c r="E59" s="7"/>
      <c r="F59" s="7"/>
      <c r="G59" s="7"/>
      <c r="H59" s="7">
        <f>SUM(H35:H54)</f>
        <v>12214.869999999999</v>
      </c>
      <c r="I59" s="7">
        <f>SUM(I35:I54)</f>
        <v>344.90259359999999</v>
      </c>
      <c r="J59" s="7">
        <f>SUM(J35:J54)</f>
        <v>12559.772593600002</v>
      </c>
      <c r="K59" s="7">
        <f>SUM(K35:K54)</f>
        <v>39682.477406399994</v>
      </c>
      <c r="L59" s="7">
        <f>SUM(L35:L54)</f>
        <v>11310.848244071543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1206.55</v>
      </c>
      <c r="E62" s="9">
        <v>14.47</v>
      </c>
      <c r="F62" s="9">
        <v>0</v>
      </c>
      <c r="G62" s="9">
        <v>0</v>
      </c>
      <c r="H62" s="8">
        <f>D62+F62+'09-30-21'!H62</f>
        <v>8240.9</v>
      </c>
      <c r="I62" s="8">
        <f>E62+G62+'09-30-21'!I62</f>
        <v>167.98000000000002</v>
      </c>
      <c r="J62" s="8">
        <f t="shared" ref="J62:J63" si="21">H62+I62</f>
        <v>8408.8799999999992</v>
      </c>
      <c r="K62" s="8">
        <f>C62-J62</f>
        <v>54174.12</v>
      </c>
      <c r="L62" s="8">
        <f t="shared" ref="L62:L63" si="22">C62-((J62/8)*26.0714285714285)</f>
        <v>35179.060714285792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D63+F63+'09-30-21'!H63</f>
        <v>0</v>
      </c>
      <c r="I63" s="8">
        <f>E63+G63+'09-30-21'!I63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1206.55</v>
      </c>
      <c r="E64" s="14">
        <f t="shared" si="23"/>
        <v>14.47</v>
      </c>
      <c r="F64" s="14">
        <f t="shared" si="23"/>
        <v>0</v>
      </c>
      <c r="G64" s="14">
        <f t="shared" si="23"/>
        <v>0</v>
      </c>
      <c r="H64" s="14">
        <f t="shared" si="23"/>
        <v>8240.9</v>
      </c>
      <c r="I64" s="14">
        <f t="shared" si="23"/>
        <v>167.98000000000002</v>
      </c>
      <c r="J64" s="14">
        <f t="shared" si="23"/>
        <v>8408.8799999999992</v>
      </c>
      <c r="K64" s="14">
        <f t="shared" si="23"/>
        <v>54174.12</v>
      </c>
      <c r="L64" s="14">
        <f t="shared" si="23"/>
        <v>35179.060714285792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9">
        <v>0</v>
      </c>
      <c r="E67" s="9">
        <v>0</v>
      </c>
      <c r="F67" s="9">
        <v>0</v>
      </c>
      <c r="G67" s="9">
        <v>0</v>
      </c>
      <c r="H67" s="8">
        <f>D67+F67+'09-30-21'!H67</f>
        <v>336.26</v>
      </c>
      <c r="I67" s="8">
        <f>E67+G67+'09-30-21'!I67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C67-((J67/8)*26.0714285714285)</f>
        <v>36557.995089285716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36557.995089285716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115</v>
      </c>
      <c r="B83" s="122"/>
      <c r="C83" s="122"/>
      <c r="D83" s="122"/>
      <c r="E83" s="122"/>
      <c r="F83" s="122"/>
      <c r="G83" s="89">
        <v>900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</sheetData>
  <mergeCells count="36">
    <mergeCell ref="A68:B68"/>
    <mergeCell ref="A18:B18"/>
    <mergeCell ref="A24:B24"/>
    <mergeCell ref="A29:B29"/>
    <mergeCell ref="A32:B32"/>
    <mergeCell ref="A59:B5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</mergeCells>
  <pageMargins left="0.25" right="0" top="0.4" bottom="0" header="0.3" footer="0"/>
  <pageSetup scale="6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F3E5-5BF0-4506-A5A1-4966E4FD4E10}">
  <sheetPr>
    <pageSetUpPr fitToPage="1"/>
  </sheetPr>
  <dimension ref="A1:S84"/>
  <sheetViews>
    <sheetView zoomScale="145" zoomScaleNormal="145" workbookViewId="0">
      <pane ySplit="2" topLeftCell="A3" activePane="bottomLeft" state="frozen"/>
      <selection pane="bottomLeft" activeCell="D27" sqref="D27"/>
    </sheetView>
  </sheetViews>
  <sheetFormatPr defaultColWidth="28" defaultRowHeight="15" x14ac:dyDescent="0.25"/>
  <cols>
    <col min="1" max="1" width="36.42578125" style="1" customWidth="1"/>
    <col min="2" max="2" width="19" style="1" bestFit="1" customWidth="1"/>
    <col min="3" max="3" width="11.5703125" style="52" bestFit="1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64" customWidth="1"/>
    <col min="14" max="16384" width="28" style="1"/>
  </cols>
  <sheetData>
    <row r="1" spans="1:13" ht="11.25" customHeight="1" x14ac:dyDescent="0.25">
      <c r="A1" s="50"/>
      <c r="B1" s="49"/>
      <c r="C1" s="51"/>
      <c r="D1" s="48"/>
      <c r="E1" s="48"/>
      <c r="F1" s="48"/>
      <c r="G1" s="48"/>
      <c r="H1" s="48"/>
      <c r="I1" s="48"/>
      <c r="J1" s="48"/>
      <c r="K1" s="48"/>
      <c r="L1" s="47" t="s">
        <v>120</v>
      </c>
      <c r="M1" s="93"/>
    </row>
    <row r="2" spans="1:13" s="43" customFormat="1" ht="23.25" x14ac:dyDescent="0.25">
      <c r="A2" s="46" t="s">
        <v>43</v>
      </c>
      <c r="B2" s="46" t="s">
        <v>42</v>
      </c>
      <c r="C2" s="45" t="s">
        <v>41</v>
      </c>
      <c r="D2" s="45" t="s">
        <v>40</v>
      </c>
      <c r="E2" s="45" t="s">
        <v>38</v>
      </c>
      <c r="F2" s="45" t="s">
        <v>39</v>
      </c>
      <c r="G2" s="45" t="s">
        <v>38</v>
      </c>
      <c r="H2" s="44" t="s">
        <v>37</v>
      </c>
      <c r="I2" s="44" t="s">
        <v>36</v>
      </c>
      <c r="J2" s="44" t="s">
        <v>35</v>
      </c>
      <c r="K2" s="44" t="s">
        <v>34</v>
      </c>
      <c r="L2" s="44" t="s">
        <v>33</v>
      </c>
      <c r="M2" s="65"/>
    </row>
    <row r="3" spans="1:13" s="56" customFormat="1" ht="11.25" customHeight="1" x14ac:dyDescent="0.25">
      <c r="A3" s="17" t="s">
        <v>32</v>
      </c>
      <c r="B3" s="21">
        <v>55010300</v>
      </c>
      <c r="C3" s="8">
        <v>1000</v>
      </c>
      <c r="D3" s="32">
        <v>300</v>
      </c>
      <c r="E3" s="32">
        <v>3.6</v>
      </c>
      <c r="F3" s="32">
        <v>0</v>
      </c>
      <c r="G3" s="32">
        <v>0</v>
      </c>
      <c r="H3" s="8">
        <f>D3+F3+'10-14-21'!H3</f>
        <v>645</v>
      </c>
      <c r="I3" s="8">
        <f>E3+G3+'10-14-21'!I3</f>
        <v>7.74</v>
      </c>
      <c r="J3" s="8">
        <f>H3+I3</f>
        <v>652.74</v>
      </c>
      <c r="K3" s="8">
        <f>C3-J3</f>
        <v>347.26</v>
      </c>
      <c r="L3" s="8">
        <f>C3-((J3/9)*26.0714285714285)</f>
        <v>-890.87380952380431</v>
      </c>
      <c r="M3" s="90"/>
    </row>
    <row r="4" spans="1:13" s="56" customFormat="1" ht="11.25" customHeight="1" x14ac:dyDescent="0.25">
      <c r="A4" s="91" t="s">
        <v>100</v>
      </c>
      <c r="B4" s="21">
        <v>55010000</v>
      </c>
      <c r="C4" s="8">
        <v>66000</v>
      </c>
      <c r="D4" s="33">
        <v>362.5</v>
      </c>
      <c r="E4" s="33">
        <v>4.3499999999999996</v>
      </c>
      <c r="F4" s="33">
        <v>1768.77</v>
      </c>
      <c r="G4" s="33">
        <v>132.65</v>
      </c>
      <c r="H4" s="8">
        <f>D4+F4+'10-14-21'!H4</f>
        <v>16876.989999999998</v>
      </c>
      <c r="I4" s="8">
        <f>E4+G4+'10-14-21'!I4</f>
        <v>1230.8599999999999</v>
      </c>
      <c r="J4" s="8">
        <f t="shared" ref="J4:J17" si="0">H4+I4</f>
        <v>18107.849999999999</v>
      </c>
      <c r="K4" s="8">
        <f t="shared" ref="K4:K17" si="1">C4-J4</f>
        <v>47892.15</v>
      </c>
      <c r="L4" s="8">
        <f t="shared" ref="L4:L17" si="2">C4-((J4/9)*26.0714285714285)</f>
        <v>13544.72023809539</v>
      </c>
      <c r="M4" s="66"/>
    </row>
    <row r="5" spans="1:13" s="56" customFormat="1" ht="11.25" customHeight="1" x14ac:dyDescent="0.25">
      <c r="A5" s="91" t="s">
        <v>99</v>
      </c>
      <c r="B5" s="21">
        <v>55010500</v>
      </c>
      <c r="C5" s="8">
        <f>2229+688</f>
        <v>2917</v>
      </c>
      <c r="D5" s="32">
        <v>0</v>
      </c>
      <c r="E5" s="32">
        <v>0</v>
      </c>
      <c r="F5" s="32">
        <v>0</v>
      </c>
      <c r="G5" s="32">
        <v>0</v>
      </c>
      <c r="H5" s="8">
        <f>D5+F5+'10-14-21'!H5</f>
        <v>0</v>
      </c>
      <c r="I5" s="8">
        <f>E5+G5+'10-14-21'!I5</f>
        <v>0</v>
      </c>
      <c r="J5" s="8">
        <f t="shared" si="0"/>
        <v>0</v>
      </c>
      <c r="K5" s="8">
        <f t="shared" si="1"/>
        <v>2917</v>
      </c>
      <c r="L5" s="8">
        <f t="shared" si="2"/>
        <v>2917</v>
      </c>
      <c r="M5" s="90"/>
    </row>
    <row r="6" spans="1:13" s="56" customFormat="1" ht="11.25" customHeight="1" x14ac:dyDescent="0.25">
      <c r="A6" s="42" t="s">
        <v>70</v>
      </c>
      <c r="B6" s="57">
        <v>55010601</v>
      </c>
      <c r="C6" s="8">
        <v>6450</v>
      </c>
      <c r="D6" s="8">
        <v>120</v>
      </c>
      <c r="E6" s="8">
        <v>1.44</v>
      </c>
      <c r="F6" s="8">
        <v>0</v>
      </c>
      <c r="G6" s="8">
        <v>0</v>
      </c>
      <c r="H6" s="8">
        <f>D6+F6+'10-14-21'!H6</f>
        <v>2107.5</v>
      </c>
      <c r="I6" s="8">
        <f>E6+G6+'10-14-21'!I6</f>
        <v>25.280000000000005</v>
      </c>
      <c r="J6" s="8">
        <f t="shared" si="0"/>
        <v>2132.7800000000002</v>
      </c>
      <c r="K6" s="8">
        <f t="shared" si="1"/>
        <v>4317.2199999999993</v>
      </c>
      <c r="L6" s="8">
        <f t="shared" si="2"/>
        <v>271.70873015874622</v>
      </c>
      <c r="M6" s="66"/>
    </row>
    <row r="7" spans="1:13" s="53" customFormat="1" ht="11.25" customHeight="1" x14ac:dyDescent="0.25">
      <c r="A7" s="42" t="s">
        <v>31</v>
      </c>
      <c r="B7" s="57">
        <v>55020200</v>
      </c>
      <c r="C7" s="58">
        <v>24649</v>
      </c>
      <c r="D7" s="41">
        <v>788.26</v>
      </c>
      <c r="E7" s="41">
        <v>9.4499999999999993</v>
      </c>
      <c r="F7" s="41">
        <v>0</v>
      </c>
      <c r="G7" s="41">
        <v>0</v>
      </c>
      <c r="H7" s="8">
        <f>D7+F7+'10-14-21'!H7</f>
        <v>7183.12</v>
      </c>
      <c r="I7" s="8">
        <f>E7+G7+'10-14-21'!I7</f>
        <v>86.119999999999948</v>
      </c>
      <c r="J7" s="8">
        <f t="shared" si="0"/>
        <v>7269.24</v>
      </c>
      <c r="K7" s="8">
        <f t="shared" si="1"/>
        <v>17379.760000000002</v>
      </c>
      <c r="L7" s="8">
        <f t="shared" si="2"/>
        <v>3591.2809523810138</v>
      </c>
      <c r="M7" s="67"/>
    </row>
    <row r="8" spans="1:13" s="53" customFormat="1" ht="11.25" customHeight="1" x14ac:dyDescent="0.25">
      <c r="A8" s="17" t="s">
        <v>30</v>
      </c>
      <c r="B8" s="21">
        <v>55020300</v>
      </c>
      <c r="C8" s="8">
        <v>17974</v>
      </c>
      <c r="D8" s="9">
        <v>655.46</v>
      </c>
      <c r="E8" s="9">
        <v>7.86</v>
      </c>
      <c r="F8" s="9">
        <v>0</v>
      </c>
      <c r="G8" s="9">
        <v>0</v>
      </c>
      <c r="H8" s="8">
        <f>D8+F8+'10-14-21'!H8</f>
        <v>5023.62</v>
      </c>
      <c r="I8" s="8">
        <f>E8+G8+'10-14-21'!I8</f>
        <v>60.18</v>
      </c>
      <c r="J8" s="8">
        <f t="shared" si="0"/>
        <v>5083.8</v>
      </c>
      <c r="K8" s="8">
        <f t="shared" si="1"/>
        <v>12890.2</v>
      </c>
      <c r="L8" s="8">
        <f t="shared" si="2"/>
        <v>3247.1190476190895</v>
      </c>
      <c r="M8" s="67"/>
    </row>
    <row r="9" spans="1:13" s="53" customFormat="1" ht="11.25" customHeight="1" x14ac:dyDescent="0.25">
      <c r="A9" s="17" t="s">
        <v>29</v>
      </c>
      <c r="B9" s="21">
        <v>55020400</v>
      </c>
      <c r="C9" s="8">
        <v>17974</v>
      </c>
      <c r="D9" s="9">
        <v>553.08000000000004</v>
      </c>
      <c r="E9" s="9">
        <v>6.63</v>
      </c>
      <c r="F9" s="9">
        <v>0</v>
      </c>
      <c r="G9" s="9">
        <v>0</v>
      </c>
      <c r="H9" s="8">
        <f>D9+F9+'10-14-21'!H9</f>
        <v>5827.91</v>
      </c>
      <c r="I9" s="8">
        <f>E9+G9+'10-14-21'!I9</f>
        <v>141.29</v>
      </c>
      <c r="J9" s="8">
        <f t="shared" si="0"/>
        <v>5969.2</v>
      </c>
      <c r="K9" s="8">
        <f t="shared" si="1"/>
        <v>12004.8</v>
      </c>
      <c r="L9" s="8">
        <f t="shared" si="2"/>
        <v>682.26984126989191</v>
      </c>
      <c r="M9" s="67"/>
    </row>
    <row r="10" spans="1:13" s="53" customFormat="1" ht="11.25" customHeight="1" x14ac:dyDescent="0.25">
      <c r="A10" s="17" t="s">
        <v>59</v>
      </c>
      <c r="B10" s="21">
        <v>55030100</v>
      </c>
      <c r="C10" s="8">
        <v>2109</v>
      </c>
      <c r="D10" s="32">
        <v>105.8</v>
      </c>
      <c r="E10" s="32">
        <v>1.26</v>
      </c>
      <c r="F10" s="32">
        <v>0</v>
      </c>
      <c r="G10" s="32">
        <v>0</v>
      </c>
      <c r="H10" s="8">
        <f>D10+F10+'10-14-21'!H10</f>
        <v>444.36</v>
      </c>
      <c r="I10" s="8">
        <f>E10+G10+'10-14-21'!I10</f>
        <v>5.3199999999999994</v>
      </c>
      <c r="J10" s="8">
        <f t="shared" si="0"/>
        <v>449.68</v>
      </c>
      <c r="K10" s="8">
        <f t="shared" si="1"/>
        <v>1659.32</v>
      </c>
      <c r="L10" s="8">
        <f t="shared" si="2"/>
        <v>806.35555555555925</v>
      </c>
      <c r="M10" s="67"/>
    </row>
    <row r="11" spans="1:13" s="53" customFormat="1" ht="11.25" customHeight="1" x14ac:dyDescent="0.25">
      <c r="A11" s="40" t="s">
        <v>28</v>
      </c>
      <c r="B11" s="21">
        <v>55030200</v>
      </c>
      <c r="C11" s="8">
        <v>24330</v>
      </c>
      <c r="D11" s="9">
        <v>548.49</v>
      </c>
      <c r="E11" s="9">
        <v>6.58</v>
      </c>
      <c r="F11" s="9">
        <v>0</v>
      </c>
      <c r="G11" s="9">
        <v>0</v>
      </c>
      <c r="H11" s="8">
        <f>D11+F11+'10-14-21'!H11</f>
        <v>6306.66</v>
      </c>
      <c r="I11" s="8">
        <f>E11+G11+'10-14-21'!I11</f>
        <v>168.48999999999998</v>
      </c>
      <c r="J11" s="8">
        <f t="shared" si="0"/>
        <v>6475.15</v>
      </c>
      <c r="K11" s="8">
        <f t="shared" si="1"/>
        <v>17854.849999999999</v>
      </c>
      <c r="L11" s="8">
        <f t="shared" si="2"/>
        <v>5572.6210317460827</v>
      </c>
      <c r="M11" s="74"/>
    </row>
    <row r="12" spans="1:13" s="53" customFormat="1" ht="11.25" customHeight="1" x14ac:dyDescent="0.25">
      <c r="A12" s="17" t="s">
        <v>27</v>
      </c>
      <c r="B12" s="23">
        <v>55050200</v>
      </c>
      <c r="C12" s="8">
        <f>34000-271.57</f>
        <v>33728.43</v>
      </c>
      <c r="D12" s="8">
        <v>1454.14</v>
      </c>
      <c r="E12" s="8">
        <v>17.440000000000001</v>
      </c>
      <c r="F12" s="8">
        <v>0</v>
      </c>
      <c r="G12" s="8">
        <v>0</v>
      </c>
      <c r="H12" s="8">
        <f>D12+F12+'10-14-21'!H12</f>
        <v>9867.869999999999</v>
      </c>
      <c r="I12" s="8">
        <f>E12+G12+'10-14-21'!I12</f>
        <v>196.3</v>
      </c>
      <c r="J12" s="8">
        <f t="shared" si="0"/>
        <v>10064.169999999998</v>
      </c>
      <c r="K12" s="8">
        <f t="shared" si="1"/>
        <v>23664.260000000002</v>
      </c>
      <c r="L12" s="8">
        <f t="shared" si="2"/>
        <v>4574.2867460318303</v>
      </c>
      <c r="M12" s="84"/>
    </row>
    <row r="13" spans="1:13" s="54" customFormat="1" ht="11.25" customHeight="1" x14ac:dyDescent="0.25">
      <c r="A13" s="17" t="s">
        <v>26</v>
      </c>
      <c r="B13" s="21">
        <v>55070100</v>
      </c>
      <c r="C13" s="8">
        <v>42741</v>
      </c>
      <c r="D13" s="8">
        <v>1584.9</v>
      </c>
      <c r="E13" s="8">
        <v>19.010000000000002</v>
      </c>
      <c r="F13" s="8">
        <v>0</v>
      </c>
      <c r="G13" s="8">
        <v>0</v>
      </c>
      <c r="H13" s="8">
        <f>D13+F13+'10-14-21'!H13</f>
        <v>14150.789999999999</v>
      </c>
      <c r="I13" s="8">
        <f>E13+G13+'10-14-21'!I13</f>
        <v>171.99999999999997</v>
      </c>
      <c r="J13" s="8">
        <f t="shared" si="0"/>
        <v>14322.789999999999</v>
      </c>
      <c r="K13" s="8">
        <f t="shared" si="1"/>
        <v>28418.21</v>
      </c>
      <c r="L13" s="8">
        <f t="shared" si="2"/>
        <v>1250.378174603291</v>
      </c>
      <c r="M13" s="84"/>
    </row>
    <row r="14" spans="1:13" s="53" customFormat="1" ht="11.25" customHeight="1" x14ac:dyDescent="0.25">
      <c r="A14" s="17" t="s">
        <v>25</v>
      </c>
      <c r="B14" s="21">
        <v>55080100</v>
      </c>
      <c r="C14" s="8">
        <v>24173</v>
      </c>
      <c r="D14" s="9">
        <v>706.54</v>
      </c>
      <c r="E14" s="9">
        <v>8.4700000000000006</v>
      </c>
      <c r="F14" s="9">
        <v>0</v>
      </c>
      <c r="G14" s="9">
        <v>0</v>
      </c>
      <c r="H14" s="8">
        <f>D14+F14+'10-14-21'!H14</f>
        <v>4513.12</v>
      </c>
      <c r="I14" s="8">
        <f>E14+G14+'10-14-21'!I14</f>
        <v>54.09</v>
      </c>
      <c r="J14" s="8">
        <f t="shared" si="0"/>
        <v>4567.21</v>
      </c>
      <c r="K14" s="8">
        <f t="shared" si="1"/>
        <v>19605.79</v>
      </c>
      <c r="L14" s="8">
        <f t="shared" si="2"/>
        <v>10942.590079365116</v>
      </c>
      <c r="M14" s="74"/>
    </row>
    <row r="15" spans="1:13" s="55" customFormat="1" ht="10.9" customHeight="1" x14ac:dyDescent="0.25">
      <c r="A15" s="79" t="s">
        <v>76</v>
      </c>
      <c r="B15" s="106">
        <v>55110100</v>
      </c>
      <c r="C15" s="33">
        <f>2659+6941+5955</f>
        <v>15555</v>
      </c>
      <c r="D15" s="33">
        <v>0</v>
      </c>
      <c r="E15" s="33">
        <v>0</v>
      </c>
      <c r="F15" s="33">
        <v>0</v>
      </c>
      <c r="G15" s="33">
        <v>0</v>
      </c>
      <c r="H15" s="8">
        <f>D15+F15+'10-14-21'!H15</f>
        <v>0</v>
      </c>
      <c r="I15" s="8">
        <f>E15+G15+'10-14-21'!I15</f>
        <v>0</v>
      </c>
      <c r="J15" s="8">
        <f>H15+I15</f>
        <v>0</v>
      </c>
      <c r="K15" s="8">
        <f>C15-J15</f>
        <v>15555</v>
      </c>
      <c r="L15" s="8">
        <f t="shared" si="2"/>
        <v>15555</v>
      </c>
      <c r="M15" s="76"/>
    </row>
    <row r="16" spans="1:13" s="55" customFormat="1" ht="11.25" customHeight="1" x14ac:dyDescent="0.25">
      <c r="A16" s="39" t="s">
        <v>24</v>
      </c>
      <c r="B16" s="23">
        <v>55190000</v>
      </c>
      <c r="C16" s="8">
        <v>6000</v>
      </c>
      <c r="D16" s="9">
        <v>168.68</v>
      </c>
      <c r="E16" s="9">
        <v>2.02</v>
      </c>
      <c r="F16" s="9">
        <v>0</v>
      </c>
      <c r="G16" s="9">
        <v>0</v>
      </c>
      <c r="H16" s="8">
        <f>D16+F16+'10-14-21'!H16</f>
        <v>929.68000000000006</v>
      </c>
      <c r="I16" s="8">
        <f>E16+G16+'10-14-21'!I16</f>
        <v>20.09</v>
      </c>
      <c r="J16" s="8">
        <f t="shared" si="0"/>
        <v>949.7700000000001</v>
      </c>
      <c r="K16" s="8">
        <f t="shared" si="1"/>
        <v>5050.2299999999996</v>
      </c>
      <c r="L16" s="8">
        <f t="shared" si="2"/>
        <v>3248.6821428571502</v>
      </c>
      <c r="M16" s="69"/>
    </row>
    <row r="17" spans="1:13" s="55" customFormat="1" ht="11.25" customHeight="1" x14ac:dyDescent="0.25">
      <c r="A17" s="39" t="s">
        <v>75</v>
      </c>
      <c r="B17" s="23">
        <v>55400000</v>
      </c>
      <c r="C17" s="8">
        <v>10800</v>
      </c>
      <c r="D17" s="9">
        <v>480</v>
      </c>
      <c r="E17" s="9">
        <v>5.76</v>
      </c>
      <c r="F17" s="9">
        <v>0</v>
      </c>
      <c r="G17" s="9">
        <v>0</v>
      </c>
      <c r="H17" s="8">
        <f>D17+F17+'10-14-21'!H17</f>
        <v>4392</v>
      </c>
      <c r="I17" s="8">
        <f>E17+G17+'10-14-21'!I17</f>
        <v>52.69</v>
      </c>
      <c r="J17" s="8">
        <f t="shared" si="0"/>
        <v>4444.6899999999996</v>
      </c>
      <c r="K17" s="8">
        <f t="shared" si="1"/>
        <v>6355.31</v>
      </c>
      <c r="L17" s="8">
        <f t="shared" si="2"/>
        <v>-2075.4908730158368</v>
      </c>
      <c r="M17" s="69"/>
    </row>
    <row r="18" spans="1:13" ht="21.6" customHeight="1" thickBot="1" x14ac:dyDescent="0.3">
      <c r="A18" s="114" t="s">
        <v>23</v>
      </c>
      <c r="B18" s="115"/>
      <c r="C18" s="35">
        <f t="shared" ref="C18" si="3">SUM(C3:C16)</f>
        <v>285600.43</v>
      </c>
      <c r="D18" s="7">
        <f t="shared" ref="D18:L18" si="4">SUM(D3:D17)</f>
        <v>7827.8500000000013</v>
      </c>
      <c r="E18" s="7">
        <f t="shared" si="4"/>
        <v>93.87</v>
      </c>
      <c r="F18" s="7">
        <f t="shared" si="4"/>
        <v>1768.77</v>
      </c>
      <c r="G18" s="7">
        <f t="shared" si="4"/>
        <v>132.65</v>
      </c>
      <c r="H18" s="7">
        <f t="shared" si="4"/>
        <v>78268.619999999981</v>
      </c>
      <c r="I18" s="7">
        <f t="shared" si="4"/>
        <v>2220.4499999999998</v>
      </c>
      <c r="J18" s="35">
        <f t="shared" si="4"/>
        <v>80489.070000000007</v>
      </c>
      <c r="K18" s="35">
        <f t="shared" si="4"/>
        <v>215911.36000000004</v>
      </c>
      <c r="L18" s="7">
        <f t="shared" si="4"/>
        <v>63237.647857143515</v>
      </c>
    </row>
    <row r="19" spans="1:13" ht="11.25" customHeight="1" x14ac:dyDescent="0.25">
      <c r="A19" s="3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7"/>
    </row>
    <row r="20" spans="1:13" ht="11.25" customHeight="1" thickBot="1" x14ac:dyDescent="0.3">
      <c r="A20" s="27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36"/>
    </row>
    <row r="21" spans="1:13" s="53" customFormat="1" ht="11.45" hidden="1" customHeight="1" x14ac:dyDescent="0.25">
      <c r="A21" s="10" t="s">
        <v>22</v>
      </c>
      <c r="B21" s="23">
        <v>55090100</v>
      </c>
      <c r="C21" s="82"/>
      <c r="D21" s="32">
        <v>0</v>
      </c>
      <c r="E21" s="32">
        <v>0</v>
      </c>
      <c r="F21" s="32">
        <v>0</v>
      </c>
      <c r="G21" s="32">
        <v>0</v>
      </c>
      <c r="H21" s="8">
        <f t="shared" ref="H21:I21" si="5">D21+F21</f>
        <v>0</v>
      </c>
      <c r="I21" s="8">
        <f t="shared" si="5"/>
        <v>0</v>
      </c>
      <c r="J21" s="8">
        <f t="shared" ref="J21:J23" si="6">H21+I21</f>
        <v>0</v>
      </c>
      <c r="K21" s="8">
        <f>C21-J21</f>
        <v>0</v>
      </c>
      <c r="L21" s="8">
        <f t="shared" ref="L21" si="7">C21-((J21/1)*26.0714285714285)</f>
        <v>0</v>
      </c>
      <c r="M21" s="68"/>
    </row>
    <row r="22" spans="1:13" s="53" customFormat="1" ht="11.45" customHeight="1" x14ac:dyDescent="0.25">
      <c r="A22" s="17" t="s">
        <v>21</v>
      </c>
      <c r="B22" s="21">
        <v>55160100</v>
      </c>
      <c r="C22" s="8">
        <v>13953</v>
      </c>
      <c r="D22" s="32">
        <v>211.6</v>
      </c>
      <c r="E22" s="32">
        <v>2.5299999999999998</v>
      </c>
      <c r="F22" s="32">
        <v>0</v>
      </c>
      <c r="G22" s="32">
        <v>0</v>
      </c>
      <c r="H22" s="8">
        <f>D22+F22+'10-14-21'!H22</f>
        <v>370.29999999999995</v>
      </c>
      <c r="I22" s="8">
        <f>E22+G22+'10-14-21'!I22</f>
        <v>4.43</v>
      </c>
      <c r="J22" s="8">
        <f t="shared" si="6"/>
        <v>374.72999999999996</v>
      </c>
      <c r="K22" s="8">
        <f t="shared" ref="K22:K23" si="8">C22-J22</f>
        <v>13578.27</v>
      </c>
      <c r="L22" s="8">
        <f t="shared" ref="L22:L23" si="9">C22-((J22/9)*26.0714285714285)</f>
        <v>12867.472619047621</v>
      </c>
      <c r="M22" s="67"/>
    </row>
    <row r="23" spans="1:13" s="53" customFormat="1" ht="11.45" customHeight="1" x14ac:dyDescent="0.25">
      <c r="A23" s="10" t="s">
        <v>20</v>
      </c>
      <c r="B23" s="23">
        <v>55100100</v>
      </c>
      <c r="C23" s="8">
        <v>2026</v>
      </c>
      <c r="D23" s="32">
        <v>282.5</v>
      </c>
      <c r="E23" s="32">
        <v>3.39</v>
      </c>
      <c r="F23" s="32">
        <v>0</v>
      </c>
      <c r="G23" s="32">
        <v>0</v>
      </c>
      <c r="H23" s="8">
        <f>D23+F23+'10-14-21'!H23</f>
        <v>712.5</v>
      </c>
      <c r="I23" s="8">
        <f>E23+G23+'10-14-21'!I23</f>
        <v>8.5500000000000007</v>
      </c>
      <c r="J23" s="8">
        <f t="shared" si="6"/>
        <v>721.05</v>
      </c>
      <c r="K23" s="8">
        <f t="shared" si="8"/>
        <v>1304.95</v>
      </c>
      <c r="L23" s="8">
        <f t="shared" si="9"/>
        <v>-62.755952380946383</v>
      </c>
      <c r="M23" s="67"/>
    </row>
    <row r="24" spans="1:13" ht="21.6" customHeight="1" thickBot="1" x14ac:dyDescent="0.3">
      <c r="A24" s="114" t="s">
        <v>19</v>
      </c>
      <c r="B24" s="115"/>
      <c r="C24" s="7">
        <f t="shared" ref="C24:L24" si="10">SUM(C21:C23)</f>
        <v>15979</v>
      </c>
      <c r="D24" s="7">
        <f t="shared" si="10"/>
        <v>494.1</v>
      </c>
      <c r="E24" s="7">
        <f t="shared" si="10"/>
        <v>5.92</v>
      </c>
      <c r="F24" s="7">
        <f t="shared" si="10"/>
        <v>0</v>
      </c>
      <c r="G24" s="7">
        <f t="shared" si="10"/>
        <v>0</v>
      </c>
      <c r="H24" s="8">
        <f>D24+F24+'07-22-21'!H23</f>
        <v>494.1</v>
      </c>
      <c r="I24" s="8">
        <f>E24+G24+'07-22-21'!I23</f>
        <v>5.92</v>
      </c>
      <c r="J24" s="35">
        <f t="shared" si="10"/>
        <v>1095.78</v>
      </c>
      <c r="K24" s="7">
        <f t="shared" si="10"/>
        <v>14883.220000000001</v>
      </c>
      <c r="L24" s="7">
        <f t="shared" si="10"/>
        <v>12804.716666666674</v>
      </c>
    </row>
    <row r="25" spans="1:13" ht="11.25" customHeight="1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7"/>
    </row>
    <row r="26" spans="1:13" ht="11.25" customHeight="1" thickBot="1" x14ac:dyDescent="0.3">
      <c r="A26" s="27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36"/>
    </row>
    <row r="27" spans="1:13" s="55" customFormat="1" ht="11.45" customHeight="1" x14ac:dyDescent="0.25">
      <c r="A27" s="10" t="s">
        <v>18</v>
      </c>
      <c r="B27" s="23">
        <v>55200000</v>
      </c>
      <c r="C27" s="8">
        <v>25000</v>
      </c>
      <c r="D27" s="9">
        <v>660</v>
      </c>
      <c r="E27" s="9">
        <v>7.92</v>
      </c>
      <c r="F27" s="9">
        <v>487.5</v>
      </c>
      <c r="G27" s="9">
        <v>36.56</v>
      </c>
      <c r="H27" s="8">
        <f>D27+F27+'10-14-21'!H27</f>
        <v>8507.25</v>
      </c>
      <c r="I27" s="8">
        <f>E27+G27+'10-14-21'!I27</f>
        <v>329.92</v>
      </c>
      <c r="J27" s="8">
        <f t="shared" ref="J27:J28" si="11">H27+I27</f>
        <v>8837.17</v>
      </c>
      <c r="K27" s="8">
        <f>C27-J27</f>
        <v>16162.83</v>
      </c>
      <c r="L27" s="8">
        <f>C27-((J27/9)*26.0714285714285)</f>
        <v>-599.73849206342129</v>
      </c>
      <c r="M27" s="70"/>
    </row>
    <row r="28" spans="1:13" s="55" customFormat="1" ht="10.9" hidden="1" customHeight="1" x14ac:dyDescent="0.25">
      <c r="A28" s="20" t="s">
        <v>17</v>
      </c>
      <c r="B28" s="34" t="s">
        <v>16</v>
      </c>
      <c r="C28" s="33">
        <v>0</v>
      </c>
      <c r="D28" s="32"/>
      <c r="E28" s="32"/>
      <c r="F28" s="32"/>
      <c r="G28" s="32"/>
      <c r="H28" s="8">
        <f>D28+F28+'07-08-21'!H27</f>
        <v>0</v>
      </c>
      <c r="I28" s="8">
        <f>E28+G28+'07-08-21'!I27</f>
        <v>0</v>
      </c>
      <c r="J28" s="8">
        <f t="shared" si="11"/>
        <v>0</v>
      </c>
      <c r="K28" s="8">
        <f t="shared" ref="K28" si="12">C28-J28</f>
        <v>0</v>
      </c>
      <c r="L28" s="8">
        <f t="shared" ref="L28" si="13">C28-((J28/2)*26.0714285714285)</f>
        <v>0</v>
      </c>
      <c r="M28" s="69"/>
    </row>
    <row r="29" spans="1:13" ht="24.75" customHeight="1" thickBot="1" x14ac:dyDescent="0.3">
      <c r="A29" s="116" t="s">
        <v>15</v>
      </c>
      <c r="B29" s="117"/>
      <c r="C29" s="31">
        <f t="shared" ref="C29:L29" si="14">SUM(C27:C28)</f>
        <v>25000</v>
      </c>
      <c r="D29" s="31">
        <f t="shared" si="14"/>
        <v>660</v>
      </c>
      <c r="E29" s="31">
        <f t="shared" si="14"/>
        <v>7.92</v>
      </c>
      <c r="F29" s="31">
        <f t="shared" si="14"/>
        <v>487.5</v>
      </c>
      <c r="G29" s="31">
        <f t="shared" si="14"/>
        <v>36.56</v>
      </c>
      <c r="H29" s="31">
        <f t="shared" si="14"/>
        <v>8507.25</v>
      </c>
      <c r="I29" s="31">
        <f t="shared" si="14"/>
        <v>329.92</v>
      </c>
      <c r="J29" s="31">
        <f t="shared" si="14"/>
        <v>8837.17</v>
      </c>
      <c r="K29" s="31">
        <f t="shared" si="14"/>
        <v>16162.83</v>
      </c>
      <c r="L29" s="31">
        <f t="shared" si="14"/>
        <v>-599.73849206342129</v>
      </c>
    </row>
    <row r="30" spans="1:13" ht="11.25" customHeight="1" x14ac:dyDescent="0.25">
      <c r="A30" s="30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11.25" customHeight="1" thickBot="1" x14ac:dyDescent="0.3">
      <c r="A31" s="27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3" ht="21.6" customHeight="1" x14ac:dyDescent="0.25">
      <c r="A32" s="118" t="s">
        <v>14</v>
      </c>
      <c r="B32" s="118"/>
      <c r="C32" s="24">
        <f t="shared" ref="C32:L32" si="15">C18+C24+C29</f>
        <v>326579.43</v>
      </c>
      <c r="D32" s="24">
        <f t="shared" si="15"/>
        <v>8981.9500000000007</v>
      </c>
      <c r="E32" s="24">
        <f t="shared" si="15"/>
        <v>107.71000000000001</v>
      </c>
      <c r="F32" s="24">
        <f t="shared" si="15"/>
        <v>2256.27</v>
      </c>
      <c r="G32" s="24">
        <f t="shared" si="15"/>
        <v>169.21</v>
      </c>
      <c r="H32" s="24">
        <f t="shared" si="15"/>
        <v>87269.969999999987</v>
      </c>
      <c r="I32" s="24">
        <f t="shared" si="15"/>
        <v>2556.29</v>
      </c>
      <c r="J32" s="24">
        <f t="shared" si="15"/>
        <v>90422.02</v>
      </c>
      <c r="K32" s="24">
        <f t="shared" si="15"/>
        <v>246957.41000000003</v>
      </c>
      <c r="L32" s="24">
        <f t="shared" si="15"/>
        <v>75442.626031746768</v>
      </c>
    </row>
    <row r="33" spans="1:13" ht="10.9" customHeight="1" x14ac:dyDescent="0.25">
      <c r="A33" s="1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1.25" customHeight="1" x14ac:dyDescent="0.2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3" s="59" customFormat="1" ht="11.25" customHeight="1" x14ac:dyDescent="0.25">
      <c r="A35" s="20" t="s">
        <v>65</v>
      </c>
      <c r="B35" s="21" t="s">
        <v>44</v>
      </c>
      <c r="C35" s="8">
        <v>3194.08</v>
      </c>
      <c r="D35" s="9">
        <v>0</v>
      </c>
      <c r="E35" s="9">
        <v>0</v>
      </c>
      <c r="F35" s="9">
        <v>0</v>
      </c>
      <c r="G35" s="9">
        <v>0</v>
      </c>
      <c r="H35" s="8">
        <f>D35+F35+'10-14-21'!H35</f>
        <v>800.94</v>
      </c>
      <c r="I35" s="8">
        <f>E35+G35+'10-14-21'!I35</f>
        <v>62.363599999999991</v>
      </c>
      <c r="J35" s="8">
        <f>H35+I35</f>
        <v>863.30360000000007</v>
      </c>
      <c r="K35" s="8">
        <f>C35-J35</f>
        <v>2330.7763999999997</v>
      </c>
      <c r="L35" s="8">
        <f t="shared" ref="L35:L58" si="16">C35-((J35/9)*26.0714285714285)</f>
        <v>693.24020634921317</v>
      </c>
      <c r="M35" s="76"/>
    </row>
    <row r="36" spans="1:13" s="59" customFormat="1" ht="11.25" customHeight="1" x14ac:dyDescent="0.25">
      <c r="A36" s="20" t="s">
        <v>117</v>
      </c>
      <c r="B36" s="21" t="s">
        <v>12</v>
      </c>
      <c r="C36" s="110">
        <v>900</v>
      </c>
      <c r="D36" s="8">
        <v>0</v>
      </c>
      <c r="E36" s="8">
        <v>0</v>
      </c>
      <c r="F36" s="8">
        <v>210</v>
      </c>
      <c r="G36" s="8">
        <v>15.75</v>
      </c>
      <c r="H36" s="8">
        <f>D36+F36+'10-14-21'!H36</f>
        <v>330</v>
      </c>
      <c r="I36" s="8">
        <f>E36+G36+'10-14-21'!I36</f>
        <v>24.75</v>
      </c>
      <c r="J36" s="8">
        <f t="shared" ref="J36:J58" si="17">H36+I36</f>
        <v>354.75</v>
      </c>
      <c r="K36" s="8">
        <f t="shared" ref="K36:K58" si="18">C36-J36</f>
        <v>545.25</v>
      </c>
      <c r="L36" s="8">
        <f t="shared" si="16"/>
        <v>-127.64880952380668</v>
      </c>
      <c r="M36" s="70"/>
    </row>
    <row r="37" spans="1:13" s="59" customFormat="1" ht="11.25" customHeight="1" x14ac:dyDescent="0.25">
      <c r="A37" s="20" t="s">
        <v>114</v>
      </c>
      <c r="B37" s="21" t="s">
        <v>12</v>
      </c>
      <c r="C37" s="110">
        <v>12000</v>
      </c>
      <c r="D37" s="8">
        <v>198</v>
      </c>
      <c r="E37" s="8">
        <v>2.37</v>
      </c>
      <c r="F37" s="8">
        <v>0</v>
      </c>
      <c r="G37" s="8">
        <v>0</v>
      </c>
      <c r="H37" s="8">
        <f>D37+F37+'10-14-21'!H37</f>
        <v>1797</v>
      </c>
      <c r="I37" s="8">
        <f>E37+G37+'10-14-21'!I37</f>
        <v>21.55</v>
      </c>
      <c r="J37" s="8">
        <f t="shared" si="17"/>
        <v>1818.55</v>
      </c>
      <c r="K37" s="8">
        <f t="shared" si="18"/>
        <v>10181.450000000001</v>
      </c>
      <c r="L37" s="8">
        <f t="shared" si="16"/>
        <v>6731.9781746031895</v>
      </c>
      <c r="M37" s="70"/>
    </row>
    <row r="38" spans="1:13" s="60" customFormat="1" ht="11.25" hidden="1" customHeight="1" x14ac:dyDescent="0.25">
      <c r="A38" s="20" t="s">
        <v>11</v>
      </c>
      <c r="B38" s="21" t="s">
        <v>10</v>
      </c>
      <c r="C38" s="8">
        <v>0</v>
      </c>
      <c r="D38" s="32"/>
      <c r="E38" s="32"/>
      <c r="F38" s="32"/>
      <c r="G38" s="32"/>
      <c r="H38" s="8">
        <f>D38+F38+'10-14-21'!H38</f>
        <v>0</v>
      </c>
      <c r="I38" s="8">
        <f>E38+G38+'10-14-21'!I38</f>
        <v>0</v>
      </c>
      <c r="J38" s="8">
        <f t="shared" si="17"/>
        <v>0</v>
      </c>
      <c r="K38" s="8">
        <f t="shared" si="18"/>
        <v>0</v>
      </c>
      <c r="L38" s="8">
        <f t="shared" si="16"/>
        <v>0</v>
      </c>
      <c r="M38" s="72"/>
    </row>
    <row r="39" spans="1:13" s="60" customFormat="1" ht="11.25" hidden="1" customHeight="1" x14ac:dyDescent="0.25">
      <c r="A39" s="86" t="s">
        <v>71</v>
      </c>
      <c r="B39" s="77" t="s">
        <v>9</v>
      </c>
      <c r="C39" s="82"/>
      <c r="D39" s="8"/>
      <c r="E39" s="8"/>
      <c r="F39" s="8"/>
      <c r="G39" s="8"/>
      <c r="H39" s="8">
        <f>D39+F39+'10-14-21'!H39</f>
        <v>36.659999999999997</v>
      </c>
      <c r="I39" s="8">
        <f>E39+G39+'10-14-21'!I39</f>
        <v>0.43899359999999998</v>
      </c>
      <c r="J39" s="9">
        <f t="shared" si="17"/>
        <v>37.0989936</v>
      </c>
      <c r="K39" s="100">
        <f t="shared" si="18"/>
        <v>-37.0989936</v>
      </c>
      <c r="L39" s="8">
        <f t="shared" si="16"/>
        <v>-107.46930685714257</v>
      </c>
      <c r="M39" s="68"/>
    </row>
    <row r="40" spans="1:13" s="60" customFormat="1" ht="11.25" customHeight="1" x14ac:dyDescent="0.25">
      <c r="A40" s="18" t="s">
        <v>62</v>
      </c>
      <c r="B40" s="61" t="s">
        <v>54</v>
      </c>
      <c r="C40" s="8">
        <v>356.53</v>
      </c>
      <c r="D40" s="32">
        <v>0</v>
      </c>
      <c r="E40" s="32">
        <v>0</v>
      </c>
      <c r="F40" s="32">
        <v>0</v>
      </c>
      <c r="G40" s="32">
        <v>0</v>
      </c>
      <c r="H40" s="8">
        <f>D40+F40+'10-14-21'!H40</f>
        <v>0</v>
      </c>
      <c r="I40" s="8">
        <f>E40+G40+'10-14-21'!I40</f>
        <v>0</v>
      </c>
      <c r="J40" s="8">
        <f t="shared" si="17"/>
        <v>0</v>
      </c>
      <c r="K40" s="8">
        <f t="shared" si="18"/>
        <v>356.53</v>
      </c>
      <c r="L40" s="8">
        <f t="shared" si="16"/>
        <v>356.53</v>
      </c>
      <c r="M40" s="75"/>
    </row>
    <row r="41" spans="1:13" s="60" customFormat="1" ht="11.45" customHeight="1" x14ac:dyDescent="0.25">
      <c r="A41" s="18" t="s">
        <v>58</v>
      </c>
      <c r="B41" s="61" t="s">
        <v>57</v>
      </c>
      <c r="C41" s="8">
        <v>554.22</v>
      </c>
      <c r="D41" s="32">
        <v>0</v>
      </c>
      <c r="E41" s="32">
        <v>0</v>
      </c>
      <c r="F41" s="32">
        <v>0</v>
      </c>
      <c r="G41" s="32">
        <v>0</v>
      </c>
      <c r="H41" s="8">
        <f>D41+F41+'10-14-21'!H41</f>
        <v>0</v>
      </c>
      <c r="I41" s="8">
        <f>E41+G41+'10-14-21'!I41</f>
        <v>0</v>
      </c>
      <c r="J41" s="8">
        <f t="shared" si="17"/>
        <v>0</v>
      </c>
      <c r="K41" s="8">
        <f>C41-J41</f>
        <v>554.22</v>
      </c>
      <c r="L41" s="8">
        <f t="shared" si="16"/>
        <v>554.22</v>
      </c>
      <c r="M41" s="72"/>
    </row>
    <row r="42" spans="1:13" s="54" customFormat="1" ht="11.45" customHeight="1" x14ac:dyDescent="0.2">
      <c r="A42" s="18" t="s">
        <v>48</v>
      </c>
      <c r="B42" s="61" t="s">
        <v>49</v>
      </c>
      <c r="C42" s="8">
        <v>6710</v>
      </c>
      <c r="D42" s="32">
        <v>0</v>
      </c>
      <c r="E42" s="32">
        <v>0</v>
      </c>
      <c r="F42" s="32">
        <v>0</v>
      </c>
      <c r="G42" s="32">
        <v>0</v>
      </c>
      <c r="H42" s="8">
        <f>D42+F42+'10-14-21'!H42</f>
        <v>582.25</v>
      </c>
      <c r="I42" s="8">
        <f>E42+G42+'10-14-21'!I42</f>
        <v>6.97</v>
      </c>
      <c r="J42" s="8">
        <f t="shared" si="17"/>
        <v>589.22</v>
      </c>
      <c r="K42" s="8">
        <f>C42-J42</f>
        <v>6120.78</v>
      </c>
      <c r="L42" s="8">
        <f t="shared" si="16"/>
        <v>5003.1325396825441</v>
      </c>
      <c r="M42" s="88"/>
    </row>
    <row r="43" spans="1:13" s="60" customFormat="1" ht="11.25" hidden="1" customHeight="1" x14ac:dyDescent="0.2">
      <c r="A43" s="18" t="s">
        <v>81</v>
      </c>
      <c r="B43" s="105" t="s">
        <v>82</v>
      </c>
      <c r="C43" s="8">
        <f>2880+271.57</f>
        <v>3151.57</v>
      </c>
      <c r="D43" s="32"/>
      <c r="E43" s="32"/>
      <c r="F43" s="32"/>
      <c r="G43" s="32"/>
      <c r="H43" s="8">
        <f>D43+F43+'10-14-21'!H43</f>
        <v>3121.7</v>
      </c>
      <c r="I43" s="8">
        <f>E43+G43+'10-14-21'!I43</f>
        <v>29.869999999999997</v>
      </c>
      <c r="J43" s="9">
        <f t="shared" si="17"/>
        <v>3151.5699999999997</v>
      </c>
      <c r="K43" s="92">
        <f t="shared" ref="K43:K45" si="19">C43-J43</f>
        <v>0</v>
      </c>
      <c r="L43" s="8">
        <f t="shared" si="16"/>
        <v>-5977.97801587299</v>
      </c>
      <c r="M43" s="88"/>
    </row>
    <row r="44" spans="1:13" s="60" customFormat="1" ht="11.25" customHeight="1" x14ac:dyDescent="0.2">
      <c r="A44" s="18" t="s">
        <v>89</v>
      </c>
      <c r="B44" s="105">
        <v>55110100</v>
      </c>
      <c r="C44" s="8">
        <v>1332</v>
      </c>
      <c r="D44" s="32">
        <v>0</v>
      </c>
      <c r="E44" s="32">
        <v>0</v>
      </c>
      <c r="F44" s="32">
        <v>0</v>
      </c>
      <c r="G44" s="32">
        <v>0</v>
      </c>
      <c r="H44" s="8">
        <f>D44+F44+'10-14-21'!H44</f>
        <v>0</v>
      </c>
      <c r="I44" s="8">
        <f>E44+G44+'10-14-21'!I44</f>
        <v>0</v>
      </c>
      <c r="J44" s="9">
        <f t="shared" si="17"/>
        <v>0</v>
      </c>
      <c r="K44" s="92">
        <f t="shared" si="19"/>
        <v>1332</v>
      </c>
      <c r="L44" s="8">
        <f t="shared" si="16"/>
        <v>1332</v>
      </c>
      <c r="M44" s="88"/>
    </row>
    <row r="45" spans="1:13" s="60" customFormat="1" ht="11.25" customHeight="1" x14ac:dyDescent="0.2">
      <c r="A45" s="18" t="s">
        <v>108</v>
      </c>
      <c r="B45" s="61" t="s">
        <v>109</v>
      </c>
      <c r="C45" s="8">
        <v>5000</v>
      </c>
      <c r="D45" s="33">
        <v>178.56</v>
      </c>
      <c r="E45" s="33">
        <v>2.14</v>
      </c>
      <c r="F45" s="33">
        <v>0</v>
      </c>
      <c r="G45" s="33">
        <v>0</v>
      </c>
      <c r="H45" s="8">
        <f>D45+F45+'10-14-21'!H45</f>
        <v>558</v>
      </c>
      <c r="I45" s="8">
        <f>E45+G45+'10-14-21'!I45</f>
        <v>6.67</v>
      </c>
      <c r="J45" s="8">
        <f t="shared" si="17"/>
        <v>564.66999999999996</v>
      </c>
      <c r="K45" s="92">
        <f t="shared" si="19"/>
        <v>4435.33</v>
      </c>
      <c r="L45" s="8">
        <f t="shared" si="16"/>
        <v>3364.2496031746077</v>
      </c>
      <c r="M45" s="88"/>
    </row>
    <row r="46" spans="1:13" s="54" customFormat="1" ht="11.45" customHeight="1" x14ac:dyDescent="0.25">
      <c r="A46" s="18" t="s">
        <v>93</v>
      </c>
      <c r="B46" s="61" t="s">
        <v>47</v>
      </c>
      <c r="C46" s="8">
        <f>1734.35+7700-7700</f>
        <v>1734.3500000000004</v>
      </c>
      <c r="D46" s="32">
        <v>96</v>
      </c>
      <c r="E46" s="32">
        <v>1.1499999999999999</v>
      </c>
      <c r="F46" s="32">
        <v>558</v>
      </c>
      <c r="G46" s="32">
        <v>41.85</v>
      </c>
      <c r="H46" s="8">
        <f>D46+F46+'10-14-21'!H46</f>
        <v>1824</v>
      </c>
      <c r="I46" s="8">
        <f>E46+G46+'10-14-21'!I46</f>
        <v>92.19</v>
      </c>
      <c r="J46" s="8">
        <f t="shared" si="17"/>
        <v>1916.19</v>
      </c>
      <c r="K46" s="85">
        <f>C46-J46</f>
        <v>-181.83999999999969</v>
      </c>
      <c r="L46" s="8">
        <f t="shared" si="16"/>
        <v>-3816.5178571428414</v>
      </c>
      <c r="M46" s="68"/>
    </row>
    <row r="47" spans="1:13" s="54" customFormat="1" ht="11.45" hidden="1" customHeight="1" x14ac:dyDescent="0.25">
      <c r="A47" s="18" t="s">
        <v>55</v>
      </c>
      <c r="B47" s="61" t="s">
        <v>56</v>
      </c>
      <c r="C47" s="8">
        <v>1481.58</v>
      </c>
      <c r="D47" s="33"/>
      <c r="E47" s="33"/>
      <c r="F47" s="33"/>
      <c r="G47" s="33"/>
      <c r="H47" s="8">
        <f>D47+F47+'10-14-21'!H47</f>
        <v>0</v>
      </c>
      <c r="I47" s="8">
        <f>E47+G47+'10-14-21'!I47</f>
        <v>0</v>
      </c>
      <c r="J47" s="8">
        <f t="shared" si="17"/>
        <v>0</v>
      </c>
      <c r="K47" s="8">
        <f t="shared" ref="K47" si="20">C47-J47</f>
        <v>1481.58</v>
      </c>
      <c r="L47" s="8">
        <f t="shared" si="16"/>
        <v>1481.58</v>
      </c>
      <c r="M47" s="68"/>
    </row>
    <row r="48" spans="1:13" s="54" customFormat="1" ht="11.45" customHeight="1" x14ac:dyDescent="0.25">
      <c r="A48" s="18" t="s">
        <v>94</v>
      </c>
      <c r="B48" s="61" t="s">
        <v>95</v>
      </c>
      <c r="C48" s="8">
        <v>7700</v>
      </c>
      <c r="D48" s="33">
        <v>883.5</v>
      </c>
      <c r="E48" s="33">
        <v>10.6</v>
      </c>
      <c r="F48" s="33">
        <v>0</v>
      </c>
      <c r="G48" s="33">
        <v>0</v>
      </c>
      <c r="H48" s="8">
        <f>D48+F48+'10-14-21'!H48</f>
        <v>3534</v>
      </c>
      <c r="I48" s="8">
        <f>E48+G48+'10-14-21'!I48</f>
        <v>42.39</v>
      </c>
      <c r="J48" s="8">
        <f t="shared" si="17"/>
        <v>3576.39</v>
      </c>
      <c r="K48" s="8">
        <f>C48-J48</f>
        <v>4123.6100000000006</v>
      </c>
      <c r="L48" s="8">
        <f t="shared" si="16"/>
        <v>-2660.1773809523511</v>
      </c>
      <c r="M48" s="68"/>
    </row>
    <row r="49" spans="1:13" s="54" customFormat="1" ht="11.45" customHeight="1" x14ac:dyDescent="0.2">
      <c r="A49" s="18" t="s">
        <v>6</v>
      </c>
      <c r="B49" s="61" t="s">
        <v>5</v>
      </c>
      <c r="C49" s="8">
        <v>4270.8500000000004</v>
      </c>
      <c r="D49" s="32">
        <v>0</v>
      </c>
      <c r="E49" s="32">
        <v>0</v>
      </c>
      <c r="F49" s="32">
        <v>0</v>
      </c>
      <c r="G49" s="32">
        <v>0</v>
      </c>
      <c r="H49" s="8">
        <f>D49+F49+'10-14-21'!H49</f>
        <v>1754.38</v>
      </c>
      <c r="I49" s="8">
        <f>E49+G49+'10-14-21'!I49</f>
        <v>131.57</v>
      </c>
      <c r="J49" s="8">
        <f t="shared" si="17"/>
        <v>1885.95</v>
      </c>
      <c r="K49" s="8">
        <f>C49-J49</f>
        <v>2384.9000000000005</v>
      </c>
      <c r="L49" s="8">
        <f t="shared" si="16"/>
        <v>-1192.417857142842</v>
      </c>
      <c r="M49" s="88"/>
    </row>
    <row r="50" spans="1:13" s="54" customFormat="1" ht="11.45" hidden="1" customHeight="1" x14ac:dyDescent="0.25">
      <c r="A50" s="18" t="s">
        <v>8</v>
      </c>
      <c r="B50" s="61" t="s">
        <v>7</v>
      </c>
      <c r="C50" s="8">
        <v>0</v>
      </c>
      <c r="D50" s="33"/>
      <c r="E50" s="33"/>
      <c r="F50" s="33"/>
      <c r="G50" s="33"/>
      <c r="H50" s="8">
        <f>D50+F50+'10-14-21'!H50</f>
        <v>0</v>
      </c>
      <c r="I50" s="8">
        <f>E50+G50+'10-14-21'!I50</f>
        <v>0</v>
      </c>
      <c r="J50" s="8">
        <f t="shared" si="17"/>
        <v>0</v>
      </c>
      <c r="K50" s="8">
        <f t="shared" si="18"/>
        <v>0</v>
      </c>
      <c r="L50" s="8">
        <f t="shared" si="16"/>
        <v>0</v>
      </c>
      <c r="M50" s="68"/>
    </row>
    <row r="51" spans="1:13" s="54" customFormat="1" ht="11.45" hidden="1" customHeight="1" x14ac:dyDescent="0.25">
      <c r="A51" s="18" t="s">
        <v>50</v>
      </c>
      <c r="B51" s="61" t="s">
        <v>53</v>
      </c>
      <c r="C51" s="8">
        <v>202.01</v>
      </c>
      <c r="D51" s="33"/>
      <c r="E51" s="33"/>
      <c r="F51" s="33"/>
      <c r="G51" s="33"/>
      <c r="H51" s="8">
        <f>D51+F51+'10-14-21'!H51</f>
        <v>0</v>
      </c>
      <c r="I51" s="8">
        <f>E51+G51+'10-14-21'!I51</f>
        <v>0</v>
      </c>
      <c r="J51" s="8">
        <f t="shared" si="17"/>
        <v>0</v>
      </c>
      <c r="K51" s="8">
        <f t="shared" si="18"/>
        <v>202.01</v>
      </c>
      <c r="L51" s="8">
        <f t="shared" si="16"/>
        <v>202.01</v>
      </c>
      <c r="M51" s="68"/>
    </row>
    <row r="52" spans="1:13" s="54" customFormat="1" ht="11.45" hidden="1" customHeight="1" x14ac:dyDescent="0.25">
      <c r="A52" s="18" t="s">
        <v>51</v>
      </c>
      <c r="B52" s="61" t="s">
        <v>52</v>
      </c>
      <c r="C52" s="8"/>
      <c r="D52" s="33"/>
      <c r="E52" s="33"/>
      <c r="F52" s="33"/>
      <c r="G52" s="33"/>
      <c r="H52" s="8">
        <f>D52+F52+'10-14-21'!H52</f>
        <v>0</v>
      </c>
      <c r="I52" s="8">
        <f>E52+G52+'10-14-21'!I52</f>
        <v>0</v>
      </c>
      <c r="J52" s="8">
        <f t="shared" si="17"/>
        <v>0</v>
      </c>
      <c r="K52" s="8">
        <f t="shared" si="18"/>
        <v>0</v>
      </c>
      <c r="L52" s="8">
        <f t="shared" si="16"/>
        <v>0</v>
      </c>
      <c r="M52" s="68"/>
    </row>
    <row r="53" spans="1:13" s="63" customFormat="1" ht="11.25" hidden="1" customHeight="1" x14ac:dyDescent="0.25">
      <c r="A53" s="18" t="s">
        <v>45</v>
      </c>
      <c r="B53" s="61" t="s">
        <v>46</v>
      </c>
      <c r="C53" s="62">
        <v>3655.06</v>
      </c>
      <c r="D53" s="33"/>
      <c r="E53" s="33"/>
      <c r="F53" s="33"/>
      <c r="G53" s="33"/>
      <c r="H53" s="8">
        <f>D53+F53+'10-14-21'!H53</f>
        <v>0</v>
      </c>
      <c r="I53" s="8">
        <f>E53+G53+'10-14-21'!I53</f>
        <v>0</v>
      </c>
      <c r="J53" s="8">
        <f t="shared" si="17"/>
        <v>0</v>
      </c>
      <c r="K53" s="8">
        <f t="shared" si="18"/>
        <v>3655.06</v>
      </c>
      <c r="L53" s="8">
        <f t="shared" si="16"/>
        <v>3655.06</v>
      </c>
      <c r="M53" s="67"/>
    </row>
    <row r="54" spans="1:13" s="63" customFormat="1" ht="11.25" hidden="1" customHeight="1" x14ac:dyDescent="0.25">
      <c r="A54" s="18" t="s">
        <v>61</v>
      </c>
      <c r="B54" s="61" t="s">
        <v>60</v>
      </c>
      <c r="C54" s="62">
        <v>0</v>
      </c>
      <c r="D54" s="33"/>
      <c r="E54" s="33"/>
      <c r="F54" s="33"/>
      <c r="G54" s="33"/>
      <c r="H54" s="8">
        <f>D54+F54+'10-14-21'!H54</f>
        <v>0</v>
      </c>
      <c r="I54" s="8">
        <f>E54+G54+'10-14-21'!I54</f>
        <v>0</v>
      </c>
      <c r="J54" s="8">
        <f t="shared" si="17"/>
        <v>0</v>
      </c>
      <c r="K54" s="8">
        <f t="shared" si="18"/>
        <v>0</v>
      </c>
      <c r="L54" s="8">
        <f t="shared" si="16"/>
        <v>0</v>
      </c>
      <c r="M54" s="68"/>
    </row>
    <row r="55" spans="1:13" s="63" customFormat="1" ht="11.25" hidden="1" customHeight="1" x14ac:dyDescent="0.25">
      <c r="A55" s="18" t="s">
        <v>67</v>
      </c>
      <c r="B55" s="61" t="s">
        <v>66</v>
      </c>
      <c r="C55" s="62">
        <v>3313.36</v>
      </c>
      <c r="D55" s="62"/>
      <c r="E55" s="62"/>
      <c r="F55" s="62"/>
      <c r="G55" s="62"/>
      <c r="H55" s="8">
        <f>D55+F55+'10-14-21'!H55</f>
        <v>0</v>
      </c>
      <c r="I55" s="8">
        <f>E55+G55+'10-14-21'!I55</f>
        <v>0</v>
      </c>
      <c r="J55" s="8">
        <f t="shared" si="17"/>
        <v>0</v>
      </c>
      <c r="K55" s="8">
        <f t="shared" si="18"/>
        <v>3313.36</v>
      </c>
      <c r="L55" s="8">
        <f t="shared" si="16"/>
        <v>3313.36</v>
      </c>
      <c r="M55" s="68"/>
    </row>
    <row r="56" spans="1:13" s="63" customFormat="1" ht="11.25" customHeight="1" x14ac:dyDescent="0.25">
      <c r="A56" s="18" t="s">
        <v>68</v>
      </c>
      <c r="B56" s="61" t="s">
        <v>69</v>
      </c>
      <c r="C56" s="62">
        <v>4193.1400000000003</v>
      </c>
      <c r="D56" s="32">
        <v>0</v>
      </c>
      <c r="E56" s="32">
        <v>0</v>
      </c>
      <c r="F56" s="32">
        <v>0</v>
      </c>
      <c r="G56" s="32">
        <v>0</v>
      </c>
      <c r="H56" s="8">
        <f>D56+F56+'10-14-21'!H56</f>
        <v>2.4</v>
      </c>
      <c r="I56" s="8">
        <f>E56+G56+'10-14-21'!I56</f>
        <v>0.02</v>
      </c>
      <c r="J56" s="8">
        <f t="shared" si="17"/>
        <v>2.42</v>
      </c>
      <c r="K56" s="8">
        <f t="shared" si="18"/>
        <v>4190.72</v>
      </c>
      <c r="L56" s="8">
        <f t="shared" si="16"/>
        <v>4186.129682539683</v>
      </c>
      <c r="M56" s="68"/>
    </row>
    <row r="57" spans="1:13" s="63" customFormat="1" ht="11.25" customHeight="1" x14ac:dyDescent="0.2">
      <c r="A57" s="18" t="s">
        <v>73</v>
      </c>
      <c r="B57" s="61" t="s">
        <v>72</v>
      </c>
      <c r="C57" s="62">
        <v>4193.1400000000003</v>
      </c>
      <c r="D57" s="32">
        <v>0</v>
      </c>
      <c r="E57" s="32">
        <v>0</v>
      </c>
      <c r="F57" s="32">
        <v>0</v>
      </c>
      <c r="G57" s="32">
        <v>0</v>
      </c>
      <c r="H57" s="8">
        <f>D57+F57+'10-14-21'!H57</f>
        <v>2754</v>
      </c>
      <c r="I57" s="8">
        <f>E57+G57+'10-14-21'!I57</f>
        <v>114.28999999999999</v>
      </c>
      <c r="J57" s="8">
        <f t="shared" si="17"/>
        <v>2868.29</v>
      </c>
      <c r="K57" s="8">
        <f t="shared" si="18"/>
        <v>1324.8500000000004</v>
      </c>
      <c r="L57" s="8">
        <f t="shared" si="16"/>
        <v>-4115.7953174602926</v>
      </c>
      <c r="M57" s="88"/>
    </row>
    <row r="58" spans="1:13" s="63" customFormat="1" ht="11.25" customHeight="1" x14ac:dyDescent="0.2">
      <c r="A58" s="18" t="s">
        <v>106</v>
      </c>
      <c r="B58" s="61" t="s">
        <v>107</v>
      </c>
      <c r="C58" s="62">
        <v>2600</v>
      </c>
      <c r="D58" s="62">
        <v>307.83999999999997</v>
      </c>
      <c r="E58" s="62">
        <v>3.69</v>
      </c>
      <c r="F58" s="62">
        <v>0</v>
      </c>
      <c r="G58" s="62">
        <v>0</v>
      </c>
      <c r="H58" s="8">
        <f>D58+F58+'10-14-21'!H58</f>
        <v>1318.9799999999998</v>
      </c>
      <c r="I58" s="8">
        <f>E58+G58+'10-14-21'!I58</f>
        <v>15.799999999999999</v>
      </c>
      <c r="J58" s="8">
        <f t="shared" si="17"/>
        <v>1334.7799999999997</v>
      </c>
      <c r="K58" s="8">
        <f t="shared" si="18"/>
        <v>1265.2200000000003</v>
      </c>
      <c r="L58" s="8">
        <f t="shared" si="16"/>
        <v>-1266.6246031745918</v>
      </c>
      <c r="M58" s="88"/>
    </row>
    <row r="59" spans="1:13" ht="21.6" customHeight="1" x14ac:dyDescent="0.25">
      <c r="A59" s="119" t="s">
        <v>88</v>
      </c>
      <c r="B59" s="120"/>
      <c r="C59" s="7">
        <f>SUM(C35:C53)</f>
        <v>52242.25</v>
      </c>
      <c r="D59" s="7"/>
      <c r="E59" s="7"/>
      <c r="F59" s="7"/>
      <c r="G59" s="7"/>
      <c r="H59" s="7">
        <f>SUM(H35:H54)</f>
        <v>14338.93</v>
      </c>
      <c r="I59" s="7">
        <f>SUM(I35:I54)</f>
        <v>418.76259359999995</v>
      </c>
      <c r="J59" s="7">
        <f>SUM(J35:J54)</f>
        <v>14757.692593600001</v>
      </c>
      <c r="K59" s="7">
        <f>SUM(K35:K54)</f>
        <v>37484.557406399996</v>
      </c>
      <c r="L59" s="7">
        <f>SUM(L35:L54)</f>
        <v>9491.7912963175804</v>
      </c>
      <c r="M59" s="78"/>
    </row>
    <row r="60" spans="1:13" ht="10.9" customHeight="1" x14ac:dyDescent="0.25">
      <c r="A60" s="1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8"/>
    </row>
    <row r="61" spans="1:13" ht="10.9" customHeight="1" x14ac:dyDescent="0.25">
      <c r="A61" s="13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53" customFormat="1" ht="10.9" customHeight="1" x14ac:dyDescent="0.25">
      <c r="A62" s="17" t="s">
        <v>4</v>
      </c>
      <c r="B62" s="21" t="s">
        <v>3</v>
      </c>
      <c r="C62" s="8">
        <v>62583</v>
      </c>
      <c r="D62" s="9">
        <v>1417</v>
      </c>
      <c r="E62" s="9">
        <v>17</v>
      </c>
      <c r="F62" s="9">
        <v>0</v>
      </c>
      <c r="G62" s="9">
        <v>0</v>
      </c>
      <c r="H62" s="8">
        <f>D62+F62+'10-14-21'!H62</f>
        <v>9657.9</v>
      </c>
      <c r="I62" s="8">
        <f>E62+G62+'10-14-21'!I62</f>
        <v>184.98000000000002</v>
      </c>
      <c r="J62" s="8">
        <f t="shared" ref="J62:J63" si="21">H62+I62</f>
        <v>9842.8799999999992</v>
      </c>
      <c r="K62" s="8">
        <f>C62-J62</f>
        <v>52740.12</v>
      </c>
      <c r="L62" s="8">
        <f t="shared" ref="L62:L63" si="22">C62-((J62/9)*26.0714285714285)</f>
        <v>34069.895238095327</v>
      </c>
      <c r="M62" s="67"/>
    </row>
    <row r="63" spans="1:13" s="53" customFormat="1" ht="10.9" customHeight="1" x14ac:dyDescent="0.25">
      <c r="A63" s="17" t="s">
        <v>64</v>
      </c>
      <c r="B63" s="21" t="s">
        <v>63</v>
      </c>
      <c r="C63" s="8">
        <v>0</v>
      </c>
      <c r="D63" s="32">
        <v>0</v>
      </c>
      <c r="E63" s="32">
        <v>0</v>
      </c>
      <c r="F63" s="32">
        <v>0</v>
      </c>
      <c r="G63" s="32">
        <v>0</v>
      </c>
      <c r="H63" s="8">
        <f>D63+F63+'10-14-21'!H63</f>
        <v>0</v>
      </c>
      <c r="I63" s="8">
        <f>E63+G63+'10-14-21'!I63</f>
        <v>0</v>
      </c>
      <c r="J63" s="8">
        <f t="shared" si="21"/>
        <v>0</v>
      </c>
      <c r="K63" s="8">
        <f>C63-J63</f>
        <v>0</v>
      </c>
      <c r="L63" s="8">
        <f t="shared" si="22"/>
        <v>0</v>
      </c>
      <c r="M63" s="67"/>
    </row>
    <row r="64" spans="1:13" ht="21.6" customHeight="1" x14ac:dyDescent="0.25">
      <c r="A64" s="16" t="s">
        <v>2</v>
      </c>
      <c r="B64" s="15"/>
      <c r="C64" s="14">
        <f>C62+C63</f>
        <v>62583</v>
      </c>
      <c r="D64" s="14">
        <f t="shared" ref="D64:L64" si="23">D62+D63</f>
        <v>1417</v>
      </c>
      <c r="E64" s="14">
        <f t="shared" si="23"/>
        <v>17</v>
      </c>
      <c r="F64" s="14">
        <f t="shared" si="23"/>
        <v>0</v>
      </c>
      <c r="G64" s="14">
        <f t="shared" si="23"/>
        <v>0</v>
      </c>
      <c r="H64" s="14">
        <f t="shared" si="23"/>
        <v>9657.9</v>
      </c>
      <c r="I64" s="14">
        <f t="shared" si="23"/>
        <v>184.98000000000002</v>
      </c>
      <c r="J64" s="14">
        <f t="shared" si="23"/>
        <v>9842.8799999999992</v>
      </c>
      <c r="K64" s="14">
        <f t="shared" si="23"/>
        <v>52740.12</v>
      </c>
      <c r="L64" s="14">
        <f t="shared" si="23"/>
        <v>34069.895238095327</v>
      </c>
    </row>
    <row r="65" spans="1:19" ht="10.9" customHeight="1" x14ac:dyDescent="0.25">
      <c r="A65" s="13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9" ht="10.9" customHeight="1" x14ac:dyDescent="0.25">
      <c r="A66" s="13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9" s="53" customFormat="1" ht="10.9" customHeight="1" x14ac:dyDescent="0.25">
      <c r="A67" s="17" t="s">
        <v>1</v>
      </c>
      <c r="B67" s="21">
        <v>55180000</v>
      </c>
      <c r="C67" s="8">
        <v>37736</v>
      </c>
      <c r="D67" s="32">
        <v>0</v>
      </c>
      <c r="E67" s="32">
        <v>0</v>
      </c>
      <c r="F67" s="32">
        <v>0</v>
      </c>
      <c r="G67" s="32">
        <v>0</v>
      </c>
      <c r="H67" s="8">
        <f>D67+F67+'10-14-21'!H67</f>
        <v>336.26</v>
      </c>
      <c r="I67" s="8">
        <f>E67+G67+'10-14-21'!I67</f>
        <v>25.21</v>
      </c>
      <c r="J67" s="8">
        <f t="shared" ref="J67" si="24">H67+I67</f>
        <v>361.46999999999997</v>
      </c>
      <c r="K67" s="8">
        <f>C67-J67</f>
        <v>37374.53</v>
      </c>
      <c r="L67" s="8">
        <f>C67-((J67/9)*26.0714285714285)</f>
        <v>36688.884523809524</v>
      </c>
      <c r="M67" s="67"/>
    </row>
    <row r="68" spans="1:19" s="3" customFormat="1" ht="21.6" customHeight="1" x14ac:dyDescent="0.25">
      <c r="A68" s="119" t="s">
        <v>0</v>
      </c>
      <c r="B68" s="120"/>
      <c r="C68" s="7">
        <f t="shared" ref="C68:L68" si="25">SUM(C67)</f>
        <v>37736</v>
      </c>
      <c r="D68" s="7">
        <f t="shared" si="25"/>
        <v>0</v>
      </c>
      <c r="E68" s="7">
        <f t="shared" si="25"/>
        <v>0</v>
      </c>
      <c r="F68" s="7">
        <f t="shared" si="25"/>
        <v>0</v>
      </c>
      <c r="G68" s="7">
        <f t="shared" si="25"/>
        <v>0</v>
      </c>
      <c r="H68" s="7">
        <f t="shared" si="25"/>
        <v>336.26</v>
      </c>
      <c r="I68" s="7">
        <f t="shared" si="25"/>
        <v>25.21</v>
      </c>
      <c r="J68" s="7">
        <f t="shared" si="25"/>
        <v>361.46999999999997</v>
      </c>
      <c r="K68" s="7">
        <f t="shared" si="25"/>
        <v>37374.53</v>
      </c>
      <c r="L68" s="7">
        <f t="shared" si="25"/>
        <v>36688.884523809524</v>
      </c>
      <c r="M68" s="73"/>
    </row>
    <row r="69" spans="1:19" s="3" customFormat="1" ht="11.25" customHeight="1" x14ac:dyDescent="0.25">
      <c r="A69" s="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73"/>
    </row>
    <row r="70" spans="1:19" s="2" customFormat="1" ht="10.5" customHeight="1" x14ac:dyDescent="0.25">
      <c r="A70" s="122" t="s">
        <v>83</v>
      </c>
      <c r="B70" s="122"/>
      <c r="C70" s="122"/>
      <c r="D70" s="122"/>
      <c r="E70" s="122"/>
      <c r="F70" s="122"/>
      <c r="G70" s="89">
        <v>5955</v>
      </c>
      <c r="M70" s="121"/>
      <c r="N70" s="121"/>
      <c r="O70" s="121"/>
      <c r="P70" s="121"/>
      <c r="Q70" s="121"/>
      <c r="R70" s="121"/>
      <c r="S70" s="89"/>
    </row>
    <row r="71" spans="1:19" s="2" customFormat="1" ht="10.5" customHeight="1" x14ac:dyDescent="0.25">
      <c r="A71" s="122" t="s">
        <v>90</v>
      </c>
      <c r="B71" s="122"/>
      <c r="C71" s="122"/>
      <c r="D71" s="122"/>
      <c r="E71" s="122"/>
      <c r="F71" s="122"/>
      <c r="G71" s="89">
        <v>1332</v>
      </c>
      <c r="M71" s="121"/>
      <c r="N71" s="121"/>
      <c r="O71" s="121"/>
      <c r="P71" s="121"/>
      <c r="Q71" s="121"/>
      <c r="R71" s="121"/>
      <c r="S71" s="89"/>
    </row>
    <row r="72" spans="1:19" s="2" customFormat="1" ht="10.5" customHeight="1" x14ac:dyDescent="0.25">
      <c r="A72" s="122" t="s">
        <v>86</v>
      </c>
      <c r="B72" s="122"/>
      <c r="C72" s="122"/>
      <c r="D72" s="122"/>
      <c r="E72" s="122"/>
      <c r="F72" s="122"/>
      <c r="G72" s="89">
        <v>6941</v>
      </c>
      <c r="M72" s="121"/>
      <c r="N72" s="121"/>
      <c r="O72" s="121"/>
      <c r="P72" s="121"/>
      <c r="Q72" s="121"/>
      <c r="R72" s="121"/>
      <c r="S72" s="89"/>
    </row>
    <row r="73" spans="1:19" s="2" customFormat="1" ht="10.5" customHeight="1" x14ac:dyDescent="0.25">
      <c r="A73" s="122" t="s">
        <v>85</v>
      </c>
      <c r="B73" s="122"/>
      <c r="C73" s="122"/>
      <c r="D73" s="122"/>
      <c r="E73" s="122"/>
      <c r="F73" s="122"/>
      <c r="G73" s="89">
        <v>10800</v>
      </c>
      <c r="M73" s="121"/>
      <c r="N73" s="121"/>
      <c r="O73" s="121"/>
      <c r="P73" s="121"/>
      <c r="Q73" s="121"/>
      <c r="R73" s="121"/>
      <c r="S73" s="89"/>
    </row>
    <row r="74" spans="1:19" s="2" customFormat="1" ht="10.5" customHeight="1" x14ac:dyDescent="0.25">
      <c r="A74" s="122" t="s">
        <v>84</v>
      </c>
      <c r="B74" s="122"/>
      <c r="C74" s="122"/>
      <c r="D74" s="122"/>
      <c r="E74" s="122"/>
      <c r="F74" s="122"/>
      <c r="G74" s="89">
        <v>2880</v>
      </c>
      <c r="M74" s="121"/>
      <c r="N74" s="121"/>
      <c r="O74" s="121"/>
      <c r="P74" s="121"/>
      <c r="Q74" s="121"/>
      <c r="R74" s="121"/>
      <c r="S74" s="89"/>
    </row>
    <row r="75" spans="1:19" s="2" customFormat="1" ht="10.5" customHeight="1" x14ac:dyDescent="0.25">
      <c r="A75" s="122" t="s">
        <v>87</v>
      </c>
      <c r="B75" s="122"/>
      <c r="C75" s="122"/>
      <c r="D75" s="122"/>
      <c r="E75" s="122"/>
      <c r="F75" s="122"/>
      <c r="G75" s="89">
        <v>6450</v>
      </c>
      <c r="M75" s="121"/>
      <c r="N75" s="121"/>
      <c r="O75" s="121"/>
      <c r="P75" s="121"/>
      <c r="Q75" s="121"/>
      <c r="R75" s="121"/>
      <c r="S75" s="89"/>
    </row>
    <row r="76" spans="1:19" s="2" customFormat="1" ht="10.5" customHeight="1" x14ac:dyDescent="0.25">
      <c r="A76" s="122" t="s">
        <v>92</v>
      </c>
      <c r="B76" s="122"/>
      <c r="C76" s="122"/>
      <c r="D76" s="122"/>
      <c r="E76" s="122"/>
      <c r="F76" s="122"/>
      <c r="G76" s="89">
        <v>7700</v>
      </c>
      <c r="M76" s="121"/>
      <c r="N76" s="121"/>
      <c r="O76" s="121"/>
      <c r="P76" s="121"/>
      <c r="Q76" s="121"/>
      <c r="R76" s="121"/>
      <c r="S76" s="89"/>
    </row>
    <row r="77" spans="1:19" s="2" customFormat="1" ht="10.5" customHeight="1" x14ac:dyDescent="0.25">
      <c r="A77" s="122" t="s">
        <v>103</v>
      </c>
      <c r="B77" s="122"/>
      <c r="C77" s="122"/>
      <c r="D77" s="122"/>
      <c r="E77" s="122"/>
      <c r="F77" s="122"/>
      <c r="G77" s="89">
        <v>7700</v>
      </c>
      <c r="M77" s="121"/>
      <c r="N77" s="121"/>
      <c r="O77" s="121"/>
      <c r="P77" s="121"/>
      <c r="Q77" s="121"/>
      <c r="R77" s="121"/>
      <c r="S77" s="89"/>
    </row>
    <row r="78" spans="1:19" s="2" customFormat="1" ht="10.5" customHeight="1" x14ac:dyDescent="0.25">
      <c r="A78" s="122" t="s">
        <v>104</v>
      </c>
      <c r="B78" s="122"/>
      <c r="C78" s="122"/>
      <c r="D78" s="122"/>
      <c r="E78" s="122"/>
      <c r="F78" s="122"/>
      <c r="G78" s="89">
        <v>66000</v>
      </c>
      <c r="M78" s="121"/>
      <c r="N78" s="121"/>
      <c r="O78" s="121"/>
      <c r="P78" s="121"/>
      <c r="Q78" s="121"/>
      <c r="R78" s="121"/>
      <c r="S78" s="89"/>
    </row>
    <row r="79" spans="1:19" ht="10.5" customHeight="1" x14ac:dyDescent="0.25">
      <c r="A79" s="122" t="s">
        <v>101</v>
      </c>
      <c r="B79" s="122"/>
      <c r="C79" s="122"/>
      <c r="D79" s="122"/>
      <c r="E79" s="122"/>
      <c r="F79" s="122"/>
      <c r="G79" s="89">
        <v>3194.08</v>
      </c>
      <c r="M79" s="121"/>
      <c r="N79" s="121"/>
      <c r="O79" s="121"/>
      <c r="P79" s="121"/>
      <c r="Q79" s="121"/>
      <c r="R79" s="121"/>
    </row>
    <row r="80" spans="1:19" ht="10.5" customHeight="1" x14ac:dyDescent="0.25">
      <c r="A80" s="122" t="s">
        <v>110</v>
      </c>
      <c r="B80" s="122"/>
      <c r="C80" s="122"/>
      <c r="D80" s="122"/>
      <c r="E80" s="122"/>
      <c r="F80" s="122"/>
      <c r="G80" s="89">
        <v>2600</v>
      </c>
      <c r="M80" s="121"/>
      <c r="N80" s="121"/>
      <c r="O80" s="121"/>
      <c r="P80" s="121"/>
      <c r="Q80" s="121"/>
      <c r="R80" s="121"/>
    </row>
    <row r="81" spans="1:18" ht="10.5" customHeight="1" x14ac:dyDescent="0.25">
      <c r="A81" s="122" t="s">
        <v>111</v>
      </c>
      <c r="B81" s="122"/>
      <c r="C81" s="122"/>
      <c r="D81" s="122"/>
      <c r="E81" s="122"/>
      <c r="F81" s="122"/>
      <c r="G81" s="89">
        <v>5000</v>
      </c>
      <c r="M81" s="121"/>
      <c r="N81" s="121"/>
      <c r="O81" s="121"/>
      <c r="P81" s="121"/>
      <c r="Q81" s="121"/>
      <c r="R81" s="121"/>
    </row>
    <row r="82" spans="1:18" ht="10.5" customHeight="1" x14ac:dyDescent="0.25">
      <c r="A82" s="122" t="s">
        <v>113</v>
      </c>
      <c r="B82" s="122"/>
      <c r="C82" s="122"/>
      <c r="D82" s="122"/>
      <c r="E82" s="122"/>
      <c r="F82" s="122"/>
      <c r="G82" s="89">
        <v>1000</v>
      </c>
      <c r="M82" s="121"/>
      <c r="N82" s="121"/>
      <c r="O82" s="121"/>
      <c r="P82" s="121"/>
      <c r="Q82" s="121"/>
      <c r="R82" s="121"/>
    </row>
    <row r="83" spans="1:18" ht="10.5" customHeight="1" x14ac:dyDescent="0.25">
      <c r="A83" s="122" t="s">
        <v>115</v>
      </c>
      <c r="B83" s="122"/>
      <c r="C83" s="122"/>
      <c r="D83" s="122"/>
      <c r="E83" s="122"/>
      <c r="F83" s="122"/>
      <c r="G83" s="89">
        <v>900</v>
      </c>
      <c r="M83" s="121"/>
      <c r="N83" s="121"/>
      <c r="O83" s="121"/>
      <c r="P83" s="121"/>
      <c r="Q83" s="121"/>
      <c r="R83" s="121"/>
    </row>
    <row r="84" spans="1:18" ht="10.5" customHeight="1" x14ac:dyDescent="0.25">
      <c r="A84" s="122" t="s">
        <v>116</v>
      </c>
      <c r="B84" s="122"/>
      <c r="C84" s="122"/>
      <c r="D84" s="122"/>
      <c r="E84" s="122"/>
      <c r="F84" s="122"/>
      <c r="G84" s="89">
        <v>12000</v>
      </c>
      <c r="M84" s="121"/>
      <c r="N84" s="121"/>
      <c r="O84" s="121"/>
      <c r="P84" s="121"/>
      <c r="Q84" s="121"/>
      <c r="R84" s="121"/>
    </row>
  </sheetData>
  <mergeCells count="36">
    <mergeCell ref="A68:B68"/>
    <mergeCell ref="A18:B18"/>
    <mergeCell ref="A24:B24"/>
    <mergeCell ref="A29:B29"/>
    <mergeCell ref="A32:B32"/>
    <mergeCell ref="A59:B59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1:F81"/>
    <mergeCell ref="M81:R81"/>
    <mergeCell ref="A82:F82"/>
    <mergeCell ref="M82:R82"/>
    <mergeCell ref="A83:F83"/>
    <mergeCell ref="M83:R83"/>
    <mergeCell ref="A84:F84"/>
    <mergeCell ref="M84:R84"/>
  </mergeCells>
  <pageMargins left="0.25" right="0" top="0.4" bottom="0" header="0.3" footer="0"/>
  <pageSetup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07-08-21</vt:lpstr>
      <vt:lpstr>07-22-21</vt:lpstr>
      <vt:lpstr>08-05-21</vt:lpstr>
      <vt:lpstr>08-19-21</vt:lpstr>
      <vt:lpstr>09-02-21</vt:lpstr>
      <vt:lpstr>09-16-21</vt:lpstr>
      <vt:lpstr>09-30-21</vt:lpstr>
      <vt:lpstr>10-14-21</vt:lpstr>
      <vt:lpstr>10-28-21</vt:lpstr>
      <vt:lpstr>11-11-21</vt:lpstr>
      <vt:lpstr>11-25-21</vt:lpstr>
      <vt:lpstr>12-09-21</vt:lpstr>
      <vt:lpstr>12-23-21</vt:lpstr>
      <vt:lpstr>01-06-22</vt:lpstr>
      <vt:lpstr>01-20-22</vt:lpstr>
      <vt:lpstr>02-03-22</vt:lpstr>
      <vt:lpstr>02-17-22</vt:lpstr>
      <vt:lpstr>03-03-22</vt:lpstr>
      <vt:lpstr>03-17-22</vt:lpstr>
      <vt:lpstr>03-31-22</vt:lpstr>
      <vt:lpstr>04-14-22</vt:lpstr>
      <vt:lpstr>04-28-22</vt:lpstr>
      <vt:lpstr>05-12-22</vt:lpstr>
      <vt:lpstr>05-26-22</vt:lpstr>
      <vt:lpstr>06-09-22</vt:lpstr>
      <vt:lpstr>06-23-22</vt:lpstr>
      <vt:lpstr>06-30-22 FINAL</vt:lpstr>
      <vt:lpstr>'01-06-22'!Print_Area</vt:lpstr>
      <vt:lpstr>'01-20-22'!Print_Area</vt:lpstr>
      <vt:lpstr>'02-03-22'!Print_Area</vt:lpstr>
      <vt:lpstr>'02-17-22'!Print_Area</vt:lpstr>
      <vt:lpstr>'03-03-22'!Print_Area</vt:lpstr>
      <vt:lpstr>'03-17-22'!Print_Area</vt:lpstr>
      <vt:lpstr>'03-31-22'!Print_Area</vt:lpstr>
      <vt:lpstr>'04-14-22'!Print_Area</vt:lpstr>
      <vt:lpstr>'04-28-22'!Print_Area</vt:lpstr>
      <vt:lpstr>'05-12-22'!Print_Area</vt:lpstr>
      <vt:lpstr>'05-26-22'!Print_Area</vt:lpstr>
      <vt:lpstr>'06-09-22'!Print_Area</vt:lpstr>
      <vt:lpstr>'06-23-22'!Print_Area</vt:lpstr>
      <vt:lpstr>'06-30-22 FINAL'!Print_Area</vt:lpstr>
      <vt:lpstr>'07-08-21'!Print_Area</vt:lpstr>
      <vt:lpstr>'07-22-21'!Print_Area</vt:lpstr>
      <vt:lpstr>'08-05-21'!Print_Area</vt:lpstr>
      <vt:lpstr>'08-19-21'!Print_Area</vt:lpstr>
      <vt:lpstr>'09-02-21'!Print_Area</vt:lpstr>
      <vt:lpstr>'09-16-21'!Print_Area</vt:lpstr>
      <vt:lpstr>'09-30-21'!Print_Area</vt:lpstr>
      <vt:lpstr>'10-14-21'!Print_Area</vt:lpstr>
      <vt:lpstr>'10-28-21'!Print_Area</vt:lpstr>
      <vt:lpstr>'11-11-21'!Print_Area</vt:lpstr>
      <vt:lpstr>'11-25-21'!Print_Area</vt:lpstr>
      <vt:lpstr>'12-09-21'!Print_Area</vt:lpstr>
      <vt:lpstr>'12-23-21'!Print_Area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Gregory</dc:creator>
  <cp:lastModifiedBy>Krueger, Greg</cp:lastModifiedBy>
  <cp:lastPrinted>2021-07-30T15:07:23Z</cp:lastPrinted>
  <dcterms:created xsi:type="dcterms:W3CDTF">2020-07-20T14:13:52Z</dcterms:created>
  <dcterms:modified xsi:type="dcterms:W3CDTF">2022-07-11T12:47:15Z</dcterms:modified>
</cp:coreProperties>
</file>