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D23DFAF2-91D5-47F3-898D-0A7CA8DB5C00}" xr6:coauthVersionLast="47" xr6:coauthVersionMax="47" xr10:uidLastSave="{00000000-0000-0000-0000-000000000000}"/>
  <bookViews>
    <workbookView xWindow="-120" yWindow="-120" windowWidth="29040" windowHeight="15840" firstSheet="8" activeTab="17" xr2:uid="{00DADDA1-8008-4FC7-9027-F8752579A525}"/>
  </bookViews>
  <sheets>
    <sheet name="07-07-2022" sheetId="1" r:id="rId1"/>
    <sheet name="07-21-2022" sheetId="2" r:id="rId2"/>
    <sheet name="08-04-2022" sheetId="3" r:id="rId3"/>
    <sheet name="08-18-2022" sheetId="4" r:id="rId4"/>
    <sheet name="09-01-2022" sheetId="5" r:id="rId5"/>
    <sheet name="09-15-2022" sheetId="6" r:id="rId6"/>
    <sheet name="09-29-2022" sheetId="7" r:id="rId7"/>
    <sheet name="10-13-2022" sheetId="8" r:id="rId8"/>
    <sheet name="10-27-2022" sheetId="9" r:id="rId9"/>
    <sheet name="11-10-2022" sheetId="10" r:id="rId10"/>
    <sheet name="11-24-2022" sheetId="11" r:id="rId11"/>
    <sheet name="12-08-2022" sheetId="12" r:id="rId12"/>
    <sheet name="12-22-2022" sheetId="13" r:id="rId13"/>
    <sheet name="01-05-2023" sheetId="14" r:id="rId14"/>
    <sheet name="01-19-2023" sheetId="15" r:id="rId15"/>
    <sheet name="02-02-2023" sheetId="16" r:id="rId16"/>
    <sheet name="02-16-2023" sheetId="17" r:id="rId17"/>
    <sheet name="03-02-2023" sheetId="18" r:id="rId18"/>
  </sheets>
  <definedNames>
    <definedName name="_xlnm.Print_Area" localSheetId="13">'01-05-2023'!$A$1:$L$65</definedName>
    <definedName name="_xlnm.Print_Area" localSheetId="14">'01-19-2023'!$A$1:$L$66</definedName>
    <definedName name="_xlnm.Print_Area" localSheetId="15">'02-02-2023'!$A$1:$L$67</definedName>
    <definedName name="_xlnm.Print_Area" localSheetId="16">'02-16-2023'!$A$1:$L$68</definedName>
    <definedName name="_xlnm.Print_Area" localSheetId="17">'03-02-2023'!$A$1:$L$68</definedName>
    <definedName name="_xlnm.Print_Area" localSheetId="0">'07-07-2022'!$A$1:$L$62</definedName>
    <definedName name="_xlnm.Print_Area" localSheetId="1">'07-21-2022'!$A$1:$L$62</definedName>
    <definedName name="_xlnm.Print_Area" localSheetId="2">'08-04-2022'!$A$1:$L$63</definedName>
    <definedName name="_xlnm.Print_Area" localSheetId="3">'08-18-2022'!$A$1:$L$63</definedName>
    <definedName name="_xlnm.Print_Area" localSheetId="4">'09-01-2022'!$A$1:$L$65</definedName>
    <definedName name="_xlnm.Print_Area" localSheetId="5">'09-15-2022'!$A$1:$L$65</definedName>
    <definedName name="_xlnm.Print_Area" localSheetId="6">'09-29-2022'!$A$1:$L$65</definedName>
    <definedName name="_xlnm.Print_Area" localSheetId="7">'10-13-2022'!$A$1:$L$65</definedName>
    <definedName name="_xlnm.Print_Area" localSheetId="8">'10-27-2022'!$A$1:$L$65</definedName>
    <definedName name="_xlnm.Print_Area" localSheetId="9">'11-10-2022'!$A$1:$L$65</definedName>
    <definedName name="_xlnm.Print_Area" localSheetId="10">'11-24-2022'!$A$1:$L$65</definedName>
    <definedName name="_xlnm.Print_Area" localSheetId="11">'12-08-2022'!$A$1:$L$65</definedName>
    <definedName name="_xlnm.Print_Area" localSheetId="12">'12-22-2022'!$A$1:$L$65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8" l="1"/>
  <c r="I14" i="18" s="1"/>
  <c r="D14" i="18"/>
  <c r="E12" i="18"/>
  <c r="D12" i="18"/>
  <c r="H12" i="18" s="1"/>
  <c r="E10" i="18"/>
  <c r="D10" i="18"/>
  <c r="H10" i="18" s="1"/>
  <c r="E54" i="18"/>
  <c r="E59" i="18" s="1"/>
  <c r="D54" i="18"/>
  <c r="L67" i="18"/>
  <c r="L36" i="18"/>
  <c r="L50" i="18"/>
  <c r="L46" i="18"/>
  <c r="L45" i="18"/>
  <c r="L44" i="18"/>
  <c r="L43" i="18"/>
  <c r="L42" i="18"/>
  <c r="L40" i="18"/>
  <c r="L39" i="18"/>
  <c r="L38" i="18"/>
  <c r="I67" i="18"/>
  <c r="H67" i="18"/>
  <c r="J67" i="18" s="1"/>
  <c r="I63" i="18"/>
  <c r="J63" i="18" s="1"/>
  <c r="L63" i="18" s="1"/>
  <c r="H63" i="18"/>
  <c r="I62" i="18"/>
  <c r="H62" i="18"/>
  <c r="H64" i="18" s="1"/>
  <c r="I58" i="18"/>
  <c r="H58" i="18"/>
  <c r="I57" i="18"/>
  <c r="H57" i="18"/>
  <c r="I56" i="18"/>
  <c r="H56" i="18"/>
  <c r="I55" i="18"/>
  <c r="J55" i="18" s="1"/>
  <c r="L55" i="18" s="1"/>
  <c r="H55" i="18"/>
  <c r="I54" i="18"/>
  <c r="H54" i="18"/>
  <c r="I53" i="18"/>
  <c r="H53" i="18"/>
  <c r="I52" i="18"/>
  <c r="H52" i="18"/>
  <c r="J52" i="18" s="1"/>
  <c r="L52" i="18" s="1"/>
  <c r="I51" i="18"/>
  <c r="H51" i="18"/>
  <c r="J51" i="18" s="1"/>
  <c r="L51" i="18" s="1"/>
  <c r="I50" i="18"/>
  <c r="H50" i="18"/>
  <c r="I49" i="18"/>
  <c r="H49" i="18"/>
  <c r="I48" i="18"/>
  <c r="H48" i="18"/>
  <c r="I47" i="18"/>
  <c r="H47" i="18"/>
  <c r="I46" i="18"/>
  <c r="H46" i="18"/>
  <c r="I45" i="18"/>
  <c r="H45" i="18"/>
  <c r="J45" i="18" s="1"/>
  <c r="I44" i="18"/>
  <c r="H44" i="18"/>
  <c r="J44" i="18" s="1"/>
  <c r="I43" i="18"/>
  <c r="H43" i="18"/>
  <c r="J43" i="18" s="1"/>
  <c r="I42" i="18"/>
  <c r="H42" i="18"/>
  <c r="I41" i="18"/>
  <c r="H41" i="18"/>
  <c r="I40" i="18"/>
  <c r="H40" i="18"/>
  <c r="J40" i="18" s="1"/>
  <c r="I39" i="18"/>
  <c r="J39" i="18" s="1"/>
  <c r="H39" i="18"/>
  <c r="I38" i="18"/>
  <c r="H38" i="18"/>
  <c r="J38" i="18" s="1"/>
  <c r="I37" i="18"/>
  <c r="H37" i="18"/>
  <c r="J37" i="18" s="1"/>
  <c r="L37" i="18" s="1"/>
  <c r="I36" i="18"/>
  <c r="H36" i="18"/>
  <c r="J36" i="18" s="1"/>
  <c r="I29" i="18"/>
  <c r="H29" i="18"/>
  <c r="I28" i="18"/>
  <c r="H28" i="18"/>
  <c r="J28" i="18" s="1"/>
  <c r="L28" i="18" s="1"/>
  <c r="I27" i="18"/>
  <c r="H27" i="18"/>
  <c r="I26" i="18"/>
  <c r="H26" i="18"/>
  <c r="I22" i="18"/>
  <c r="H22" i="18"/>
  <c r="I21" i="18"/>
  <c r="H21" i="18"/>
  <c r="I20" i="18"/>
  <c r="H20" i="18"/>
  <c r="I16" i="18"/>
  <c r="H16" i="18"/>
  <c r="I15" i="18"/>
  <c r="H15" i="18"/>
  <c r="H14" i="18"/>
  <c r="I13" i="18"/>
  <c r="H13" i="18"/>
  <c r="I12" i="18"/>
  <c r="I11" i="18"/>
  <c r="H11" i="18"/>
  <c r="I10" i="18"/>
  <c r="I9" i="18"/>
  <c r="H9" i="18"/>
  <c r="I8" i="18"/>
  <c r="H8" i="18"/>
  <c r="I4" i="18"/>
  <c r="H4" i="18"/>
  <c r="I3" i="18"/>
  <c r="H3" i="18"/>
  <c r="M130" i="18"/>
  <c r="I68" i="18"/>
  <c r="H68" i="18"/>
  <c r="G68" i="18"/>
  <c r="F68" i="18"/>
  <c r="E68" i="18"/>
  <c r="D68" i="18"/>
  <c r="C68" i="18"/>
  <c r="G64" i="18"/>
  <c r="F64" i="18"/>
  <c r="D64" i="18"/>
  <c r="C64" i="18"/>
  <c r="G59" i="18"/>
  <c r="F59" i="18"/>
  <c r="D59" i="18"/>
  <c r="C51" i="18"/>
  <c r="J50" i="18"/>
  <c r="C50" i="18"/>
  <c r="C49" i="18"/>
  <c r="C48" i="18"/>
  <c r="J46" i="18"/>
  <c r="J42" i="18"/>
  <c r="C42" i="18"/>
  <c r="G30" i="18"/>
  <c r="F30" i="18"/>
  <c r="E30" i="18"/>
  <c r="D30" i="18"/>
  <c r="C30" i="18"/>
  <c r="G23" i="18"/>
  <c r="F23" i="18"/>
  <c r="E23" i="18"/>
  <c r="D23" i="18"/>
  <c r="C23" i="18"/>
  <c r="G17" i="18"/>
  <c r="F17" i="18"/>
  <c r="C14" i="18"/>
  <c r="C17" i="18" s="1"/>
  <c r="C10" i="18"/>
  <c r="G5" i="18"/>
  <c r="F5" i="18"/>
  <c r="E5" i="18"/>
  <c r="D5" i="18"/>
  <c r="C5" i="18"/>
  <c r="E62" i="17"/>
  <c r="D62" i="17"/>
  <c r="E16" i="17"/>
  <c r="I16" i="17" s="1"/>
  <c r="D16" i="17"/>
  <c r="H16" i="17" s="1"/>
  <c r="E14" i="17"/>
  <c r="D14" i="17"/>
  <c r="E12" i="17"/>
  <c r="I12" i="17" s="1"/>
  <c r="D12" i="17"/>
  <c r="I57" i="17"/>
  <c r="J57" i="17" s="1"/>
  <c r="H57" i="17"/>
  <c r="D64" i="17"/>
  <c r="I14" i="17"/>
  <c r="H12" i="17"/>
  <c r="L45" i="17"/>
  <c r="L44" i="17"/>
  <c r="I67" i="17"/>
  <c r="I68" i="17" s="1"/>
  <c r="H67" i="17"/>
  <c r="H68" i="17" s="1"/>
  <c r="I63" i="17"/>
  <c r="H63" i="17"/>
  <c r="I62" i="17"/>
  <c r="H62" i="17"/>
  <c r="I58" i="17"/>
  <c r="H58" i="17"/>
  <c r="I56" i="17"/>
  <c r="H56" i="17"/>
  <c r="J56" i="17" s="1"/>
  <c r="L56" i="17" s="1"/>
  <c r="I55" i="17"/>
  <c r="H55" i="17"/>
  <c r="I54" i="17"/>
  <c r="H54" i="17"/>
  <c r="I53" i="17"/>
  <c r="H53" i="17"/>
  <c r="J53" i="17" s="1"/>
  <c r="L53" i="17" s="1"/>
  <c r="I52" i="17"/>
  <c r="H52" i="17"/>
  <c r="I51" i="17"/>
  <c r="I50" i="17"/>
  <c r="H50" i="17"/>
  <c r="I49" i="17"/>
  <c r="H49" i="17"/>
  <c r="J49" i="17" s="1"/>
  <c r="I48" i="17"/>
  <c r="H48" i="17"/>
  <c r="I47" i="17"/>
  <c r="H47" i="17"/>
  <c r="I46" i="17"/>
  <c r="H46" i="17"/>
  <c r="J46" i="17" s="1"/>
  <c r="L46" i="17" s="1"/>
  <c r="I45" i="17"/>
  <c r="H45" i="17"/>
  <c r="J45" i="17" s="1"/>
  <c r="I44" i="17"/>
  <c r="H44" i="17"/>
  <c r="J44" i="17" s="1"/>
  <c r="I43" i="17"/>
  <c r="H43" i="17"/>
  <c r="J43" i="17" s="1"/>
  <c r="L43" i="17" s="1"/>
  <c r="I42" i="17"/>
  <c r="H42" i="17"/>
  <c r="I41" i="17"/>
  <c r="H41" i="17"/>
  <c r="I40" i="17"/>
  <c r="H40" i="17"/>
  <c r="I39" i="17"/>
  <c r="H39" i="17"/>
  <c r="I38" i="17"/>
  <c r="H38" i="17"/>
  <c r="I37" i="17"/>
  <c r="H37" i="17"/>
  <c r="I36" i="17"/>
  <c r="H36" i="17"/>
  <c r="I29" i="17"/>
  <c r="H29" i="17"/>
  <c r="J29" i="17" s="1"/>
  <c r="L29" i="17" s="1"/>
  <c r="I28" i="17"/>
  <c r="H28" i="17"/>
  <c r="I27" i="17"/>
  <c r="H27" i="17"/>
  <c r="J27" i="17" s="1"/>
  <c r="L27" i="17" s="1"/>
  <c r="I26" i="17"/>
  <c r="H26" i="17"/>
  <c r="I22" i="17"/>
  <c r="H22" i="17"/>
  <c r="I21" i="17"/>
  <c r="H21" i="17"/>
  <c r="I20" i="17"/>
  <c r="H20" i="17"/>
  <c r="J20" i="17" s="1"/>
  <c r="L20" i="17" s="1"/>
  <c r="I15" i="17"/>
  <c r="H15" i="17"/>
  <c r="H14" i="17"/>
  <c r="I13" i="17"/>
  <c r="H13" i="17"/>
  <c r="I11" i="17"/>
  <c r="H11" i="17"/>
  <c r="I10" i="17"/>
  <c r="H10" i="17"/>
  <c r="I9" i="17"/>
  <c r="H9" i="17"/>
  <c r="I8" i="17"/>
  <c r="J8" i="17" s="1"/>
  <c r="L8" i="17" s="1"/>
  <c r="H8" i="17"/>
  <c r="I4" i="17"/>
  <c r="H4" i="17"/>
  <c r="I3" i="17"/>
  <c r="H3" i="17"/>
  <c r="M130" i="17"/>
  <c r="G68" i="17"/>
  <c r="F68" i="17"/>
  <c r="E68" i="17"/>
  <c r="D68" i="17"/>
  <c r="C68" i="17"/>
  <c r="G64" i="17"/>
  <c r="F64" i="17"/>
  <c r="E64" i="17"/>
  <c r="C64" i="17"/>
  <c r="G59" i="17"/>
  <c r="F59" i="17"/>
  <c r="C51" i="17"/>
  <c r="C50" i="17"/>
  <c r="C49" i="17"/>
  <c r="C48" i="17"/>
  <c r="C42" i="17"/>
  <c r="D59" i="17"/>
  <c r="J40" i="17"/>
  <c r="L40" i="17" s="1"/>
  <c r="J38" i="17"/>
  <c r="L38" i="17" s="1"/>
  <c r="G30" i="17"/>
  <c r="F30" i="17"/>
  <c r="E30" i="17"/>
  <c r="D30" i="17"/>
  <c r="C30" i="17"/>
  <c r="G23" i="17"/>
  <c r="F23" i="17"/>
  <c r="C23" i="17"/>
  <c r="E23" i="17"/>
  <c r="D23" i="17"/>
  <c r="C14" i="17"/>
  <c r="C17" i="17" s="1"/>
  <c r="C33" i="17" s="1"/>
  <c r="C10" i="17"/>
  <c r="G17" i="17"/>
  <c r="G5" i="17"/>
  <c r="F5" i="17"/>
  <c r="E5" i="17"/>
  <c r="D5" i="17"/>
  <c r="C5" i="17"/>
  <c r="E21" i="16"/>
  <c r="E23" i="16" s="1"/>
  <c r="D21" i="16"/>
  <c r="H21" i="16" s="1"/>
  <c r="E22" i="16"/>
  <c r="I22" i="16" s="1"/>
  <c r="D22" i="16"/>
  <c r="H22" i="16" s="1"/>
  <c r="E14" i="16"/>
  <c r="I14" i="16" s="1"/>
  <c r="D14" i="16"/>
  <c r="E12" i="16"/>
  <c r="D12" i="16"/>
  <c r="E9" i="16"/>
  <c r="D9" i="16"/>
  <c r="E41" i="16"/>
  <c r="D41" i="16"/>
  <c r="I65" i="15"/>
  <c r="I66" i="16" s="1"/>
  <c r="I67" i="16" s="1"/>
  <c r="H65" i="15"/>
  <c r="H66" i="16" s="1"/>
  <c r="I61" i="15"/>
  <c r="H61" i="15"/>
  <c r="I60" i="15"/>
  <c r="I61" i="16" s="1"/>
  <c r="H60" i="15"/>
  <c r="H61" i="16" s="1"/>
  <c r="J54" i="15"/>
  <c r="J55" i="15"/>
  <c r="I56" i="15"/>
  <c r="H56" i="15"/>
  <c r="I55" i="15"/>
  <c r="I56" i="16" s="1"/>
  <c r="H55" i="15"/>
  <c r="I54" i="15"/>
  <c r="H54" i="15"/>
  <c r="H55" i="16" s="1"/>
  <c r="I12" i="16"/>
  <c r="G9" i="16"/>
  <c r="F9" i="16"/>
  <c r="H10" i="16"/>
  <c r="D58" i="16"/>
  <c r="I41" i="16"/>
  <c r="H41" i="16"/>
  <c r="L45" i="16"/>
  <c r="L40" i="16"/>
  <c r="I62" i="16"/>
  <c r="H62" i="16"/>
  <c r="I57" i="16"/>
  <c r="H57" i="16"/>
  <c r="H56" i="16"/>
  <c r="I55" i="16"/>
  <c r="I54" i="16"/>
  <c r="J54" i="16" s="1"/>
  <c r="H54" i="16"/>
  <c r="I53" i="16"/>
  <c r="H53" i="16"/>
  <c r="J53" i="16" s="1"/>
  <c r="L53" i="16" s="1"/>
  <c r="I52" i="16"/>
  <c r="H52" i="16"/>
  <c r="J52" i="16" s="1"/>
  <c r="L52" i="16" s="1"/>
  <c r="I51" i="16"/>
  <c r="I50" i="16"/>
  <c r="H50" i="16"/>
  <c r="J50" i="16" s="1"/>
  <c r="I49" i="16"/>
  <c r="H49" i="16"/>
  <c r="I48" i="16"/>
  <c r="H48" i="16"/>
  <c r="I47" i="16"/>
  <c r="H47" i="16"/>
  <c r="I46" i="16"/>
  <c r="H46" i="16"/>
  <c r="I45" i="16"/>
  <c r="H45" i="16"/>
  <c r="I44" i="16"/>
  <c r="H44" i="16"/>
  <c r="J44" i="16" s="1"/>
  <c r="L44" i="16" s="1"/>
  <c r="I43" i="16"/>
  <c r="H43" i="16"/>
  <c r="J43" i="16" s="1"/>
  <c r="L43" i="16" s="1"/>
  <c r="I42" i="16"/>
  <c r="H42" i="16"/>
  <c r="I40" i="16"/>
  <c r="H40" i="16"/>
  <c r="I39" i="16"/>
  <c r="H39" i="16"/>
  <c r="I38" i="16"/>
  <c r="J38" i="16" s="1"/>
  <c r="L38" i="16" s="1"/>
  <c r="H38" i="16"/>
  <c r="I37" i="16"/>
  <c r="H37" i="16"/>
  <c r="I36" i="16"/>
  <c r="H36" i="16"/>
  <c r="I29" i="16"/>
  <c r="H29" i="16"/>
  <c r="I28" i="16"/>
  <c r="H28" i="16"/>
  <c r="I27" i="16"/>
  <c r="H27" i="16"/>
  <c r="J27" i="16" s="1"/>
  <c r="L27" i="16" s="1"/>
  <c r="I26" i="16"/>
  <c r="H26" i="16"/>
  <c r="I21" i="16"/>
  <c r="I20" i="16"/>
  <c r="H20" i="16"/>
  <c r="I16" i="16"/>
  <c r="H16" i="16"/>
  <c r="I15" i="16"/>
  <c r="H15" i="16"/>
  <c r="H14" i="16"/>
  <c r="I13" i="16"/>
  <c r="H13" i="16"/>
  <c r="H12" i="16"/>
  <c r="I11" i="16"/>
  <c r="H11" i="16"/>
  <c r="I10" i="16"/>
  <c r="I8" i="16"/>
  <c r="H8" i="16"/>
  <c r="I4" i="16"/>
  <c r="H4" i="16"/>
  <c r="I3" i="16"/>
  <c r="H3" i="16"/>
  <c r="I53" i="15"/>
  <c r="H53" i="15"/>
  <c r="L52" i="15"/>
  <c r="L51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29" i="15"/>
  <c r="L28" i="15"/>
  <c r="L27" i="15"/>
  <c r="L26" i="15"/>
  <c r="L22" i="15"/>
  <c r="L21" i="15"/>
  <c r="L20" i="15"/>
  <c r="L16" i="15"/>
  <c r="L15" i="15"/>
  <c r="L14" i="15"/>
  <c r="L13" i="15"/>
  <c r="L12" i="15"/>
  <c r="L11" i="15"/>
  <c r="L10" i="15"/>
  <c r="L9" i="15"/>
  <c r="L8" i="15"/>
  <c r="L4" i="15"/>
  <c r="I52" i="15"/>
  <c r="H52" i="15"/>
  <c r="I51" i="15"/>
  <c r="H51" i="15"/>
  <c r="I50" i="15"/>
  <c r="I49" i="15"/>
  <c r="H49" i="15"/>
  <c r="I48" i="15"/>
  <c r="H48" i="15"/>
  <c r="I47" i="15"/>
  <c r="H47" i="15"/>
  <c r="I46" i="15"/>
  <c r="H46" i="15"/>
  <c r="I45" i="15"/>
  <c r="H45" i="15"/>
  <c r="I44" i="15"/>
  <c r="H44" i="15"/>
  <c r="I43" i="15"/>
  <c r="H43" i="15"/>
  <c r="I42" i="15"/>
  <c r="H42" i="15"/>
  <c r="I41" i="15"/>
  <c r="H41" i="15"/>
  <c r="I40" i="15"/>
  <c r="H40" i="15"/>
  <c r="I39" i="15"/>
  <c r="H39" i="15"/>
  <c r="I38" i="15"/>
  <c r="H38" i="15"/>
  <c r="I37" i="15"/>
  <c r="H37" i="15"/>
  <c r="I36" i="15"/>
  <c r="H36" i="15"/>
  <c r="I29" i="15"/>
  <c r="H29" i="15"/>
  <c r="I28" i="15"/>
  <c r="H28" i="15"/>
  <c r="I27" i="15"/>
  <c r="H27" i="15"/>
  <c r="I26" i="15"/>
  <c r="H26" i="15"/>
  <c r="I22" i="15"/>
  <c r="H22" i="15"/>
  <c r="I21" i="15"/>
  <c r="H21" i="15"/>
  <c r="I20" i="15"/>
  <c r="H20" i="15"/>
  <c r="I16" i="15"/>
  <c r="H16" i="15"/>
  <c r="I15" i="15"/>
  <c r="H15" i="15"/>
  <c r="I14" i="15"/>
  <c r="H14" i="15"/>
  <c r="I13" i="15"/>
  <c r="H13" i="15"/>
  <c r="I12" i="15"/>
  <c r="H12" i="15"/>
  <c r="I11" i="15"/>
  <c r="H11" i="15"/>
  <c r="I10" i="15"/>
  <c r="H10" i="15"/>
  <c r="I9" i="15"/>
  <c r="H9" i="15"/>
  <c r="I8" i="15"/>
  <c r="H8" i="15"/>
  <c r="I4" i="15"/>
  <c r="H4" i="15"/>
  <c r="L3" i="15"/>
  <c r="I3" i="15"/>
  <c r="H3" i="15"/>
  <c r="M129" i="16"/>
  <c r="G67" i="16"/>
  <c r="F67" i="16"/>
  <c r="E67" i="16"/>
  <c r="D67" i="16"/>
  <c r="C67" i="16"/>
  <c r="G63" i="16"/>
  <c r="F63" i="16"/>
  <c r="E63" i="16"/>
  <c r="D63" i="16"/>
  <c r="C63" i="16"/>
  <c r="G58" i="16"/>
  <c r="F58" i="16"/>
  <c r="E58" i="16"/>
  <c r="C51" i="16"/>
  <c r="C50" i="16"/>
  <c r="L50" i="16" s="1"/>
  <c r="J49" i="16"/>
  <c r="L49" i="16" s="1"/>
  <c r="C49" i="16"/>
  <c r="C48" i="16"/>
  <c r="J45" i="16"/>
  <c r="C42" i="16"/>
  <c r="J40" i="16"/>
  <c r="G30" i="16"/>
  <c r="F30" i="16"/>
  <c r="E30" i="16"/>
  <c r="D30" i="16"/>
  <c r="C30" i="16"/>
  <c r="G23" i="16"/>
  <c r="F23" i="16"/>
  <c r="C23" i="16"/>
  <c r="G17" i="16"/>
  <c r="F17" i="16"/>
  <c r="C14" i="16"/>
  <c r="J13" i="16"/>
  <c r="L13" i="16" s="1"/>
  <c r="C10" i="16"/>
  <c r="C17" i="16" s="1"/>
  <c r="C33" i="16" s="1"/>
  <c r="G5" i="16"/>
  <c r="F5" i="16"/>
  <c r="E5" i="16"/>
  <c r="D5" i="16"/>
  <c r="C5" i="16"/>
  <c r="J3" i="16"/>
  <c r="L3" i="16" s="1"/>
  <c r="J53" i="15"/>
  <c r="L53" i="15" s="1"/>
  <c r="E14" i="15"/>
  <c r="D14" i="15"/>
  <c r="I30" i="18" l="1"/>
  <c r="J3" i="18"/>
  <c r="L3" i="18" s="1"/>
  <c r="I64" i="18"/>
  <c r="I23" i="18"/>
  <c r="H23" i="18"/>
  <c r="J15" i="18"/>
  <c r="L15" i="18" s="1"/>
  <c r="J13" i="18"/>
  <c r="L13" i="18" s="1"/>
  <c r="J11" i="18"/>
  <c r="L11" i="18" s="1"/>
  <c r="D17" i="18"/>
  <c r="D33" i="18" s="1"/>
  <c r="J9" i="18"/>
  <c r="L9" i="18" s="1"/>
  <c r="J41" i="18"/>
  <c r="L41" i="18" s="1"/>
  <c r="J57" i="18"/>
  <c r="L57" i="18" s="1"/>
  <c r="J49" i="18"/>
  <c r="K49" i="18" s="1"/>
  <c r="J48" i="18"/>
  <c r="K48" i="18" s="1"/>
  <c r="L48" i="18"/>
  <c r="J47" i="18"/>
  <c r="L47" i="18" s="1"/>
  <c r="J10" i="18"/>
  <c r="L10" i="18" s="1"/>
  <c r="J54" i="18"/>
  <c r="L54" i="18" s="1"/>
  <c r="L68" i="18"/>
  <c r="K67" i="18"/>
  <c r="K68" i="18" s="1"/>
  <c r="J68" i="18"/>
  <c r="K50" i="18"/>
  <c r="J56" i="18"/>
  <c r="L56" i="18" s="1"/>
  <c r="J58" i="18"/>
  <c r="J53" i="18"/>
  <c r="L53" i="18" s="1"/>
  <c r="I59" i="18"/>
  <c r="J26" i="18"/>
  <c r="L26" i="18" s="1"/>
  <c r="J27" i="18"/>
  <c r="L27" i="18" s="1"/>
  <c r="H30" i="18"/>
  <c r="J21" i="18"/>
  <c r="L21" i="18" s="1"/>
  <c r="J22" i="18"/>
  <c r="L22" i="18" s="1"/>
  <c r="J16" i="18"/>
  <c r="J8" i="18"/>
  <c r="C33" i="18"/>
  <c r="J4" i="18"/>
  <c r="I5" i="18"/>
  <c r="G33" i="18"/>
  <c r="F33" i="18"/>
  <c r="K54" i="18"/>
  <c r="K44" i="18"/>
  <c r="K45" i="18"/>
  <c r="K11" i="18"/>
  <c r="K38" i="18"/>
  <c r="K46" i="18"/>
  <c r="K28" i="18"/>
  <c r="J12" i="18"/>
  <c r="L12" i="18" s="1"/>
  <c r="K40" i="18"/>
  <c r="K39" i="18"/>
  <c r="K41" i="18"/>
  <c r="J62" i="18"/>
  <c r="L62" i="18" s="1"/>
  <c r="K55" i="18"/>
  <c r="I17" i="18"/>
  <c r="J14" i="18"/>
  <c r="K36" i="18"/>
  <c r="K43" i="18"/>
  <c r="K56" i="18"/>
  <c r="K15" i="18"/>
  <c r="K37" i="18"/>
  <c r="K52" i="18"/>
  <c r="C59" i="18"/>
  <c r="H17" i="18"/>
  <c r="E17" i="18"/>
  <c r="E33" i="18" s="1"/>
  <c r="H5" i="18"/>
  <c r="J29" i="18"/>
  <c r="L29" i="18" s="1"/>
  <c r="K63" i="18"/>
  <c r="H59" i="18"/>
  <c r="K3" i="18"/>
  <c r="E64" i="18"/>
  <c r="K42" i="18"/>
  <c r="K51" i="18"/>
  <c r="J20" i="18"/>
  <c r="L20" i="18" s="1"/>
  <c r="I64" i="17"/>
  <c r="I5" i="17"/>
  <c r="J4" i="17"/>
  <c r="L4" i="17" s="1"/>
  <c r="J15" i="17"/>
  <c r="L15" i="17" s="1"/>
  <c r="J13" i="17"/>
  <c r="L13" i="17" s="1"/>
  <c r="J26" i="17"/>
  <c r="L26" i="17" s="1"/>
  <c r="I30" i="17"/>
  <c r="L49" i="17"/>
  <c r="J54" i="17"/>
  <c r="L54" i="17" s="1"/>
  <c r="J58" i="17"/>
  <c r="L58" i="17" s="1"/>
  <c r="L57" i="17"/>
  <c r="K57" i="17"/>
  <c r="J16" i="17"/>
  <c r="L16" i="17" s="1"/>
  <c r="J63" i="17"/>
  <c r="L63" i="17" s="1"/>
  <c r="J39" i="17"/>
  <c r="L39" i="17" s="1"/>
  <c r="J47" i="17"/>
  <c r="L47" i="17" s="1"/>
  <c r="J55" i="17"/>
  <c r="L55" i="17" s="1"/>
  <c r="D17" i="17"/>
  <c r="D33" i="17" s="1"/>
  <c r="C59" i="17"/>
  <c r="J28" i="17"/>
  <c r="L28" i="17" s="1"/>
  <c r="J42" i="17"/>
  <c r="K42" i="17" s="1"/>
  <c r="H64" i="17"/>
  <c r="J14" i="17"/>
  <c r="L14" i="17" s="1"/>
  <c r="J12" i="17"/>
  <c r="L12" i="17" s="1"/>
  <c r="G33" i="17"/>
  <c r="J67" i="17"/>
  <c r="L67" i="17" s="1"/>
  <c r="J3" i="17"/>
  <c r="L3" i="17" s="1"/>
  <c r="J62" i="17"/>
  <c r="L62" i="17" s="1"/>
  <c r="J48" i="17"/>
  <c r="K48" i="17" s="1"/>
  <c r="J50" i="17"/>
  <c r="K50" i="17" s="1"/>
  <c r="J52" i="17"/>
  <c r="L52" i="17" s="1"/>
  <c r="J41" i="17"/>
  <c r="L41" i="17" s="1"/>
  <c r="I59" i="17"/>
  <c r="J37" i="17"/>
  <c r="L37" i="17" s="1"/>
  <c r="H30" i="17"/>
  <c r="J22" i="17"/>
  <c r="L22" i="17" s="1"/>
  <c r="J10" i="17"/>
  <c r="L10" i="17" s="1"/>
  <c r="I17" i="17"/>
  <c r="J11" i="17"/>
  <c r="L11" i="17" s="1"/>
  <c r="K56" i="17"/>
  <c r="K44" i="17"/>
  <c r="K53" i="17"/>
  <c r="K43" i="17"/>
  <c r="K27" i="17"/>
  <c r="K8" i="17"/>
  <c r="J9" i="17"/>
  <c r="L9" i="17" s="1"/>
  <c r="K49" i="17"/>
  <c r="K38" i="17"/>
  <c r="K20" i="17"/>
  <c r="K29" i="17"/>
  <c r="K45" i="17"/>
  <c r="J68" i="17"/>
  <c r="L68" i="17"/>
  <c r="K67" i="17"/>
  <c r="K68" i="17" s="1"/>
  <c r="K46" i="17"/>
  <c r="J21" i="17"/>
  <c r="L21" i="17" s="1"/>
  <c r="K52" i="17"/>
  <c r="F17" i="17"/>
  <c r="F33" i="17" s="1"/>
  <c r="J36" i="17"/>
  <c r="L36" i="17" s="1"/>
  <c r="H5" i="17"/>
  <c r="E17" i="17"/>
  <c r="E33" i="17" s="1"/>
  <c r="H17" i="17"/>
  <c r="I23" i="17"/>
  <c r="K40" i="17"/>
  <c r="E59" i="17"/>
  <c r="K39" i="17"/>
  <c r="H23" i="17"/>
  <c r="I5" i="16"/>
  <c r="J28" i="16"/>
  <c r="L28" i="16" s="1"/>
  <c r="J16" i="16"/>
  <c r="L16" i="16" s="1"/>
  <c r="D23" i="16"/>
  <c r="J15" i="16"/>
  <c r="L15" i="16" s="1"/>
  <c r="J11" i="16"/>
  <c r="L11" i="16" s="1"/>
  <c r="J42" i="16"/>
  <c r="L42" i="16" s="1"/>
  <c r="J48" i="16"/>
  <c r="K48" i="16" s="1"/>
  <c r="J66" i="16"/>
  <c r="L66" i="16" s="1"/>
  <c r="L67" i="16" s="1"/>
  <c r="H67" i="16"/>
  <c r="I63" i="16"/>
  <c r="J61" i="16"/>
  <c r="L61" i="16" s="1"/>
  <c r="J55" i="16"/>
  <c r="L55" i="16" s="1"/>
  <c r="J47" i="16"/>
  <c r="L47" i="16" s="1"/>
  <c r="J46" i="16"/>
  <c r="L46" i="16" s="1"/>
  <c r="J57" i="16"/>
  <c r="L57" i="16" s="1"/>
  <c r="J37" i="16"/>
  <c r="L37" i="16" s="1"/>
  <c r="I23" i="16"/>
  <c r="J21" i="16"/>
  <c r="L21" i="16" s="1"/>
  <c r="J22" i="16"/>
  <c r="L22" i="16" s="1"/>
  <c r="I9" i="16"/>
  <c r="I17" i="16" s="1"/>
  <c r="H9" i="16"/>
  <c r="H17" i="16" s="1"/>
  <c r="E17" i="16"/>
  <c r="E33" i="16" s="1"/>
  <c r="J10" i="16"/>
  <c r="K10" i="16" s="1"/>
  <c r="D17" i="16"/>
  <c r="J41" i="16"/>
  <c r="L41" i="16" s="1"/>
  <c r="K54" i="16"/>
  <c r="L54" i="16"/>
  <c r="F33" i="16"/>
  <c r="K50" i="16"/>
  <c r="H23" i="16"/>
  <c r="J39" i="16"/>
  <c r="L39" i="16" s="1"/>
  <c r="C58" i="16"/>
  <c r="K38" i="16"/>
  <c r="J56" i="16"/>
  <c r="I58" i="16"/>
  <c r="J29" i="16"/>
  <c r="J26" i="16"/>
  <c r="I30" i="16"/>
  <c r="J12" i="16"/>
  <c r="L12" i="16" s="1"/>
  <c r="H5" i="16"/>
  <c r="G33" i="16"/>
  <c r="J4" i="16"/>
  <c r="K43" i="16"/>
  <c r="K37" i="16"/>
  <c r="K26" i="16"/>
  <c r="K44" i="16"/>
  <c r="K57" i="16"/>
  <c r="K13" i="16"/>
  <c r="K45" i="16"/>
  <c r="K27" i="16"/>
  <c r="K28" i="16"/>
  <c r="K39" i="16"/>
  <c r="K52" i="16"/>
  <c r="K53" i="16"/>
  <c r="K3" i="16"/>
  <c r="K40" i="16"/>
  <c r="J20" i="16"/>
  <c r="L20" i="16" s="1"/>
  <c r="J36" i="16"/>
  <c r="L36" i="16" s="1"/>
  <c r="K49" i="16"/>
  <c r="J62" i="16"/>
  <c r="H30" i="16"/>
  <c r="J8" i="16"/>
  <c r="L8" i="16" s="1"/>
  <c r="H63" i="16"/>
  <c r="K53" i="15"/>
  <c r="C47" i="15"/>
  <c r="M128" i="15"/>
  <c r="G66" i="15"/>
  <c r="F66" i="15"/>
  <c r="E66" i="15"/>
  <c r="D66" i="15"/>
  <c r="C66" i="15"/>
  <c r="G62" i="15"/>
  <c r="F62" i="15"/>
  <c r="E62" i="15"/>
  <c r="D62" i="15"/>
  <c r="C62" i="15"/>
  <c r="G57" i="15"/>
  <c r="F57" i="15"/>
  <c r="E57" i="15"/>
  <c r="D57" i="15"/>
  <c r="C50" i="15"/>
  <c r="C49" i="15"/>
  <c r="C48" i="15"/>
  <c r="C41" i="15"/>
  <c r="G30" i="15"/>
  <c r="F30" i="15"/>
  <c r="E30" i="15"/>
  <c r="D30" i="15"/>
  <c r="C30" i="15"/>
  <c r="G23" i="15"/>
  <c r="F23" i="15"/>
  <c r="E23" i="15"/>
  <c r="D23" i="15"/>
  <c r="C23" i="15"/>
  <c r="G17" i="15"/>
  <c r="F17" i="15"/>
  <c r="E17" i="15"/>
  <c r="D17" i="15"/>
  <c r="C14" i="15"/>
  <c r="C10" i="15"/>
  <c r="C17" i="15" s="1"/>
  <c r="G5" i="15"/>
  <c r="F5" i="15"/>
  <c r="E5" i="15"/>
  <c r="D5" i="15"/>
  <c r="C5" i="15"/>
  <c r="K8" i="18" l="1"/>
  <c r="L8" i="18"/>
  <c r="K16" i="18"/>
  <c r="L16" i="18"/>
  <c r="K21" i="18"/>
  <c r="K4" i="18"/>
  <c r="K5" i="18" s="1"/>
  <c r="L4" i="18"/>
  <c r="L5" i="18" s="1"/>
  <c r="K13" i="18"/>
  <c r="K10" i="18"/>
  <c r="K9" i="18"/>
  <c r="K26" i="18"/>
  <c r="J30" i="18"/>
  <c r="K57" i="18"/>
  <c r="L49" i="18"/>
  <c r="K47" i="18"/>
  <c r="K58" i="18"/>
  <c r="L58" i="18"/>
  <c r="K14" i="18"/>
  <c r="L14" i="18"/>
  <c r="K22" i="18"/>
  <c r="J5" i="18"/>
  <c r="J59" i="18"/>
  <c r="K53" i="18"/>
  <c r="K27" i="18"/>
  <c r="J17" i="18"/>
  <c r="I33" i="18"/>
  <c r="H33" i="18"/>
  <c r="J64" i="18"/>
  <c r="L64" i="18"/>
  <c r="K62" i="18"/>
  <c r="K64" i="18" s="1"/>
  <c r="K12" i="18"/>
  <c r="K29" i="18"/>
  <c r="L30" i="18"/>
  <c r="L23" i="18"/>
  <c r="J23" i="18"/>
  <c r="K20" i="18"/>
  <c r="J64" i="17"/>
  <c r="K63" i="17"/>
  <c r="K4" i="17"/>
  <c r="K15" i="17"/>
  <c r="K13" i="17"/>
  <c r="J30" i="17"/>
  <c r="K26" i="17"/>
  <c r="K55" i="17"/>
  <c r="K54" i="17"/>
  <c r="K47" i="17"/>
  <c r="K58" i="17"/>
  <c r="K37" i="17"/>
  <c r="K28" i="17"/>
  <c r="K62" i="17"/>
  <c r="K16" i="17"/>
  <c r="L42" i="17"/>
  <c r="L50" i="17"/>
  <c r="L48" i="17"/>
  <c r="K14" i="17"/>
  <c r="K12" i="17"/>
  <c r="K3" i="17"/>
  <c r="J5" i="17"/>
  <c r="L64" i="17"/>
  <c r="L30" i="17"/>
  <c r="J23" i="17"/>
  <c r="I33" i="17"/>
  <c r="K41" i="17"/>
  <c r="K22" i="17"/>
  <c r="K11" i="17"/>
  <c r="K10" i="17"/>
  <c r="L5" i="17"/>
  <c r="K36" i="17"/>
  <c r="L23" i="17"/>
  <c r="K21" i="17"/>
  <c r="H33" i="17"/>
  <c r="L17" i="17"/>
  <c r="K9" i="17"/>
  <c r="J17" i="17"/>
  <c r="K16" i="16"/>
  <c r="K21" i="16"/>
  <c r="K22" i="16"/>
  <c r="D33" i="16"/>
  <c r="K15" i="16"/>
  <c r="K11" i="16"/>
  <c r="J9" i="16"/>
  <c r="L9" i="16" s="1"/>
  <c r="K42" i="16"/>
  <c r="L48" i="16"/>
  <c r="K66" i="16"/>
  <c r="K67" i="16" s="1"/>
  <c r="J67" i="16"/>
  <c r="K61" i="16"/>
  <c r="K55" i="16"/>
  <c r="K47" i="16"/>
  <c r="K46" i="16"/>
  <c r="K41" i="16"/>
  <c r="I33" i="16"/>
  <c r="L10" i="16"/>
  <c r="K56" i="16"/>
  <c r="L56" i="16"/>
  <c r="J63" i="16"/>
  <c r="L62" i="16"/>
  <c r="L63" i="16" s="1"/>
  <c r="J30" i="16"/>
  <c r="L26" i="16"/>
  <c r="K29" i="16"/>
  <c r="K30" i="16" s="1"/>
  <c r="L29" i="16"/>
  <c r="J5" i="16"/>
  <c r="L4" i="16"/>
  <c r="L5" i="16" s="1"/>
  <c r="K12" i="16"/>
  <c r="K4" i="16"/>
  <c r="K5" i="16" s="1"/>
  <c r="H33" i="16"/>
  <c r="K62" i="16"/>
  <c r="K36" i="16"/>
  <c r="J23" i="16"/>
  <c r="L23" i="16"/>
  <c r="K20" i="16"/>
  <c r="J14" i="16"/>
  <c r="L14" i="16" s="1"/>
  <c r="K8" i="16"/>
  <c r="C33" i="15"/>
  <c r="C57" i="15"/>
  <c r="D33" i="15"/>
  <c r="E33" i="15"/>
  <c r="F33" i="15"/>
  <c r="G33" i="15"/>
  <c r="M127" i="14"/>
  <c r="G65" i="14"/>
  <c r="F65" i="14"/>
  <c r="E65" i="14"/>
  <c r="D65" i="14"/>
  <c r="C65" i="14"/>
  <c r="G61" i="14"/>
  <c r="F61" i="14"/>
  <c r="E61" i="14"/>
  <c r="D61" i="14"/>
  <c r="C61" i="14"/>
  <c r="G56" i="14"/>
  <c r="F56" i="14"/>
  <c r="C50" i="14"/>
  <c r="C49" i="14"/>
  <c r="C48" i="14"/>
  <c r="C41" i="14"/>
  <c r="E56" i="14"/>
  <c r="D56" i="14"/>
  <c r="G30" i="14"/>
  <c r="F30" i="14"/>
  <c r="E30" i="14"/>
  <c r="D30" i="14"/>
  <c r="C30" i="14"/>
  <c r="G23" i="14"/>
  <c r="F23" i="14"/>
  <c r="E23" i="14"/>
  <c r="D23" i="14"/>
  <c r="C23" i="14"/>
  <c r="G17" i="14"/>
  <c r="F17" i="14"/>
  <c r="E17" i="14"/>
  <c r="D17" i="14"/>
  <c r="C14" i="14"/>
  <c r="C10" i="14"/>
  <c r="C17" i="14" s="1"/>
  <c r="G5" i="14"/>
  <c r="F5" i="14"/>
  <c r="E5" i="14"/>
  <c r="D5" i="14"/>
  <c r="C5" i="14"/>
  <c r="K23" i="18" l="1"/>
  <c r="L59" i="18"/>
  <c r="K59" i="18"/>
  <c r="K17" i="18"/>
  <c r="K30" i="18"/>
  <c r="J33" i="18"/>
  <c r="L17" i="18"/>
  <c r="L33" i="18" s="1"/>
  <c r="K64" i="17"/>
  <c r="K30" i="17"/>
  <c r="K5" i="17"/>
  <c r="K23" i="17"/>
  <c r="J33" i="17"/>
  <c r="L33" i="17"/>
  <c r="K17" i="17"/>
  <c r="L30" i="16"/>
  <c r="K23" i="16"/>
  <c r="K9" i="16"/>
  <c r="K63" i="16"/>
  <c r="K14" i="16"/>
  <c r="L17" i="16"/>
  <c r="J17" i="16"/>
  <c r="J33" i="16" s="1"/>
  <c r="C33" i="14"/>
  <c r="C56" i="14"/>
  <c r="D33" i="14"/>
  <c r="F33" i="14"/>
  <c r="E33" i="14"/>
  <c r="G33" i="14"/>
  <c r="C10" i="13"/>
  <c r="K33" i="18" l="1"/>
  <c r="K33" i="17"/>
  <c r="L33" i="16"/>
  <c r="K17" i="16"/>
  <c r="K33" i="16" s="1"/>
  <c r="E37" i="13"/>
  <c r="D37" i="13"/>
  <c r="C14" i="13" l="1"/>
  <c r="M127" i="13" l="1"/>
  <c r="G65" i="13"/>
  <c r="F65" i="13"/>
  <c r="E65" i="13"/>
  <c r="D65" i="13"/>
  <c r="C65" i="13"/>
  <c r="G61" i="13"/>
  <c r="F61" i="13"/>
  <c r="E61" i="13"/>
  <c r="D61" i="13"/>
  <c r="C61" i="13"/>
  <c r="G56" i="13"/>
  <c r="F56" i="13"/>
  <c r="E56" i="13"/>
  <c r="D56" i="13"/>
  <c r="C50" i="13"/>
  <c r="C49" i="13"/>
  <c r="C48" i="13"/>
  <c r="C41" i="13"/>
  <c r="G30" i="13"/>
  <c r="F30" i="13"/>
  <c r="E30" i="13"/>
  <c r="D30" i="13"/>
  <c r="C30" i="13"/>
  <c r="G23" i="13"/>
  <c r="F23" i="13"/>
  <c r="E23" i="13"/>
  <c r="D23" i="13"/>
  <c r="C23" i="13"/>
  <c r="G17" i="13"/>
  <c r="F17" i="13"/>
  <c r="E17" i="13"/>
  <c r="C17" i="13"/>
  <c r="G5" i="13"/>
  <c r="F5" i="13"/>
  <c r="E5" i="13"/>
  <c r="D5" i="13"/>
  <c r="C5" i="13"/>
  <c r="C33" i="13" l="1"/>
  <c r="G33" i="13"/>
  <c r="E33" i="13"/>
  <c r="F33" i="13"/>
  <c r="D17" i="13"/>
  <c r="D33" i="13" s="1"/>
  <c r="C56" i="13"/>
  <c r="C10" i="12"/>
  <c r="E11" i="12" l="1"/>
  <c r="D11" i="12"/>
  <c r="M127" i="12" l="1"/>
  <c r="G65" i="12"/>
  <c r="F65" i="12"/>
  <c r="E65" i="12"/>
  <c r="D65" i="12"/>
  <c r="C65" i="12"/>
  <c r="G61" i="12"/>
  <c r="F61" i="12"/>
  <c r="E61" i="12"/>
  <c r="D61" i="12"/>
  <c r="C61" i="12"/>
  <c r="G56" i="12"/>
  <c r="F56" i="12"/>
  <c r="E56" i="12"/>
  <c r="D56" i="12"/>
  <c r="C50" i="12"/>
  <c r="C49" i="12"/>
  <c r="C48" i="12"/>
  <c r="C56" i="12" s="1"/>
  <c r="C41" i="12"/>
  <c r="G30" i="12"/>
  <c r="F30" i="12"/>
  <c r="E30" i="12"/>
  <c r="D30" i="12"/>
  <c r="C30" i="12"/>
  <c r="G23" i="12"/>
  <c r="F23" i="12"/>
  <c r="E23" i="12"/>
  <c r="D23" i="12"/>
  <c r="C23" i="12"/>
  <c r="G17" i="12"/>
  <c r="F17" i="12"/>
  <c r="E17" i="12"/>
  <c r="D17" i="12"/>
  <c r="C17" i="12"/>
  <c r="G5" i="12"/>
  <c r="F5" i="12"/>
  <c r="E5" i="12"/>
  <c r="D5" i="12"/>
  <c r="C5" i="12"/>
  <c r="C33" i="12" l="1"/>
  <c r="F33" i="12"/>
  <c r="E33" i="12"/>
  <c r="D33" i="12"/>
  <c r="G33" i="12"/>
  <c r="C49" i="11"/>
  <c r="M127" i="11"/>
  <c r="G65" i="11"/>
  <c r="F65" i="11"/>
  <c r="E65" i="11"/>
  <c r="D65" i="11"/>
  <c r="C65" i="11"/>
  <c r="G61" i="11"/>
  <c r="F61" i="11"/>
  <c r="E61" i="11"/>
  <c r="D61" i="11"/>
  <c r="C61" i="11"/>
  <c r="G56" i="11"/>
  <c r="F56" i="11"/>
  <c r="E56" i="11"/>
  <c r="D56" i="11"/>
  <c r="C50" i="11"/>
  <c r="C48" i="11"/>
  <c r="C41" i="11"/>
  <c r="G30" i="11"/>
  <c r="F30" i="11"/>
  <c r="E30" i="11"/>
  <c r="D30" i="11"/>
  <c r="C30" i="11"/>
  <c r="G23" i="11"/>
  <c r="F23" i="11"/>
  <c r="E23" i="11"/>
  <c r="D23" i="11"/>
  <c r="C23" i="11"/>
  <c r="G17" i="11"/>
  <c r="F17" i="11"/>
  <c r="E17" i="11"/>
  <c r="D17" i="11"/>
  <c r="C17" i="11"/>
  <c r="G5" i="11"/>
  <c r="F5" i="11"/>
  <c r="E5" i="11"/>
  <c r="D5" i="11"/>
  <c r="C5" i="11"/>
  <c r="C33" i="11" l="1"/>
  <c r="C56" i="11"/>
  <c r="D33" i="11"/>
  <c r="E33" i="11"/>
  <c r="F33" i="11"/>
  <c r="G33" i="11"/>
  <c r="C50" i="10"/>
  <c r="C48" i="10"/>
  <c r="C41" i="10"/>
  <c r="C56" i="10"/>
  <c r="M127" i="10" l="1"/>
  <c r="G65" i="10"/>
  <c r="F65" i="10"/>
  <c r="E65" i="10"/>
  <c r="D65" i="10"/>
  <c r="C65" i="10"/>
  <c r="G61" i="10"/>
  <c r="F61" i="10"/>
  <c r="E61" i="10"/>
  <c r="D61" i="10"/>
  <c r="C61" i="10"/>
  <c r="G56" i="10"/>
  <c r="F56" i="10"/>
  <c r="E56" i="10"/>
  <c r="D56" i="10"/>
  <c r="G30" i="10"/>
  <c r="F30" i="10"/>
  <c r="E30" i="10"/>
  <c r="D30" i="10"/>
  <c r="C30" i="10"/>
  <c r="G23" i="10"/>
  <c r="F23" i="10"/>
  <c r="E23" i="10"/>
  <c r="D23" i="10"/>
  <c r="C23" i="10"/>
  <c r="G17" i="10"/>
  <c r="F17" i="10"/>
  <c r="E17" i="10"/>
  <c r="C17" i="10"/>
  <c r="C33" i="10" s="1"/>
  <c r="G5" i="10"/>
  <c r="F5" i="10"/>
  <c r="E5" i="10"/>
  <c r="D5" i="10"/>
  <c r="C5" i="10"/>
  <c r="F33" i="10" l="1"/>
  <c r="G33" i="10"/>
  <c r="E33" i="10"/>
  <c r="D17" i="10"/>
  <c r="D33" i="10" s="1"/>
  <c r="E10" i="9"/>
  <c r="D10" i="9"/>
  <c r="C50" i="9" l="1"/>
  <c r="M127" i="9"/>
  <c r="G65" i="9"/>
  <c r="F65" i="9"/>
  <c r="E65" i="9"/>
  <c r="D65" i="9"/>
  <c r="C65" i="9"/>
  <c r="G61" i="9"/>
  <c r="F61" i="9"/>
  <c r="E61" i="9"/>
  <c r="D61" i="9"/>
  <c r="C61" i="9"/>
  <c r="G56" i="9"/>
  <c r="F56" i="9"/>
  <c r="E56" i="9"/>
  <c r="D56" i="9"/>
  <c r="C48" i="9"/>
  <c r="C41" i="9"/>
  <c r="G30" i="9"/>
  <c r="F30" i="9"/>
  <c r="E30" i="9"/>
  <c r="D30" i="9"/>
  <c r="C30" i="9"/>
  <c r="G23" i="9"/>
  <c r="F23" i="9"/>
  <c r="E23" i="9"/>
  <c r="D23" i="9"/>
  <c r="C23" i="9"/>
  <c r="G17" i="9"/>
  <c r="F17" i="9"/>
  <c r="E17" i="9"/>
  <c r="C17" i="9"/>
  <c r="G5" i="9"/>
  <c r="F5" i="9"/>
  <c r="E5" i="9"/>
  <c r="D5" i="9"/>
  <c r="C5" i="9"/>
  <c r="C33" i="9" l="1"/>
  <c r="F33" i="9"/>
  <c r="G33" i="9"/>
  <c r="E33" i="9"/>
  <c r="D17" i="9"/>
  <c r="D33" i="9" s="1"/>
  <c r="C56" i="9"/>
  <c r="E11" i="8"/>
  <c r="D11" i="8"/>
  <c r="M127" i="8" l="1"/>
  <c r="G65" i="8"/>
  <c r="F65" i="8"/>
  <c r="E65" i="8"/>
  <c r="D65" i="8"/>
  <c r="C65" i="8"/>
  <c r="G61" i="8"/>
  <c r="F61" i="8"/>
  <c r="D61" i="8"/>
  <c r="C61" i="8"/>
  <c r="G56" i="8"/>
  <c r="F56" i="8"/>
  <c r="E56" i="8"/>
  <c r="D56" i="8"/>
  <c r="C48" i="8"/>
  <c r="C41" i="8"/>
  <c r="G30" i="8"/>
  <c r="F30" i="8"/>
  <c r="E30" i="8"/>
  <c r="D30" i="8"/>
  <c r="C30" i="8"/>
  <c r="G23" i="8"/>
  <c r="F23" i="8"/>
  <c r="E23" i="8"/>
  <c r="D23" i="8"/>
  <c r="C23" i="8"/>
  <c r="G17" i="8"/>
  <c r="F17" i="8"/>
  <c r="C17" i="8"/>
  <c r="E17" i="8"/>
  <c r="D17" i="8"/>
  <c r="G5" i="8"/>
  <c r="F5" i="8"/>
  <c r="E5" i="8"/>
  <c r="D5" i="8"/>
  <c r="C5" i="8"/>
  <c r="C56" i="8" l="1"/>
  <c r="C33" i="8"/>
  <c r="G33" i="8"/>
  <c r="F33" i="8"/>
  <c r="E33" i="8"/>
  <c r="D33" i="8"/>
  <c r="E61" i="8"/>
  <c r="E59" i="7"/>
  <c r="D59" i="7"/>
  <c r="E13" i="7"/>
  <c r="D13" i="7"/>
  <c r="E12" i="7"/>
  <c r="D12" i="7"/>
  <c r="M127" i="7" l="1"/>
  <c r="G65" i="7"/>
  <c r="F65" i="7"/>
  <c r="E65" i="7"/>
  <c r="D65" i="7"/>
  <c r="C65" i="7"/>
  <c r="G61" i="7"/>
  <c r="F61" i="7"/>
  <c r="C61" i="7"/>
  <c r="D61" i="7"/>
  <c r="G56" i="7"/>
  <c r="F56" i="7"/>
  <c r="E56" i="7"/>
  <c r="D56" i="7"/>
  <c r="C48" i="7"/>
  <c r="C56" i="7" s="1"/>
  <c r="C41" i="7"/>
  <c r="G30" i="7"/>
  <c r="F30" i="7"/>
  <c r="E30" i="7"/>
  <c r="D30" i="7"/>
  <c r="C30" i="7"/>
  <c r="G23" i="7"/>
  <c r="F23" i="7"/>
  <c r="E23" i="7"/>
  <c r="D23" i="7"/>
  <c r="C23" i="7"/>
  <c r="G17" i="7"/>
  <c r="F17" i="7"/>
  <c r="C17" i="7"/>
  <c r="E17" i="7"/>
  <c r="D17" i="7"/>
  <c r="G5" i="7"/>
  <c r="F5" i="7"/>
  <c r="E5" i="7"/>
  <c r="D5" i="7"/>
  <c r="C5" i="7"/>
  <c r="C33" i="7" l="1"/>
  <c r="E33" i="7"/>
  <c r="G33" i="7"/>
  <c r="D33" i="7"/>
  <c r="F33" i="7"/>
  <c r="E61" i="7"/>
  <c r="E59" i="6"/>
  <c r="D59" i="6"/>
  <c r="E16" i="6"/>
  <c r="D16" i="6"/>
  <c r="E14" i="6"/>
  <c r="D14" i="6"/>
  <c r="E13" i="6"/>
  <c r="D13" i="6"/>
  <c r="E12" i="6"/>
  <c r="D12" i="6"/>
  <c r="M127" i="6" l="1"/>
  <c r="G65" i="6"/>
  <c r="F65" i="6"/>
  <c r="E65" i="6"/>
  <c r="D65" i="6"/>
  <c r="C65" i="6"/>
  <c r="G61" i="6"/>
  <c r="F61" i="6"/>
  <c r="E61" i="6"/>
  <c r="D61" i="6"/>
  <c r="C61" i="6"/>
  <c r="G56" i="6"/>
  <c r="F56" i="6"/>
  <c r="E56" i="6"/>
  <c r="D56" i="6"/>
  <c r="C48" i="6"/>
  <c r="C41" i="6"/>
  <c r="C56" i="6" s="1"/>
  <c r="G30" i="6"/>
  <c r="F30" i="6"/>
  <c r="E30" i="6"/>
  <c r="D30" i="6"/>
  <c r="C30" i="6"/>
  <c r="G23" i="6"/>
  <c r="F23" i="6"/>
  <c r="E23" i="6"/>
  <c r="D23" i="6"/>
  <c r="C23" i="6"/>
  <c r="G17" i="6"/>
  <c r="F17" i="6"/>
  <c r="E17" i="6"/>
  <c r="D17" i="6"/>
  <c r="C17" i="6"/>
  <c r="G5" i="6"/>
  <c r="F5" i="6"/>
  <c r="E5" i="6"/>
  <c r="D5" i="6"/>
  <c r="C5" i="6"/>
  <c r="C33" i="6" l="1"/>
  <c r="G33" i="6"/>
  <c r="D33" i="6"/>
  <c r="F33" i="6"/>
  <c r="E33" i="6"/>
  <c r="H55" i="5"/>
  <c r="H55" i="6" s="1"/>
  <c r="H55" i="7" s="1"/>
  <c r="I55" i="5"/>
  <c r="I55" i="6" s="1"/>
  <c r="I55" i="7" s="1"/>
  <c r="I55" i="8" s="1"/>
  <c r="I55" i="9" s="1"/>
  <c r="I55" i="10" s="1"/>
  <c r="I55" i="11" s="1"/>
  <c r="I55" i="12" s="1"/>
  <c r="I55" i="13" s="1"/>
  <c r="D56" i="5"/>
  <c r="E56" i="5"/>
  <c r="F56" i="5"/>
  <c r="G56" i="5"/>
  <c r="H55" i="8" l="1"/>
  <c r="J55" i="7"/>
  <c r="J55" i="6"/>
  <c r="I55" i="14"/>
  <c r="K55" i="6"/>
  <c r="L55" i="6"/>
  <c r="J55" i="5"/>
  <c r="I54" i="5"/>
  <c r="I54" i="6" s="1"/>
  <c r="H54" i="5"/>
  <c r="H54" i="6" s="1"/>
  <c r="H54" i="7" s="1"/>
  <c r="H54" i="8" l="1"/>
  <c r="L55" i="7"/>
  <c r="K55" i="7"/>
  <c r="J54" i="6"/>
  <c r="I54" i="7"/>
  <c r="I54" i="8" s="1"/>
  <c r="I54" i="9" s="1"/>
  <c r="H55" i="9"/>
  <c r="J55" i="8"/>
  <c r="J54" i="5"/>
  <c r="L54" i="5" s="1"/>
  <c r="K55" i="5"/>
  <c r="L55" i="5"/>
  <c r="M127" i="5"/>
  <c r="G65" i="5"/>
  <c r="F65" i="5"/>
  <c r="E65" i="5"/>
  <c r="D65" i="5"/>
  <c r="C65" i="5"/>
  <c r="G61" i="5"/>
  <c r="F61" i="5"/>
  <c r="E61" i="5"/>
  <c r="D61" i="5"/>
  <c r="C61" i="5"/>
  <c r="C48" i="5"/>
  <c r="C41" i="5"/>
  <c r="C56" i="5" s="1"/>
  <c r="G30" i="5"/>
  <c r="F30" i="5"/>
  <c r="E30" i="5"/>
  <c r="D30" i="5"/>
  <c r="C30" i="5"/>
  <c r="G23" i="5"/>
  <c r="F23" i="5"/>
  <c r="E23" i="5"/>
  <c r="D23" i="5"/>
  <c r="C23" i="5"/>
  <c r="G17" i="5"/>
  <c r="F17" i="5"/>
  <c r="D17" i="5"/>
  <c r="C17" i="5"/>
  <c r="C33" i="5" s="1"/>
  <c r="G5" i="5"/>
  <c r="F5" i="5"/>
  <c r="E5" i="5"/>
  <c r="D5" i="5"/>
  <c r="C5" i="5"/>
  <c r="K55" i="8" l="1"/>
  <c r="L55" i="8"/>
  <c r="H55" i="10"/>
  <c r="J55" i="9"/>
  <c r="I54" i="10"/>
  <c r="I54" i="11" s="1"/>
  <c r="I54" i="12" s="1"/>
  <c r="I54" i="13" s="1"/>
  <c r="L54" i="6"/>
  <c r="K54" i="6"/>
  <c r="K54" i="5"/>
  <c r="H54" i="9"/>
  <c r="H54" i="10" s="1"/>
  <c r="J54" i="8"/>
  <c r="J54" i="7"/>
  <c r="F33" i="5"/>
  <c r="D33" i="5"/>
  <c r="G33" i="5"/>
  <c r="E17" i="5"/>
  <c r="E33" i="5" s="1"/>
  <c r="C41" i="4"/>
  <c r="H54" i="11" l="1"/>
  <c r="J54" i="10"/>
  <c r="L54" i="7"/>
  <c r="K54" i="7"/>
  <c r="I54" i="14"/>
  <c r="J54" i="9"/>
  <c r="K55" i="9"/>
  <c r="L55" i="9"/>
  <c r="L54" i="8"/>
  <c r="K54" i="8"/>
  <c r="H55" i="11"/>
  <c r="J55" i="10"/>
  <c r="E28" i="4"/>
  <c r="D28" i="4"/>
  <c r="D30" i="4" s="1"/>
  <c r="E11" i="4"/>
  <c r="D11" i="4"/>
  <c r="M125" i="4"/>
  <c r="G63" i="4"/>
  <c r="F63" i="4"/>
  <c r="E63" i="4"/>
  <c r="D63" i="4"/>
  <c r="C63" i="4"/>
  <c r="G59" i="4"/>
  <c r="F59" i="4"/>
  <c r="E59" i="4"/>
  <c r="D59" i="4"/>
  <c r="C59" i="4"/>
  <c r="G54" i="4"/>
  <c r="F54" i="4"/>
  <c r="E54" i="4"/>
  <c r="D54" i="4"/>
  <c r="C48" i="4"/>
  <c r="C54" i="4" s="1"/>
  <c r="C30" i="4"/>
  <c r="G30" i="4"/>
  <c r="F30" i="4"/>
  <c r="G23" i="4"/>
  <c r="F23" i="4"/>
  <c r="E23" i="4"/>
  <c r="D23" i="4"/>
  <c r="C23" i="4"/>
  <c r="C17" i="4"/>
  <c r="C33" i="4" s="1"/>
  <c r="D17" i="4"/>
  <c r="G17" i="4"/>
  <c r="F17" i="4"/>
  <c r="G5" i="4"/>
  <c r="F5" i="4"/>
  <c r="E5" i="4"/>
  <c r="D5" i="4"/>
  <c r="C5" i="4"/>
  <c r="L55" i="10" l="1"/>
  <c r="K55" i="10"/>
  <c r="H55" i="12"/>
  <c r="J55" i="11"/>
  <c r="L54" i="9"/>
  <c r="K54" i="9"/>
  <c r="L54" i="10"/>
  <c r="K54" i="10"/>
  <c r="J54" i="11"/>
  <c r="H54" i="12"/>
  <c r="E30" i="4"/>
  <c r="E17" i="4"/>
  <c r="D33" i="4"/>
  <c r="F33" i="4"/>
  <c r="G33" i="4"/>
  <c r="E13" i="3"/>
  <c r="D13" i="3"/>
  <c r="G9" i="3"/>
  <c r="F9" i="3"/>
  <c r="G26" i="3"/>
  <c r="F26" i="3"/>
  <c r="J54" i="12" l="1"/>
  <c r="H54" i="13"/>
  <c r="L55" i="11"/>
  <c r="K55" i="11"/>
  <c r="H55" i="13"/>
  <c r="J55" i="12"/>
  <c r="L54" i="11"/>
  <c r="K54" i="11"/>
  <c r="E33" i="4"/>
  <c r="I58" i="3"/>
  <c r="I58" i="4" s="1"/>
  <c r="H58" i="3"/>
  <c r="H58" i="4" s="1"/>
  <c r="H60" i="5" s="1"/>
  <c r="D59" i="3"/>
  <c r="E59" i="3"/>
  <c r="F59" i="3"/>
  <c r="G59" i="3"/>
  <c r="C59" i="3"/>
  <c r="J56" i="15" l="1"/>
  <c r="L56" i="15" s="1"/>
  <c r="H55" i="14"/>
  <c r="J55" i="14" s="1"/>
  <c r="J55" i="13"/>
  <c r="J58" i="4"/>
  <c r="I60" i="5"/>
  <c r="I60" i="6" s="1"/>
  <c r="I60" i="7" s="1"/>
  <c r="I60" i="8" s="1"/>
  <c r="I60" i="9" s="1"/>
  <c r="I60" i="10" s="1"/>
  <c r="I60" i="11" s="1"/>
  <c r="I60" i="12" s="1"/>
  <c r="I60" i="13" s="1"/>
  <c r="L55" i="12"/>
  <c r="K55" i="12"/>
  <c r="J54" i="13"/>
  <c r="L55" i="15"/>
  <c r="H54" i="14"/>
  <c r="J54" i="14" s="1"/>
  <c r="H60" i="6"/>
  <c r="J60" i="5"/>
  <c r="L54" i="12"/>
  <c r="K54" i="12"/>
  <c r="J58" i="3"/>
  <c r="C48" i="3"/>
  <c r="H60" i="7" l="1"/>
  <c r="J60" i="6"/>
  <c r="L54" i="14"/>
  <c r="K54" i="14"/>
  <c r="L60" i="5"/>
  <c r="K60" i="5"/>
  <c r="L58" i="4"/>
  <c r="K58" i="4"/>
  <c r="L54" i="13"/>
  <c r="K54" i="13"/>
  <c r="L55" i="13"/>
  <c r="K55" i="13"/>
  <c r="I60" i="14"/>
  <c r="L55" i="14"/>
  <c r="K55" i="14"/>
  <c r="K55" i="15"/>
  <c r="K56" i="15"/>
  <c r="K58" i="3"/>
  <c r="L58" i="3"/>
  <c r="G63" i="3"/>
  <c r="F63" i="3"/>
  <c r="E63" i="3"/>
  <c r="D63" i="3"/>
  <c r="C63" i="3"/>
  <c r="G54" i="3"/>
  <c r="F54" i="3"/>
  <c r="E54" i="3"/>
  <c r="D54" i="3"/>
  <c r="C54" i="3"/>
  <c r="G30" i="3"/>
  <c r="F30" i="3"/>
  <c r="E30" i="3"/>
  <c r="D30" i="3"/>
  <c r="C30" i="3"/>
  <c r="G23" i="3"/>
  <c r="F23" i="3"/>
  <c r="E23" i="3"/>
  <c r="D23" i="3"/>
  <c r="C23" i="3"/>
  <c r="G17" i="3"/>
  <c r="F17" i="3"/>
  <c r="E17" i="3"/>
  <c r="D17" i="3"/>
  <c r="C17" i="3"/>
  <c r="G5" i="3"/>
  <c r="F5" i="3"/>
  <c r="E5" i="3"/>
  <c r="D5" i="3"/>
  <c r="C5" i="3"/>
  <c r="L60" i="6" l="1"/>
  <c r="K60" i="6"/>
  <c r="H60" i="8"/>
  <c r="J60" i="7"/>
  <c r="F33" i="3"/>
  <c r="C33" i="3"/>
  <c r="G33" i="3"/>
  <c r="D33" i="3"/>
  <c r="E33" i="3"/>
  <c r="D5" i="2"/>
  <c r="E5" i="2"/>
  <c r="F5" i="2"/>
  <c r="G5" i="2"/>
  <c r="C5" i="2"/>
  <c r="F17" i="2"/>
  <c r="G17" i="2"/>
  <c r="D23" i="2"/>
  <c r="E23" i="2"/>
  <c r="F23" i="2"/>
  <c r="G23" i="2"/>
  <c r="D30" i="2"/>
  <c r="E30" i="2"/>
  <c r="F30" i="2"/>
  <c r="G30" i="2"/>
  <c r="C30" i="2"/>
  <c r="F58" i="2"/>
  <c r="G58" i="2"/>
  <c r="C58" i="2"/>
  <c r="D62" i="2"/>
  <c r="E62" i="2"/>
  <c r="F62" i="2"/>
  <c r="G62" i="2"/>
  <c r="D62" i="1"/>
  <c r="E62" i="1"/>
  <c r="F62" i="1"/>
  <c r="G62" i="1"/>
  <c r="D58" i="1"/>
  <c r="E58" i="1"/>
  <c r="F58" i="1"/>
  <c r="G58" i="1"/>
  <c r="C58" i="1"/>
  <c r="D54" i="1"/>
  <c r="E54" i="1"/>
  <c r="F54" i="1"/>
  <c r="G54" i="1"/>
  <c r="D30" i="1"/>
  <c r="E30" i="1"/>
  <c r="F30" i="1"/>
  <c r="G30" i="1"/>
  <c r="G33" i="1" s="1"/>
  <c r="C30" i="1"/>
  <c r="D23" i="1"/>
  <c r="E23" i="1"/>
  <c r="F23" i="1"/>
  <c r="G23" i="1"/>
  <c r="D17" i="1"/>
  <c r="D33" i="1" s="1"/>
  <c r="E17" i="1"/>
  <c r="E33" i="1" s="1"/>
  <c r="F17" i="1"/>
  <c r="F33" i="1" s="1"/>
  <c r="G17" i="1"/>
  <c r="D5" i="1"/>
  <c r="E5" i="1"/>
  <c r="F5" i="1"/>
  <c r="G5" i="1"/>
  <c r="C5" i="1"/>
  <c r="L60" i="7" l="1"/>
  <c r="K60" i="7"/>
  <c r="J60" i="8"/>
  <c r="H60" i="9"/>
  <c r="I29" i="2"/>
  <c r="I29" i="3" s="1"/>
  <c r="I29" i="4" s="1"/>
  <c r="I29" i="5" s="1"/>
  <c r="I29" i="6" s="1"/>
  <c r="I29" i="7" s="1"/>
  <c r="I29" i="8" s="1"/>
  <c r="I29" i="9" s="1"/>
  <c r="H29" i="2"/>
  <c r="H29" i="1"/>
  <c r="I29" i="1"/>
  <c r="E57" i="2"/>
  <c r="E58" i="2" s="1"/>
  <c r="D57" i="2"/>
  <c r="D58" i="2" s="1"/>
  <c r="E13" i="2"/>
  <c r="D13" i="2"/>
  <c r="E10" i="2"/>
  <c r="D10" i="2"/>
  <c r="E9" i="2"/>
  <c r="E17" i="2" s="1"/>
  <c r="D9" i="2"/>
  <c r="D17" i="2" s="1"/>
  <c r="J29" i="2" l="1"/>
  <c r="H29" i="3"/>
  <c r="H60" i="10"/>
  <c r="J60" i="9"/>
  <c r="L60" i="8"/>
  <c r="K60" i="8"/>
  <c r="I29" i="10"/>
  <c r="J29" i="1"/>
  <c r="K29" i="1" s="1"/>
  <c r="K29" i="2"/>
  <c r="L29" i="2"/>
  <c r="C62" i="2"/>
  <c r="G54" i="2"/>
  <c r="F54" i="2"/>
  <c r="E54" i="2"/>
  <c r="D54" i="2"/>
  <c r="C48" i="2"/>
  <c r="C23" i="2"/>
  <c r="C17" i="2"/>
  <c r="I29" i="11" l="1"/>
  <c r="I29" i="12" s="1"/>
  <c r="I29" i="13" s="1"/>
  <c r="H60" i="11"/>
  <c r="J60" i="10"/>
  <c r="H29" i="4"/>
  <c r="J29" i="3"/>
  <c r="K60" i="9"/>
  <c r="L60" i="9"/>
  <c r="L29" i="1"/>
  <c r="C54" i="2"/>
  <c r="C48" i="1"/>
  <c r="L60" i="10" l="1"/>
  <c r="K60" i="10"/>
  <c r="I29" i="14"/>
  <c r="L29" i="3"/>
  <c r="K29" i="3"/>
  <c r="H29" i="5"/>
  <c r="J29" i="4"/>
  <c r="H60" i="12"/>
  <c r="J60" i="11"/>
  <c r="H61" i="1"/>
  <c r="L29" i="4" l="1"/>
  <c r="K29" i="4"/>
  <c r="H60" i="13"/>
  <c r="J60" i="12"/>
  <c r="L60" i="11"/>
  <c r="K60" i="11"/>
  <c r="H29" i="6"/>
  <c r="J29" i="5"/>
  <c r="H61" i="2"/>
  <c r="H62" i="3" s="1"/>
  <c r="H62" i="1"/>
  <c r="I61" i="1"/>
  <c r="I57" i="1"/>
  <c r="H57" i="1"/>
  <c r="I53" i="1"/>
  <c r="I53" i="2" s="1"/>
  <c r="I53" i="3" s="1"/>
  <c r="I53" i="4" s="1"/>
  <c r="I53" i="5" s="1"/>
  <c r="I53" i="6" s="1"/>
  <c r="H53" i="1"/>
  <c r="H53" i="2" s="1"/>
  <c r="H53" i="3" s="1"/>
  <c r="I52" i="1"/>
  <c r="I52" i="2" s="1"/>
  <c r="I52" i="3" s="1"/>
  <c r="I52" i="4" s="1"/>
  <c r="I52" i="5" s="1"/>
  <c r="I52" i="6" s="1"/>
  <c r="I52" i="7" s="1"/>
  <c r="I52" i="8" s="1"/>
  <c r="I52" i="9" s="1"/>
  <c r="I52" i="10" s="1"/>
  <c r="I52" i="11" s="1"/>
  <c r="H52" i="1"/>
  <c r="H52" i="2" s="1"/>
  <c r="H52" i="3" s="1"/>
  <c r="I51" i="1"/>
  <c r="I51" i="2" s="1"/>
  <c r="I51" i="3" s="1"/>
  <c r="I51" i="4" s="1"/>
  <c r="I51" i="5" s="1"/>
  <c r="I51" i="6" s="1"/>
  <c r="I51" i="7" s="1"/>
  <c r="I51" i="8" s="1"/>
  <c r="H51" i="1"/>
  <c r="H51" i="2" s="1"/>
  <c r="I50" i="1"/>
  <c r="I50" i="2" s="1"/>
  <c r="I50" i="3" s="1"/>
  <c r="I50" i="4" s="1"/>
  <c r="I50" i="5" s="1"/>
  <c r="I50" i="6" s="1"/>
  <c r="I50" i="7" s="1"/>
  <c r="I50" i="8" s="1"/>
  <c r="I50" i="9" s="1"/>
  <c r="H50" i="1"/>
  <c r="H50" i="2" s="1"/>
  <c r="H50" i="3" s="1"/>
  <c r="I49" i="1"/>
  <c r="I49" i="2" s="1"/>
  <c r="I49" i="3" s="1"/>
  <c r="I49" i="4" s="1"/>
  <c r="I49" i="5" s="1"/>
  <c r="I49" i="6" s="1"/>
  <c r="I49" i="7" s="1"/>
  <c r="I49" i="8" s="1"/>
  <c r="I49" i="9" s="1"/>
  <c r="I49" i="10" s="1"/>
  <c r="I49" i="11" s="1"/>
  <c r="I49" i="12" s="1"/>
  <c r="I49" i="13" s="1"/>
  <c r="H49" i="1"/>
  <c r="H49" i="2" s="1"/>
  <c r="H49" i="3" s="1"/>
  <c r="I48" i="1"/>
  <c r="I48" i="2" s="1"/>
  <c r="I48" i="3" s="1"/>
  <c r="I48" i="4" s="1"/>
  <c r="I48" i="5" s="1"/>
  <c r="I48" i="6" s="1"/>
  <c r="I48" i="7" s="1"/>
  <c r="I48" i="8" s="1"/>
  <c r="I48" i="9" s="1"/>
  <c r="I48" i="10" s="1"/>
  <c r="I48" i="11" s="1"/>
  <c r="I48" i="12" s="1"/>
  <c r="I48" i="13" s="1"/>
  <c r="H48" i="1"/>
  <c r="H48" i="2" s="1"/>
  <c r="H48" i="3" s="1"/>
  <c r="I47" i="1"/>
  <c r="I47" i="2" s="1"/>
  <c r="I47" i="3" s="1"/>
  <c r="I47" i="4" s="1"/>
  <c r="I47" i="5" s="1"/>
  <c r="I47" i="6" s="1"/>
  <c r="I47" i="7" s="1"/>
  <c r="I47" i="8" s="1"/>
  <c r="I47" i="9" s="1"/>
  <c r="I47" i="10" s="1"/>
  <c r="I47" i="11" s="1"/>
  <c r="I47" i="12" s="1"/>
  <c r="I47" i="13" s="1"/>
  <c r="H47" i="1"/>
  <c r="H47" i="2" s="1"/>
  <c r="H47" i="3" s="1"/>
  <c r="I46" i="1"/>
  <c r="I46" i="2" s="1"/>
  <c r="I46" i="3" s="1"/>
  <c r="I46" i="4" s="1"/>
  <c r="I46" i="5" s="1"/>
  <c r="I46" i="6" s="1"/>
  <c r="I46" i="7" s="1"/>
  <c r="I46" i="8" s="1"/>
  <c r="I46" i="9" s="1"/>
  <c r="I46" i="10" s="1"/>
  <c r="I46" i="11" s="1"/>
  <c r="I46" i="12" s="1"/>
  <c r="I46" i="13" s="1"/>
  <c r="H46" i="1"/>
  <c r="H46" i="2" s="1"/>
  <c r="I45" i="1"/>
  <c r="I45" i="2" s="1"/>
  <c r="I45" i="3" s="1"/>
  <c r="I45" i="4" s="1"/>
  <c r="H45" i="1"/>
  <c r="H45" i="2" s="1"/>
  <c r="H45" i="3" s="1"/>
  <c r="I44" i="1"/>
  <c r="I44" i="2" s="1"/>
  <c r="I44" i="3" s="1"/>
  <c r="I44" i="4" s="1"/>
  <c r="I44" i="5" s="1"/>
  <c r="H44" i="1"/>
  <c r="H44" i="2" s="1"/>
  <c r="H44" i="3" s="1"/>
  <c r="I43" i="1"/>
  <c r="I43" i="2" s="1"/>
  <c r="I43" i="3" s="1"/>
  <c r="I43" i="4" s="1"/>
  <c r="I43" i="5" s="1"/>
  <c r="I43" i="6" s="1"/>
  <c r="I43" i="7" s="1"/>
  <c r="I43" i="8" s="1"/>
  <c r="I43" i="9" s="1"/>
  <c r="I43" i="10" s="1"/>
  <c r="I43" i="11" s="1"/>
  <c r="I43" i="12" s="1"/>
  <c r="I43" i="13" s="1"/>
  <c r="H43" i="1"/>
  <c r="H43" i="2" s="1"/>
  <c r="H43" i="3" s="1"/>
  <c r="I42" i="1"/>
  <c r="I42" i="2" s="1"/>
  <c r="I42" i="3" s="1"/>
  <c r="I42" i="4" s="1"/>
  <c r="I42" i="5" s="1"/>
  <c r="H42" i="1"/>
  <c r="H42" i="2" s="1"/>
  <c r="H42" i="3" s="1"/>
  <c r="I41" i="1"/>
  <c r="I41" i="2" s="1"/>
  <c r="I41" i="3" s="1"/>
  <c r="I41" i="4" s="1"/>
  <c r="I41" i="5" s="1"/>
  <c r="I41" i="6" s="1"/>
  <c r="I41" i="7" s="1"/>
  <c r="I41" i="8" s="1"/>
  <c r="I41" i="9" s="1"/>
  <c r="I41" i="10" s="1"/>
  <c r="I41" i="11" s="1"/>
  <c r="I41" i="12" s="1"/>
  <c r="I41" i="13" s="1"/>
  <c r="H41" i="1"/>
  <c r="H41" i="2" s="1"/>
  <c r="H41" i="3" s="1"/>
  <c r="I40" i="1"/>
  <c r="I40" i="2" s="1"/>
  <c r="I40" i="3" s="1"/>
  <c r="I40" i="4" s="1"/>
  <c r="I40" i="5" s="1"/>
  <c r="I40" i="6" s="1"/>
  <c r="I40" i="7" s="1"/>
  <c r="I40" i="8" s="1"/>
  <c r="I40" i="9" s="1"/>
  <c r="I40" i="10" s="1"/>
  <c r="I40" i="11" s="1"/>
  <c r="I40" i="12" s="1"/>
  <c r="I40" i="13" s="1"/>
  <c r="H40" i="1"/>
  <c r="H40" i="2" s="1"/>
  <c r="H40" i="3" s="1"/>
  <c r="I39" i="1"/>
  <c r="I39" i="2" s="1"/>
  <c r="I39" i="3" s="1"/>
  <c r="I39" i="4" s="1"/>
  <c r="I39" i="5" s="1"/>
  <c r="I39" i="6" s="1"/>
  <c r="H39" i="1"/>
  <c r="H39" i="2" s="1"/>
  <c r="H39" i="3" s="1"/>
  <c r="I38" i="1"/>
  <c r="I38" i="2" s="1"/>
  <c r="I38" i="3" s="1"/>
  <c r="I38" i="4" s="1"/>
  <c r="I38" i="5" s="1"/>
  <c r="I38" i="6" s="1"/>
  <c r="H38" i="1"/>
  <c r="H38" i="2" s="1"/>
  <c r="I37" i="1"/>
  <c r="I37" i="2" s="1"/>
  <c r="I37" i="3" s="1"/>
  <c r="I37" i="4" s="1"/>
  <c r="I37" i="5" s="1"/>
  <c r="I37" i="6" s="1"/>
  <c r="I37" i="7" s="1"/>
  <c r="I37" i="8" s="1"/>
  <c r="I37" i="9" s="1"/>
  <c r="I37" i="10" s="1"/>
  <c r="H37" i="1"/>
  <c r="H37" i="2" s="1"/>
  <c r="I36" i="1"/>
  <c r="H36" i="1"/>
  <c r="I28" i="1"/>
  <c r="H28" i="1"/>
  <c r="I22" i="1"/>
  <c r="I22" i="2" s="1"/>
  <c r="I22" i="3" s="1"/>
  <c r="I22" i="4" s="1"/>
  <c r="I22" i="5" s="1"/>
  <c r="I22" i="6" s="1"/>
  <c r="I22" i="7" s="1"/>
  <c r="I22" i="8" s="1"/>
  <c r="I22" i="9" s="1"/>
  <c r="I22" i="10" s="1"/>
  <c r="I22" i="11" s="1"/>
  <c r="I22" i="12" s="1"/>
  <c r="I22" i="13" s="1"/>
  <c r="H22" i="1"/>
  <c r="H22" i="2" s="1"/>
  <c r="H22" i="3" s="1"/>
  <c r="I21" i="1"/>
  <c r="I21" i="2" s="1"/>
  <c r="I21" i="3" s="1"/>
  <c r="I21" i="4" s="1"/>
  <c r="I21" i="5" s="1"/>
  <c r="I21" i="6" s="1"/>
  <c r="I21" i="7" s="1"/>
  <c r="I21" i="8" s="1"/>
  <c r="I21" i="9" s="1"/>
  <c r="I21" i="10" s="1"/>
  <c r="I21" i="11" s="1"/>
  <c r="I21" i="12" s="1"/>
  <c r="I21" i="13" s="1"/>
  <c r="H21" i="1"/>
  <c r="H21" i="2" s="1"/>
  <c r="H21" i="3" s="1"/>
  <c r="I20" i="1"/>
  <c r="H20" i="1"/>
  <c r="I16" i="1"/>
  <c r="I16" i="2" s="1"/>
  <c r="I16" i="3" s="1"/>
  <c r="I16" i="4" s="1"/>
  <c r="I16" i="5" s="1"/>
  <c r="I16" i="6" s="1"/>
  <c r="I16" i="7" s="1"/>
  <c r="I16" i="8" s="1"/>
  <c r="I16" i="9" s="1"/>
  <c r="I16" i="10" s="1"/>
  <c r="I16" i="11" s="1"/>
  <c r="I16" i="12" s="1"/>
  <c r="I16" i="13" s="1"/>
  <c r="H16" i="1"/>
  <c r="H16" i="2" s="1"/>
  <c r="H16" i="3" s="1"/>
  <c r="I15" i="1"/>
  <c r="I15" i="2" s="1"/>
  <c r="I15" i="3" s="1"/>
  <c r="I15" i="4" s="1"/>
  <c r="I15" i="5" s="1"/>
  <c r="I15" i="6" s="1"/>
  <c r="I15" i="7" s="1"/>
  <c r="I15" i="8" s="1"/>
  <c r="I15" i="9" s="1"/>
  <c r="I15" i="10" s="1"/>
  <c r="I15" i="11" s="1"/>
  <c r="I15" i="12" s="1"/>
  <c r="I15" i="13" s="1"/>
  <c r="H15" i="1"/>
  <c r="H15" i="2" s="1"/>
  <c r="I14" i="1"/>
  <c r="I14" i="2" s="1"/>
  <c r="I14" i="3" s="1"/>
  <c r="I14" i="4" s="1"/>
  <c r="I14" i="5" s="1"/>
  <c r="I14" i="6" s="1"/>
  <c r="I14" i="7" s="1"/>
  <c r="I14" i="8" s="1"/>
  <c r="I14" i="9" s="1"/>
  <c r="I14" i="10" s="1"/>
  <c r="I14" i="11" s="1"/>
  <c r="I14" i="12" s="1"/>
  <c r="I14" i="13" s="1"/>
  <c r="H14" i="1"/>
  <c r="H14" i="2" s="1"/>
  <c r="I13" i="1"/>
  <c r="I13" i="2" s="1"/>
  <c r="I13" i="3" s="1"/>
  <c r="I13" i="4" s="1"/>
  <c r="I13" i="5" s="1"/>
  <c r="I13" i="6" s="1"/>
  <c r="I13" i="7" s="1"/>
  <c r="I13" i="8" s="1"/>
  <c r="I13" i="9" s="1"/>
  <c r="I13" i="10" s="1"/>
  <c r="I13" i="11" s="1"/>
  <c r="I13" i="12" s="1"/>
  <c r="I13" i="13" s="1"/>
  <c r="H13" i="1"/>
  <c r="H13" i="2" s="1"/>
  <c r="H13" i="3" s="1"/>
  <c r="I12" i="1"/>
  <c r="I12" i="2" s="1"/>
  <c r="I12" i="3" s="1"/>
  <c r="I12" i="4" s="1"/>
  <c r="I12" i="5" s="1"/>
  <c r="I12" i="6" s="1"/>
  <c r="I12" i="7" s="1"/>
  <c r="I12" i="8" s="1"/>
  <c r="I12" i="9" s="1"/>
  <c r="I12" i="10" s="1"/>
  <c r="I12" i="11" s="1"/>
  <c r="I12" i="12" s="1"/>
  <c r="I12" i="13" s="1"/>
  <c r="H12" i="1"/>
  <c r="H12" i="2" s="1"/>
  <c r="H12" i="3" s="1"/>
  <c r="I11" i="1"/>
  <c r="I11" i="2" s="1"/>
  <c r="I11" i="3" s="1"/>
  <c r="I11" i="4" s="1"/>
  <c r="I11" i="5" s="1"/>
  <c r="I11" i="6" s="1"/>
  <c r="I11" i="7" s="1"/>
  <c r="I11" i="8" s="1"/>
  <c r="I11" i="9" s="1"/>
  <c r="I11" i="10" s="1"/>
  <c r="I11" i="11" s="1"/>
  <c r="I11" i="12" s="1"/>
  <c r="I11" i="13" s="1"/>
  <c r="H11" i="1"/>
  <c r="H11" i="2" s="1"/>
  <c r="H11" i="3" s="1"/>
  <c r="I10" i="1"/>
  <c r="I10" i="2" s="1"/>
  <c r="I10" i="3" s="1"/>
  <c r="I10" i="4" s="1"/>
  <c r="I10" i="5" s="1"/>
  <c r="I10" i="6" s="1"/>
  <c r="I10" i="7" s="1"/>
  <c r="I10" i="8" s="1"/>
  <c r="I10" i="9" s="1"/>
  <c r="I10" i="10" s="1"/>
  <c r="I10" i="11" s="1"/>
  <c r="I10" i="12" s="1"/>
  <c r="I10" i="13" s="1"/>
  <c r="H10" i="1"/>
  <c r="H10" i="2" s="1"/>
  <c r="H10" i="3" s="1"/>
  <c r="I9" i="1"/>
  <c r="I9" i="2" s="1"/>
  <c r="I9" i="3" s="1"/>
  <c r="I9" i="4" s="1"/>
  <c r="I9" i="5" s="1"/>
  <c r="I9" i="6" s="1"/>
  <c r="I9" i="7" s="1"/>
  <c r="I9" i="8" s="1"/>
  <c r="I9" i="9" s="1"/>
  <c r="I9" i="10" s="1"/>
  <c r="I9" i="11" s="1"/>
  <c r="I9" i="12" s="1"/>
  <c r="I9" i="13" s="1"/>
  <c r="H9" i="1"/>
  <c r="H9" i="2" s="1"/>
  <c r="I8" i="1"/>
  <c r="H8" i="1"/>
  <c r="I26" i="1"/>
  <c r="H26" i="1"/>
  <c r="H3" i="1"/>
  <c r="I3" i="1"/>
  <c r="H4" i="1"/>
  <c r="H4" i="2" s="1"/>
  <c r="H4" i="3" s="1"/>
  <c r="I4" i="1"/>
  <c r="I4" i="2" s="1"/>
  <c r="I4" i="3" s="1"/>
  <c r="I4" i="4" s="1"/>
  <c r="I4" i="5" s="1"/>
  <c r="I4" i="6" s="1"/>
  <c r="I4" i="7" s="1"/>
  <c r="I4" i="8" s="1"/>
  <c r="I4" i="9" s="1"/>
  <c r="I4" i="10" s="1"/>
  <c r="I4" i="11" s="1"/>
  <c r="I4" i="12" s="1"/>
  <c r="I4" i="13" s="1"/>
  <c r="H27" i="1"/>
  <c r="H27" i="2" s="1"/>
  <c r="H27" i="3" s="1"/>
  <c r="I27" i="1"/>
  <c r="I27" i="2" s="1"/>
  <c r="I27" i="3" s="1"/>
  <c r="I27" i="4" s="1"/>
  <c r="I27" i="5" s="1"/>
  <c r="I27" i="6" s="1"/>
  <c r="I27" i="7" s="1"/>
  <c r="I27" i="8" s="1"/>
  <c r="I27" i="9" s="1"/>
  <c r="I27" i="10" s="1"/>
  <c r="I27" i="11" s="1"/>
  <c r="I53" i="7" l="1"/>
  <c r="I53" i="8" s="1"/>
  <c r="I53" i="9" s="1"/>
  <c r="I53" i="10" s="1"/>
  <c r="I53" i="11" s="1"/>
  <c r="I53" i="12" s="1"/>
  <c r="I53" i="13" s="1"/>
  <c r="H26" i="2"/>
  <c r="H30" i="1"/>
  <c r="J15" i="2"/>
  <c r="H15" i="3"/>
  <c r="J46" i="2"/>
  <c r="H46" i="3"/>
  <c r="H57" i="2"/>
  <c r="H58" i="1"/>
  <c r="H3" i="2"/>
  <c r="H5" i="1"/>
  <c r="I46" i="14"/>
  <c r="I57" i="2"/>
  <c r="I58" i="1"/>
  <c r="I15" i="14"/>
  <c r="H8" i="2"/>
  <c r="H17" i="1"/>
  <c r="H16" i="4"/>
  <c r="J16" i="3"/>
  <c r="H47" i="4"/>
  <c r="J47" i="3"/>
  <c r="I45" i="5"/>
  <c r="I45" i="6" s="1"/>
  <c r="I45" i="7" s="1"/>
  <c r="I45" i="8" s="1"/>
  <c r="I45" i="9" s="1"/>
  <c r="I45" i="10" s="1"/>
  <c r="I45" i="11" s="1"/>
  <c r="I45" i="12" s="1"/>
  <c r="I45" i="13" s="1"/>
  <c r="I26" i="2"/>
  <c r="I30" i="1"/>
  <c r="I8" i="2"/>
  <c r="I17" i="1"/>
  <c r="I47" i="14"/>
  <c r="I14" i="14"/>
  <c r="I39" i="7"/>
  <c r="I39" i="8" s="1"/>
  <c r="I39" i="9" s="1"/>
  <c r="J9" i="2"/>
  <c r="H9" i="3"/>
  <c r="H20" i="2"/>
  <c r="H23" i="1"/>
  <c r="H48" i="4"/>
  <c r="J48" i="3"/>
  <c r="I9" i="14"/>
  <c r="I20" i="2"/>
  <c r="I23" i="1"/>
  <c r="I48" i="14"/>
  <c r="I40" i="14"/>
  <c r="H10" i="4"/>
  <c r="J10" i="3"/>
  <c r="H21" i="4"/>
  <c r="J21" i="3"/>
  <c r="H41" i="4"/>
  <c r="J41" i="3"/>
  <c r="H49" i="4"/>
  <c r="J49" i="3"/>
  <c r="L29" i="5"/>
  <c r="K29" i="5"/>
  <c r="I38" i="7"/>
  <c r="I38" i="8" s="1"/>
  <c r="I38" i="9" s="1"/>
  <c r="I38" i="10" s="1"/>
  <c r="I49" i="14"/>
  <c r="H29" i="7"/>
  <c r="J29" i="6"/>
  <c r="I41" i="14"/>
  <c r="H11" i="4"/>
  <c r="J11" i="3"/>
  <c r="H22" i="4"/>
  <c r="J22" i="3"/>
  <c r="I22" i="14"/>
  <c r="I42" i="6"/>
  <c r="I42" i="7" s="1"/>
  <c r="I42" i="8" s="1"/>
  <c r="I42" i="9" s="1"/>
  <c r="I42" i="10" s="1"/>
  <c r="I42" i="11" s="1"/>
  <c r="I42" i="12" s="1"/>
  <c r="I42" i="13" s="1"/>
  <c r="I50" i="10"/>
  <c r="I50" i="11" s="1"/>
  <c r="I50" i="12" s="1"/>
  <c r="I50" i="13" s="1"/>
  <c r="I11" i="14"/>
  <c r="I27" i="12"/>
  <c r="I27" i="13" s="1"/>
  <c r="H12" i="4"/>
  <c r="J12" i="3"/>
  <c r="J51" i="2"/>
  <c r="H51" i="3"/>
  <c r="L60" i="12"/>
  <c r="K60" i="12"/>
  <c r="I16" i="14"/>
  <c r="H27" i="4"/>
  <c r="J27" i="3"/>
  <c r="I43" i="14"/>
  <c r="I51" i="9"/>
  <c r="I51" i="10" s="1"/>
  <c r="I51" i="11" s="1"/>
  <c r="I51" i="12" s="1"/>
  <c r="I51" i="13" s="1"/>
  <c r="J61" i="15"/>
  <c r="L61" i="15" s="1"/>
  <c r="H60" i="14"/>
  <c r="J60" i="14" s="1"/>
  <c r="J60" i="13"/>
  <c r="I10" i="14"/>
  <c r="I4" i="14"/>
  <c r="H13" i="4"/>
  <c r="J13" i="3"/>
  <c r="H52" i="4"/>
  <c r="J52" i="3"/>
  <c r="I21" i="14"/>
  <c r="I13" i="14"/>
  <c r="I52" i="12"/>
  <c r="I52" i="13" s="1"/>
  <c r="I37" i="12"/>
  <c r="I37" i="13" s="1"/>
  <c r="I37" i="11"/>
  <c r="I12" i="14"/>
  <c r="H4" i="4"/>
  <c r="J4" i="3"/>
  <c r="I44" i="6"/>
  <c r="I44" i="7" s="1"/>
  <c r="I44" i="8" s="1"/>
  <c r="I44" i="9" s="1"/>
  <c r="I44" i="10" s="1"/>
  <c r="I44" i="11" s="1"/>
  <c r="I44" i="12" s="1"/>
  <c r="I44" i="13" s="1"/>
  <c r="I3" i="2"/>
  <c r="I5" i="1"/>
  <c r="J14" i="2"/>
  <c r="L14" i="2" s="1"/>
  <c r="H14" i="3"/>
  <c r="J45" i="3"/>
  <c r="H45" i="4"/>
  <c r="H45" i="5" s="1"/>
  <c r="H53" i="4"/>
  <c r="J53" i="3"/>
  <c r="I61" i="2"/>
  <c r="I62" i="3" s="1"/>
  <c r="J62" i="3" s="1"/>
  <c r="I62" i="1"/>
  <c r="H62" i="2"/>
  <c r="I62" i="2"/>
  <c r="H63" i="3"/>
  <c r="H62" i="4"/>
  <c r="H64" i="5" s="1"/>
  <c r="I36" i="2"/>
  <c r="I36" i="3" s="1"/>
  <c r="I36" i="4" s="1"/>
  <c r="I54" i="1"/>
  <c r="H36" i="2"/>
  <c r="H36" i="3" s="1"/>
  <c r="H36" i="4" s="1"/>
  <c r="H36" i="5" s="1"/>
  <c r="H54" i="1"/>
  <c r="J50" i="3"/>
  <c r="H50" i="4"/>
  <c r="H42" i="4"/>
  <c r="J42" i="3"/>
  <c r="J43" i="3"/>
  <c r="H43" i="4"/>
  <c r="J44" i="3"/>
  <c r="H44" i="4"/>
  <c r="H40" i="4"/>
  <c r="J40" i="3"/>
  <c r="J37" i="2"/>
  <c r="L37" i="2" s="1"/>
  <c r="H37" i="3"/>
  <c r="J38" i="2"/>
  <c r="L38" i="2" s="1"/>
  <c r="H38" i="3"/>
  <c r="J39" i="3"/>
  <c r="H39" i="4"/>
  <c r="J45" i="2"/>
  <c r="K45" i="2" s="1"/>
  <c r="J40" i="2"/>
  <c r="L40" i="2" s="1"/>
  <c r="H28" i="2"/>
  <c r="H28" i="3" s="1"/>
  <c r="I28" i="2"/>
  <c r="I28" i="3" s="1"/>
  <c r="I28" i="4" s="1"/>
  <c r="I28" i="5" s="1"/>
  <c r="I28" i="6" s="1"/>
  <c r="I28" i="7" s="1"/>
  <c r="I28" i="8" s="1"/>
  <c r="I28" i="9" s="1"/>
  <c r="I28" i="10" s="1"/>
  <c r="I28" i="11" s="1"/>
  <c r="I28" i="12" s="1"/>
  <c r="I28" i="13" s="1"/>
  <c r="J16" i="2"/>
  <c r="L16" i="2" s="1"/>
  <c r="J39" i="2"/>
  <c r="L39" i="2" s="1"/>
  <c r="J47" i="2"/>
  <c r="L47" i="2" s="1"/>
  <c r="J48" i="2"/>
  <c r="J11" i="2"/>
  <c r="L11" i="2" s="1"/>
  <c r="J50" i="2"/>
  <c r="K50" i="2" s="1"/>
  <c r="J10" i="2"/>
  <c r="L10" i="2" s="1"/>
  <c r="J21" i="2"/>
  <c r="L21" i="2" s="1"/>
  <c r="J49" i="2"/>
  <c r="L49" i="2" s="1"/>
  <c r="J13" i="2"/>
  <c r="L13" i="2" s="1"/>
  <c r="J44" i="2"/>
  <c r="L44" i="2" s="1"/>
  <c r="J52" i="2"/>
  <c r="L52" i="2" s="1"/>
  <c r="J53" i="2"/>
  <c r="L53" i="2" s="1"/>
  <c r="L46" i="2"/>
  <c r="K46" i="2"/>
  <c r="K47" i="2"/>
  <c r="L48" i="2"/>
  <c r="K48" i="2"/>
  <c r="L51" i="2"/>
  <c r="K51" i="2"/>
  <c r="L15" i="2"/>
  <c r="K15" i="2"/>
  <c r="J12" i="2"/>
  <c r="J43" i="2"/>
  <c r="K43" i="2" s="1"/>
  <c r="L9" i="2"/>
  <c r="K9" i="2"/>
  <c r="J61" i="2"/>
  <c r="J62" i="2" s="1"/>
  <c r="J42" i="2"/>
  <c r="K42" i="2" s="1"/>
  <c r="K37" i="2"/>
  <c r="J22" i="2"/>
  <c r="L22" i="2" s="1"/>
  <c r="J20" i="2"/>
  <c r="J23" i="2" s="1"/>
  <c r="J8" i="2"/>
  <c r="J17" i="2" s="1"/>
  <c r="J3" i="2"/>
  <c r="J4" i="2"/>
  <c r="K4" i="2" s="1"/>
  <c r="J27" i="2"/>
  <c r="L27" i="2" s="1"/>
  <c r="J41" i="2"/>
  <c r="J3" i="1"/>
  <c r="J4" i="1"/>
  <c r="L4" i="1" s="1"/>
  <c r="J27" i="1"/>
  <c r="L27" i="1" s="1"/>
  <c r="J26" i="1"/>
  <c r="J8" i="1"/>
  <c r="J9" i="1"/>
  <c r="L9" i="1" s="1"/>
  <c r="J10" i="1"/>
  <c r="L10" i="1" s="1"/>
  <c r="J11" i="1"/>
  <c r="L11" i="1" s="1"/>
  <c r="J13" i="1"/>
  <c r="L13" i="1" s="1"/>
  <c r="J14" i="1"/>
  <c r="L14" i="1" s="1"/>
  <c r="J20" i="1"/>
  <c r="J21" i="1"/>
  <c r="L21" i="1" s="1"/>
  <c r="J22" i="1"/>
  <c r="L22" i="1" s="1"/>
  <c r="C23" i="1"/>
  <c r="J36" i="1"/>
  <c r="J37" i="1"/>
  <c r="L37" i="1" s="1"/>
  <c r="J38" i="1"/>
  <c r="L38" i="1" s="1"/>
  <c r="J40" i="1"/>
  <c r="L40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L47" i="1" s="1"/>
  <c r="J48" i="1"/>
  <c r="L48" i="1" s="1"/>
  <c r="J49" i="1"/>
  <c r="L49" i="1" s="1"/>
  <c r="J50" i="1"/>
  <c r="L50" i="1" s="1"/>
  <c r="J51" i="1"/>
  <c r="L51" i="1" s="1"/>
  <c r="J52" i="1"/>
  <c r="J53" i="1"/>
  <c r="L53" i="1" s="1"/>
  <c r="J57" i="1"/>
  <c r="J61" i="1"/>
  <c r="C62" i="1"/>
  <c r="H36" i="6" l="1"/>
  <c r="J39" i="4"/>
  <c r="H39" i="5"/>
  <c r="J50" i="4"/>
  <c r="H50" i="5"/>
  <c r="H45" i="6"/>
  <c r="J45" i="5"/>
  <c r="I57" i="3"/>
  <c r="I58" i="2"/>
  <c r="J42" i="4"/>
  <c r="H42" i="5"/>
  <c r="L45" i="3"/>
  <c r="K45" i="3"/>
  <c r="I50" i="14"/>
  <c r="I38" i="12"/>
  <c r="I38" i="13" s="1"/>
  <c r="I38" i="11"/>
  <c r="I33" i="1"/>
  <c r="H14" i="4"/>
  <c r="J14" i="3"/>
  <c r="I20" i="3"/>
  <c r="I23" i="2"/>
  <c r="I8" i="3"/>
  <c r="I17" i="2"/>
  <c r="L27" i="3"/>
  <c r="K27" i="3"/>
  <c r="I42" i="14"/>
  <c r="L52" i="3"/>
  <c r="K52" i="3"/>
  <c r="J27" i="4"/>
  <c r="H27" i="5"/>
  <c r="I26" i="3"/>
  <c r="I30" i="2"/>
  <c r="H3" i="3"/>
  <c r="H5" i="2"/>
  <c r="L3" i="2"/>
  <c r="J5" i="2"/>
  <c r="H52" i="5"/>
  <c r="J52" i="4"/>
  <c r="L49" i="3"/>
  <c r="K49" i="3"/>
  <c r="L48" i="3"/>
  <c r="K48" i="3"/>
  <c r="I45" i="14"/>
  <c r="L45" i="2"/>
  <c r="I44" i="14"/>
  <c r="L13" i="3"/>
  <c r="K13" i="3"/>
  <c r="H49" i="5"/>
  <c r="J49" i="4"/>
  <c r="H48" i="5"/>
  <c r="J48" i="4"/>
  <c r="J45" i="4"/>
  <c r="J57" i="2"/>
  <c r="H57" i="3"/>
  <c r="H58" i="2"/>
  <c r="L20" i="1"/>
  <c r="L23" i="1" s="1"/>
  <c r="J23" i="1"/>
  <c r="H65" i="5"/>
  <c r="H64" i="6"/>
  <c r="H13" i="5"/>
  <c r="J13" i="4"/>
  <c r="L22" i="3"/>
  <c r="K22" i="3"/>
  <c r="L41" i="3"/>
  <c r="K41" i="3"/>
  <c r="L47" i="3"/>
  <c r="K47" i="3"/>
  <c r="H46" i="4"/>
  <c r="J46" i="3"/>
  <c r="K38" i="2"/>
  <c r="L8" i="1"/>
  <c r="J17" i="1"/>
  <c r="I54" i="3"/>
  <c r="L26" i="1"/>
  <c r="L4" i="3"/>
  <c r="K4" i="3"/>
  <c r="H22" i="5"/>
  <c r="J22" i="4"/>
  <c r="H41" i="5"/>
  <c r="J41" i="4"/>
  <c r="H20" i="3"/>
  <c r="H23" i="2"/>
  <c r="H47" i="5"/>
  <c r="J47" i="4"/>
  <c r="J40" i="4"/>
  <c r="H40" i="5"/>
  <c r="J4" i="4"/>
  <c r="H4" i="5"/>
  <c r="H51" i="4"/>
  <c r="J51" i="3"/>
  <c r="L11" i="3"/>
  <c r="K11" i="3"/>
  <c r="L21" i="3"/>
  <c r="K21" i="3"/>
  <c r="H9" i="4"/>
  <c r="J9" i="3"/>
  <c r="L16" i="3"/>
  <c r="K16" i="3"/>
  <c r="H15" i="4"/>
  <c r="J15" i="3"/>
  <c r="I3" i="3"/>
  <c r="I5" i="2"/>
  <c r="L3" i="1"/>
  <c r="L5" i="1" s="1"/>
  <c r="J5" i="1"/>
  <c r="J44" i="4"/>
  <c r="H44" i="5"/>
  <c r="H11" i="5"/>
  <c r="J11" i="4"/>
  <c r="H21" i="5"/>
  <c r="J21" i="4"/>
  <c r="J16" i="4"/>
  <c r="H16" i="5"/>
  <c r="I51" i="14"/>
  <c r="H54" i="2"/>
  <c r="L12" i="3"/>
  <c r="K12" i="3"/>
  <c r="L10" i="3"/>
  <c r="K10" i="3"/>
  <c r="I39" i="10"/>
  <c r="I39" i="11" s="1"/>
  <c r="I39" i="12" s="1"/>
  <c r="H33" i="1"/>
  <c r="I28" i="14"/>
  <c r="J43" i="4"/>
  <c r="H43" i="5"/>
  <c r="L60" i="13"/>
  <c r="K60" i="13"/>
  <c r="H12" i="5"/>
  <c r="J12" i="4"/>
  <c r="H10" i="5"/>
  <c r="J10" i="4"/>
  <c r="H8" i="3"/>
  <c r="H17" i="2"/>
  <c r="J26" i="2"/>
  <c r="H26" i="3"/>
  <c r="H30" i="2"/>
  <c r="I54" i="4"/>
  <c r="I36" i="5"/>
  <c r="K14" i="2"/>
  <c r="H28" i="4"/>
  <c r="J28" i="3"/>
  <c r="I37" i="14"/>
  <c r="L60" i="14"/>
  <c r="K60" i="14"/>
  <c r="I27" i="14"/>
  <c r="L29" i="6"/>
  <c r="K29" i="6"/>
  <c r="I53" i="14"/>
  <c r="H53" i="5"/>
  <c r="J53" i="4"/>
  <c r="L57" i="1"/>
  <c r="L58" i="1" s="1"/>
  <c r="J58" i="1"/>
  <c r="L53" i="3"/>
  <c r="K53" i="3"/>
  <c r="I52" i="14"/>
  <c r="K61" i="15"/>
  <c r="J29" i="7"/>
  <c r="H29" i="8"/>
  <c r="L61" i="1"/>
  <c r="L62" i="1" s="1"/>
  <c r="J62" i="1"/>
  <c r="H63" i="4"/>
  <c r="K62" i="3"/>
  <c r="K63" i="3" s="1"/>
  <c r="L62" i="3"/>
  <c r="L63" i="3" s="1"/>
  <c r="J63" i="3"/>
  <c r="I63" i="3"/>
  <c r="I62" i="4"/>
  <c r="J36" i="3"/>
  <c r="L36" i="1"/>
  <c r="J36" i="2"/>
  <c r="L36" i="2" s="1"/>
  <c r="I54" i="2"/>
  <c r="L50" i="4"/>
  <c r="K50" i="4"/>
  <c r="L50" i="2"/>
  <c r="L50" i="3"/>
  <c r="K50" i="3"/>
  <c r="L44" i="4"/>
  <c r="K44" i="4"/>
  <c r="K42" i="4"/>
  <c r="L42" i="4"/>
  <c r="L44" i="3"/>
  <c r="K44" i="3"/>
  <c r="L43" i="4"/>
  <c r="K43" i="4"/>
  <c r="L43" i="3"/>
  <c r="K43" i="3"/>
  <c r="L42" i="3"/>
  <c r="K42" i="3"/>
  <c r="K39" i="4"/>
  <c r="L39" i="4"/>
  <c r="H38" i="4"/>
  <c r="J38" i="3"/>
  <c r="J54" i="3" s="1"/>
  <c r="K40" i="2"/>
  <c r="J37" i="3"/>
  <c r="H37" i="4"/>
  <c r="H54" i="3"/>
  <c r="L36" i="3"/>
  <c r="K36" i="3"/>
  <c r="L39" i="3"/>
  <c r="K39" i="3"/>
  <c r="J36" i="4"/>
  <c r="L40" i="3"/>
  <c r="K40" i="3"/>
  <c r="K40" i="4"/>
  <c r="L40" i="4"/>
  <c r="L4" i="2"/>
  <c r="K11" i="2"/>
  <c r="J28" i="2"/>
  <c r="K28" i="2" s="1"/>
  <c r="K10" i="2"/>
  <c r="K39" i="2"/>
  <c r="K22" i="2"/>
  <c r="K21" i="2"/>
  <c r="K16" i="2"/>
  <c r="K49" i="2"/>
  <c r="K53" i="2"/>
  <c r="K52" i="2"/>
  <c r="K44" i="2"/>
  <c r="L42" i="2"/>
  <c r="K13" i="2"/>
  <c r="L12" i="2"/>
  <c r="K12" i="2"/>
  <c r="L43" i="2"/>
  <c r="K3" i="2"/>
  <c r="K5" i="2" s="1"/>
  <c r="L61" i="2"/>
  <c r="L62" i="2" s="1"/>
  <c r="K61" i="2"/>
  <c r="K62" i="2" s="1"/>
  <c r="L20" i="2"/>
  <c r="L23" i="2" s="1"/>
  <c r="K20" i="2"/>
  <c r="L8" i="2"/>
  <c r="K8" i="2"/>
  <c r="K27" i="2"/>
  <c r="L41" i="2"/>
  <c r="J54" i="2"/>
  <c r="K41" i="2"/>
  <c r="K40" i="1"/>
  <c r="K52" i="1"/>
  <c r="L52" i="1"/>
  <c r="K22" i="1"/>
  <c r="K21" i="1"/>
  <c r="K20" i="1"/>
  <c r="K53" i="1"/>
  <c r="K43" i="1"/>
  <c r="K27" i="1"/>
  <c r="K50" i="1"/>
  <c r="K38" i="1"/>
  <c r="K9" i="1"/>
  <c r="K14" i="1"/>
  <c r="K47" i="1"/>
  <c r="C54" i="1"/>
  <c r="K51" i="1"/>
  <c r="K48" i="1"/>
  <c r="K46" i="1"/>
  <c r="K36" i="1"/>
  <c r="K11" i="1"/>
  <c r="K61" i="1"/>
  <c r="K62" i="1" s="1"/>
  <c r="K42" i="1"/>
  <c r="K49" i="1"/>
  <c r="J41" i="1"/>
  <c r="K45" i="1"/>
  <c r="J39" i="1"/>
  <c r="L39" i="1" s="1"/>
  <c r="J28" i="1"/>
  <c r="J30" i="1" s="1"/>
  <c r="K26" i="1"/>
  <c r="K10" i="1"/>
  <c r="J16" i="1"/>
  <c r="L16" i="1" s="1"/>
  <c r="J15" i="1"/>
  <c r="L15" i="1" s="1"/>
  <c r="K13" i="1"/>
  <c r="J12" i="1"/>
  <c r="L12" i="1" s="1"/>
  <c r="K57" i="1"/>
  <c r="K58" i="1" s="1"/>
  <c r="K8" i="1"/>
  <c r="K44" i="1"/>
  <c r="K3" i="1"/>
  <c r="K4" i="1"/>
  <c r="K37" i="1"/>
  <c r="C17" i="1"/>
  <c r="J8" i="3" l="1"/>
  <c r="H8" i="4"/>
  <c r="H17" i="3"/>
  <c r="H40" i="6"/>
  <c r="J40" i="5"/>
  <c r="L17" i="1"/>
  <c r="J29" i="8"/>
  <c r="H29" i="9"/>
  <c r="L10" i="4"/>
  <c r="K10" i="4"/>
  <c r="I3" i="4"/>
  <c r="I5" i="3"/>
  <c r="H42" i="6"/>
  <c r="J42" i="5"/>
  <c r="L29" i="7"/>
  <c r="K29" i="7"/>
  <c r="H10" i="6"/>
  <c r="J10" i="5"/>
  <c r="L15" i="3"/>
  <c r="K15" i="3"/>
  <c r="L47" i="4"/>
  <c r="K47" i="4"/>
  <c r="L46" i="3"/>
  <c r="K46" i="3"/>
  <c r="H59" i="3"/>
  <c r="H57" i="4"/>
  <c r="J57" i="3"/>
  <c r="L28" i="2"/>
  <c r="L12" i="4"/>
  <c r="K12" i="4"/>
  <c r="H15" i="5"/>
  <c r="J15" i="4"/>
  <c r="H47" i="6"/>
  <c r="J47" i="5"/>
  <c r="H46" i="5"/>
  <c r="J46" i="4"/>
  <c r="J58" i="2"/>
  <c r="L57" i="2"/>
  <c r="L58" i="2" s="1"/>
  <c r="K57" i="2"/>
  <c r="K58" i="2" s="1"/>
  <c r="H12" i="6"/>
  <c r="J12" i="5"/>
  <c r="L45" i="4"/>
  <c r="K45" i="4"/>
  <c r="L52" i="4"/>
  <c r="K52" i="4"/>
  <c r="I59" i="3"/>
  <c r="I57" i="4"/>
  <c r="H20" i="4"/>
  <c r="J20" i="3"/>
  <c r="H23" i="3"/>
  <c r="L48" i="4"/>
  <c r="K48" i="4"/>
  <c r="H52" i="6"/>
  <c r="J52" i="5"/>
  <c r="I8" i="4"/>
  <c r="I17" i="3"/>
  <c r="I33" i="3" s="1"/>
  <c r="H16" i="6"/>
  <c r="J16" i="5"/>
  <c r="L9" i="3"/>
  <c r="K9" i="3"/>
  <c r="L41" i="4"/>
  <c r="K41" i="4"/>
  <c r="H48" i="6"/>
  <c r="J48" i="5"/>
  <c r="L45" i="5"/>
  <c r="K45" i="5"/>
  <c r="K17" i="2"/>
  <c r="L28" i="3"/>
  <c r="K28" i="3"/>
  <c r="L16" i="4"/>
  <c r="K16" i="4"/>
  <c r="H9" i="5"/>
  <c r="J9" i="4"/>
  <c r="H41" i="6"/>
  <c r="J41" i="5"/>
  <c r="L49" i="4"/>
  <c r="K49" i="4"/>
  <c r="L5" i="2"/>
  <c r="I20" i="4"/>
  <c r="I23" i="3"/>
  <c r="H45" i="7"/>
  <c r="J45" i="6"/>
  <c r="L17" i="2"/>
  <c r="H28" i="5"/>
  <c r="J28" i="4"/>
  <c r="J43" i="5"/>
  <c r="H43" i="6"/>
  <c r="L21" i="4"/>
  <c r="K21" i="4"/>
  <c r="L22" i="4"/>
  <c r="K22" i="4"/>
  <c r="H49" i="6"/>
  <c r="J49" i="5"/>
  <c r="L14" i="3"/>
  <c r="K14" i="3"/>
  <c r="H50" i="6"/>
  <c r="J50" i="5"/>
  <c r="K23" i="2"/>
  <c r="I63" i="4"/>
  <c r="I64" i="5"/>
  <c r="H21" i="6"/>
  <c r="J21" i="5"/>
  <c r="J22" i="5"/>
  <c r="H22" i="6"/>
  <c r="H3" i="4"/>
  <c r="J3" i="3"/>
  <c r="H5" i="3"/>
  <c r="H14" i="5"/>
  <c r="J14" i="4"/>
  <c r="L4" i="4"/>
  <c r="K4" i="4"/>
  <c r="J38" i="4"/>
  <c r="H38" i="5"/>
  <c r="I36" i="6"/>
  <c r="I56" i="5"/>
  <c r="L11" i="4"/>
  <c r="K11" i="4"/>
  <c r="L13" i="4"/>
  <c r="K13" i="4"/>
  <c r="H39" i="6"/>
  <c r="J39" i="5"/>
  <c r="K36" i="2"/>
  <c r="L53" i="4"/>
  <c r="K53" i="4"/>
  <c r="H11" i="6"/>
  <c r="J11" i="5"/>
  <c r="H13" i="6"/>
  <c r="J13" i="5"/>
  <c r="I26" i="4"/>
  <c r="I30" i="3"/>
  <c r="H53" i="6"/>
  <c r="J53" i="5"/>
  <c r="H44" i="6"/>
  <c r="J44" i="5"/>
  <c r="L51" i="3"/>
  <c r="K51" i="3"/>
  <c r="H27" i="6"/>
  <c r="J27" i="5"/>
  <c r="I38" i="14"/>
  <c r="K23" i="1"/>
  <c r="J37" i="4"/>
  <c r="H37" i="5"/>
  <c r="H26" i="4"/>
  <c r="H30" i="3"/>
  <c r="J26" i="3"/>
  <c r="I39" i="13"/>
  <c r="H51" i="5"/>
  <c r="J51" i="4"/>
  <c r="H64" i="7"/>
  <c r="H65" i="6"/>
  <c r="L27" i="4"/>
  <c r="K27" i="4"/>
  <c r="J36" i="5"/>
  <c r="J33" i="1"/>
  <c r="K5" i="1"/>
  <c r="J30" i="2"/>
  <c r="K26" i="2"/>
  <c r="K30" i="2" s="1"/>
  <c r="L26" i="2"/>
  <c r="J4" i="5"/>
  <c r="H4" i="6"/>
  <c r="H36" i="7"/>
  <c r="J36" i="6"/>
  <c r="J62" i="4"/>
  <c r="H54" i="4"/>
  <c r="J54" i="1"/>
  <c r="J54" i="4"/>
  <c r="L36" i="4"/>
  <c r="K36" i="4"/>
  <c r="K37" i="4"/>
  <c r="L37" i="4"/>
  <c r="L38" i="3"/>
  <c r="K38" i="3"/>
  <c r="L37" i="3"/>
  <c r="K37" i="3"/>
  <c r="L38" i="4"/>
  <c r="K38" i="4"/>
  <c r="L28" i="1"/>
  <c r="L30" i="1" s="1"/>
  <c r="L33" i="1" s="1"/>
  <c r="L54" i="2"/>
  <c r="K54" i="2"/>
  <c r="K41" i="1"/>
  <c r="L41" i="1"/>
  <c r="L54" i="1" s="1"/>
  <c r="K39" i="1"/>
  <c r="K54" i="1" s="1"/>
  <c r="K12" i="1"/>
  <c r="K17" i="1" s="1"/>
  <c r="K16" i="1"/>
  <c r="K28" i="1"/>
  <c r="K30" i="1" s="1"/>
  <c r="K33" i="1" s="1"/>
  <c r="K15" i="1"/>
  <c r="L42" i="5" l="1"/>
  <c r="K42" i="5"/>
  <c r="L49" i="5"/>
  <c r="K49" i="5"/>
  <c r="H42" i="7"/>
  <c r="J42" i="6"/>
  <c r="L36" i="5"/>
  <c r="K36" i="5"/>
  <c r="H49" i="7"/>
  <c r="J49" i="6"/>
  <c r="I59" i="5"/>
  <c r="I59" i="4"/>
  <c r="L41" i="5"/>
  <c r="K41" i="5"/>
  <c r="K57" i="3"/>
  <c r="K59" i="3" s="1"/>
  <c r="J59" i="3"/>
  <c r="L57" i="3"/>
  <c r="L59" i="3" s="1"/>
  <c r="H48" i="7"/>
  <c r="J48" i="6"/>
  <c r="H14" i="6"/>
  <c r="J14" i="5"/>
  <c r="L39" i="5"/>
  <c r="K39" i="5"/>
  <c r="L3" i="3"/>
  <c r="L5" i="3" s="1"/>
  <c r="K3" i="3"/>
  <c r="K5" i="3" s="1"/>
  <c r="J5" i="3"/>
  <c r="H41" i="7"/>
  <c r="J41" i="6"/>
  <c r="L16" i="5"/>
  <c r="K16" i="5"/>
  <c r="H59" i="5"/>
  <c r="J57" i="4"/>
  <c r="H59" i="4"/>
  <c r="I3" i="5"/>
  <c r="I5" i="4"/>
  <c r="H16" i="7"/>
  <c r="J16" i="6"/>
  <c r="L12" i="5"/>
  <c r="K12" i="5"/>
  <c r="H11" i="7"/>
  <c r="J11" i="6"/>
  <c r="H22" i="7"/>
  <c r="J22" i="6"/>
  <c r="H9" i="6"/>
  <c r="J9" i="5"/>
  <c r="H12" i="7"/>
  <c r="J12" i="6"/>
  <c r="L11" i="5"/>
  <c r="K11" i="5"/>
  <c r="L14" i="4"/>
  <c r="K14" i="4"/>
  <c r="K36" i="6"/>
  <c r="L36" i="6"/>
  <c r="H44" i="7"/>
  <c r="J44" i="6"/>
  <c r="L22" i="5"/>
  <c r="K22" i="5"/>
  <c r="H43" i="7"/>
  <c r="J43" i="6"/>
  <c r="I8" i="5"/>
  <c r="I17" i="4"/>
  <c r="H29" i="10"/>
  <c r="J29" i="9"/>
  <c r="H15" i="6"/>
  <c r="J15" i="5"/>
  <c r="L53" i="5"/>
  <c r="K53" i="5"/>
  <c r="L21" i="5"/>
  <c r="K21" i="5"/>
  <c r="L43" i="5"/>
  <c r="K43" i="5"/>
  <c r="L52" i="5"/>
  <c r="K52" i="5"/>
  <c r="L29" i="8"/>
  <c r="K29" i="8"/>
  <c r="H36" i="8"/>
  <c r="H53" i="7"/>
  <c r="J53" i="6"/>
  <c r="H21" i="7"/>
  <c r="J21" i="6"/>
  <c r="L28" i="4"/>
  <c r="K28" i="4"/>
  <c r="H52" i="7"/>
  <c r="J52" i="6"/>
  <c r="L9" i="4"/>
  <c r="K9" i="4"/>
  <c r="J51" i="5"/>
  <c r="H51" i="6"/>
  <c r="L30" i="2"/>
  <c r="L33" i="2" s="1"/>
  <c r="L26" i="3"/>
  <c r="L30" i="3" s="1"/>
  <c r="J30" i="3"/>
  <c r="K26" i="3"/>
  <c r="K30" i="3" s="1"/>
  <c r="I65" i="5"/>
  <c r="I64" i="6"/>
  <c r="J64" i="5"/>
  <c r="H28" i="6"/>
  <c r="J28" i="5"/>
  <c r="L46" i="4"/>
  <c r="K46" i="4"/>
  <c r="L40" i="5"/>
  <c r="K40" i="5"/>
  <c r="H27" i="7"/>
  <c r="J27" i="6"/>
  <c r="H4" i="7"/>
  <c r="J4" i="6"/>
  <c r="I36" i="7"/>
  <c r="J36" i="7" s="1"/>
  <c r="I56" i="6"/>
  <c r="H46" i="6"/>
  <c r="J46" i="5"/>
  <c r="J40" i="6"/>
  <c r="H40" i="7"/>
  <c r="H3" i="5"/>
  <c r="J3" i="4"/>
  <c r="H5" i="4"/>
  <c r="L51" i="4"/>
  <c r="K51" i="4"/>
  <c r="L54" i="3"/>
  <c r="H26" i="5"/>
  <c r="H30" i="4"/>
  <c r="J26" i="4"/>
  <c r="I26" i="5"/>
  <c r="I30" i="4"/>
  <c r="L45" i="6"/>
  <c r="K45" i="6"/>
  <c r="L47" i="5"/>
  <c r="K47" i="5"/>
  <c r="L10" i="5"/>
  <c r="K10" i="5"/>
  <c r="H33" i="3"/>
  <c r="I20" i="5"/>
  <c r="I23" i="4"/>
  <c r="H64" i="8"/>
  <c r="H65" i="7"/>
  <c r="I39" i="14"/>
  <c r="L4" i="5"/>
  <c r="K4" i="5"/>
  <c r="H37" i="6"/>
  <c r="J37" i="5"/>
  <c r="J56" i="5" s="1"/>
  <c r="H56" i="5"/>
  <c r="L13" i="5"/>
  <c r="K13" i="5"/>
  <c r="J38" i="5"/>
  <c r="H38" i="6"/>
  <c r="K50" i="5"/>
  <c r="L50" i="5"/>
  <c r="H45" i="8"/>
  <c r="J45" i="7"/>
  <c r="L20" i="3"/>
  <c r="L23" i="3" s="1"/>
  <c r="K20" i="3"/>
  <c r="K23" i="3" s="1"/>
  <c r="J23" i="3"/>
  <c r="H47" i="7"/>
  <c r="J47" i="6"/>
  <c r="H10" i="7"/>
  <c r="J10" i="6"/>
  <c r="H8" i="5"/>
  <c r="J8" i="4"/>
  <c r="H17" i="4"/>
  <c r="L27" i="5"/>
  <c r="K27" i="5"/>
  <c r="H39" i="7"/>
  <c r="J39" i="6"/>
  <c r="L44" i="5"/>
  <c r="K44" i="5"/>
  <c r="K54" i="3"/>
  <c r="H13" i="7"/>
  <c r="J13" i="6"/>
  <c r="H50" i="7"/>
  <c r="J50" i="6"/>
  <c r="L48" i="5"/>
  <c r="K48" i="5"/>
  <c r="H20" i="5"/>
  <c r="H23" i="4"/>
  <c r="J20" i="4"/>
  <c r="L15" i="4"/>
  <c r="K15" i="4"/>
  <c r="L8" i="3"/>
  <c r="L17" i="3" s="1"/>
  <c r="L33" i="3" s="1"/>
  <c r="K8" i="3"/>
  <c r="K17" i="3" s="1"/>
  <c r="J17" i="3"/>
  <c r="L62" i="4"/>
  <c r="L63" i="4" s="1"/>
  <c r="J63" i="4"/>
  <c r="K62" i="4"/>
  <c r="K63" i="4" s="1"/>
  <c r="L54" i="4"/>
  <c r="K54" i="4"/>
  <c r="C33" i="1"/>
  <c r="C33" i="2"/>
  <c r="K33" i="2"/>
  <c r="G33" i="2"/>
  <c r="E33" i="2"/>
  <c r="I33" i="2"/>
  <c r="J33" i="2"/>
  <c r="H33" i="2"/>
  <c r="D33" i="2"/>
  <c r="F33" i="2"/>
  <c r="L36" i="7" l="1"/>
  <c r="K36" i="7"/>
  <c r="L50" i="6"/>
  <c r="K50" i="6"/>
  <c r="I33" i="4"/>
  <c r="H12" i="8"/>
  <c r="J12" i="7"/>
  <c r="I26" i="6"/>
  <c r="I30" i="5"/>
  <c r="I8" i="6"/>
  <c r="I17" i="5"/>
  <c r="L9" i="5"/>
  <c r="K9" i="5"/>
  <c r="H4" i="8"/>
  <c r="J4" i="7"/>
  <c r="J51" i="6"/>
  <c r="H51" i="7"/>
  <c r="L43" i="6"/>
  <c r="K43" i="6"/>
  <c r="H9" i="7"/>
  <c r="J9" i="6"/>
  <c r="L41" i="6"/>
  <c r="K41" i="6"/>
  <c r="L27" i="6"/>
  <c r="K27" i="6"/>
  <c r="L51" i="5"/>
  <c r="K51" i="5"/>
  <c r="H43" i="8"/>
  <c r="J43" i="7"/>
  <c r="L22" i="6"/>
  <c r="K22" i="6"/>
  <c r="H41" i="8"/>
  <c r="J41" i="7"/>
  <c r="H26" i="6"/>
  <c r="J26" i="5"/>
  <c r="H30" i="5"/>
  <c r="J22" i="7"/>
  <c r="H22" i="8"/>
  <c r="I59" i="6"/>
  <c r="I61" i="5"/>
  <c r="L11" i="6"/>
  <c r="K11" i="6"/>
  <c r="L49" i="6"/>
  <c r="K49" i="6"/>
  <c r="H65" i="8"/>
  <c r="H64" i="9"/>
  <c r="L52" i="6"/>
  <c r="K52" i="6"/>
  <c r="L44" i="6"/>
  <c r="K44" i="6"/>
  <c r="H11" i="8"/>
  <c r="J11" i="7"/>
  <c r="H49" i="8"/>
  <c r="J49" i="7"/>
  <c r="H50" i="8"/>
  <c r="J50" i="7"/>
  <c r="K33" i="3"/>
  <c r="H52" i="8"/>
  <c r="J52" i="7"/>
  <c r="H44" i="8"/>
  <c r="J44" i="7"/>
  <c r="K47" i="6"/>
  <c r="L47" i="6"/>
  <c r="J33" i="3"/>
  <c r="H39" i="8"/>
  <c r="J39" i="7"/>
  <c r="I20" i="6"/>
  <c r="I23" i="5"/>
  <c r="I36" i="8"/>
  <c r="I56" i="7"/>
  <c r="L13" i="6"/>
  <c r="K13" i="6"/>
  <c r="H38" i="7"/>
  <c r="J38" i="6"/>
  <c r="J5" i="4"/>
  <c r="L3" i="4"/>
  <c r="L5" i="4" s="1"/>
  <c r="K3" i="4"/>
  <c r="K5" i="4" s="1"/>
  <c r="L28" i="5"/>
  <c r="K28" i="5"/>
  <c r="L16" i="6"/>
  <c r="K16" i="6"/>
  <c r="L14" i="5"/>
  <c r="K14" i="5"/>
  <c r="L26" i="4"/>
  <c r="L30" i="4" s="1"/>
  <c r="K26" i="4"/>
  <c r="K30" i="4" s="1"/>
  <c r="J30" i="4"/>
  <c r="L38" i="5"/>
  <c r="L56" i="5" s="1"/>
  <c r="K38" i="5"/>
  <c r="H3" i="6"/>
  <c r="J3" i="5"/>
  <c r="H5" i="5"/>
  <c r="H28" i="7"/>
  <c r="J28" i="6"/>
  <c r="L21" i="6"/>
  <c r="K21" i="6"/>
  <c r="H16" i="8"/>
  <c r="J16" i="7"/>
  <c r="H14" i="7"/>
  <c r="J14" i="6"/>
  <c r="L42" i="6"/>
  <c r="K42" i="6"/>
  <c r="H33" i="4"/>
  <c r="J40" i="7"/>
  <c r="H40" i="8"/>
  <c r="J65" i="5"/>
  <c r="K64" i="5"/>
  <c r="K65" i="5" s="1"/>
  <c r="L64" i="5"/>
  <c r="L65" i="5" s="1"/>
  <c r="H21" i="8"/>
  <c r="J21" i="7"/>
  <c r="K48" i="6"/>
  <c r="L48" i="6"/>
  <c r="H42" i="8"/>
  <c r="J42" i="7"/>
  <c r="K4" i="6"/>
  <c r="L4" i="6"/>
  <c r="L8" i="4"/>
  <c r="L17" i="4" s="1"/>
  <c r="K8" i="4"/>
  <c r="K17" i="4" s="1"/>
  <c r="K33" i="4" s="1"/>
  <c r="J17" i="4"/>
  <c r="L40" i="6"/>
  <c r="K40" i="6"/>
  <c r="I64" i="7"/>
  <c r="I65" i="6"/>
  <c r="J64" i="6"/>
  <c r="L53" i="6"/>
  <c r="K53" i="6"/>
  <c r="L15" i="5"/>
  <c r="K15" i="5"/>
  <c r="I3" i="6"/>
  <c r="I5" i="5"/>
  <c r="J48" i="7"/>
  <c r="H48" i="8"/>
  <c r="H47" i="8"/>
  <c r="J47" i="7"/>
  <c r="H13" i="8"/>
  <c r="J13" i="7"/>
  <c r="L45" i="7"/>
  <c r="K45" i="7"/>
  <c r="H20" i="6"/>
  <c r="J20" i="5"/>
  <c r="H23" i="5"/>
  <c r="L46" i="5"/>
  <c r="K46" i="5"/>
  <c r="J53" i="7"/>
  <c r="H53" i="8"/>
  <c r="H15" i="7"/>
  <c r="J15" i="6"/>
  <c r="H45" i="9"/>
  <c r="J45" i="8"/>
  <c r="L20" i="4"/>
  <c r="L23" i="4" s="1"/>
  <c r="K20" i="4"/>
  <c r="K23" i="4" s="1"/>
  <c r="J23" i="4"/>
  <c r="L10" i="6"/>
  <c r="K10" i="6"/>
  <c r="L37" i="5"/>
  <c r="K37" i="5"/>
  <c r="K56" i="5" s="1"/>
  <c r="H46" i="7"/>
  <c r="J46" i="6"/>
  <c r="L29" i="9"/>
  <c r="K29" i="9"/>
  <c r="L57" i="4"/>
  <c r="L59" i="4" s="1"/>
  <c r="K57" i="4"/>
  <c r="K59" i="4" s="1"/>
  <c r="J59" i="4"/>
  <c r="H27" i="8"/>
  <c r="J27" i="7"/>
  <c r="L39" i="6"/>
  <c r="K39" i="6"/>
  <c r="H8" i="6"/>
  <c r="J8" i="5"/>
  <c r="H17" i="5"/>
  <c r="H33" i="5" s="1"/>
  <c r="H10" i="8"/>
  <c r="J10" i="7"/>
  <c r="H37" i="7"/>
  <c r="J37" i="6"/>
  <c r="H56" i="6"/>
  <c r="H36" i="9"/>
  <c r="H29" i="11"/>
  <c r="J29" i="10"/>
  <c r="L12" i="6"/>
  <c r="K12" i="6"/>
  <c r="H59" i="6"/>
  <c r="H61" i="5"/>
  <c r="J59" i="5"/>
  <c r="K3" i="5" l="1"/>
  <c r="K5" i="5" s="1"/>
  <c r="L3" i="5"/>
  <c r="L5" i="5" s="1"/>
  <c r="J5" i="5"/>
  <c r="J44" i="8"/>
  <c r="H44" i="9"/>
  <c r="H64" i="10"/>
  <c r="H65" i="9"/>
  <c r="L4" i="7"/>
  <c r="K4" i="7"/>
  <c r="L38" i="6"/>
  <c r="K38" i="6"/>
  <c r="L52" i="7"/>
  <c r="K52" i="7"/>
  <c r="H4" i="9"/>
  <c r="J4" i="8"/>
  <c r="H38" i="8"/>
  <c r="J38" i="7"/>
  <c r="H52" i="9"/>
  <c r="J52" i="8"/>
  <c r="L43" i="7"/>
  <c r="K43" i="7"/>
  <c r="J33" i="4"/>
  <c r="J43" i="8"/>
  <c r="H43" i="9"/>
  <c r="L47" i="7"/>
  <c r="K47" i="7"/>
  <c r="I33" i="5"/>
  <c r="J40" i="8"/>
  <c r="H40" i="9"/>
  <c r="L50" i="7"/>
  <c r="K50" i="7"/>
  <c r="I8" i="7"/>
  <c r="I17" i="6"/>
  <c r="L40" i="7"/>
  <c r="K40" i="7"/>
  <c r="H59" i="7"/>
  <c r="J59" i="6"/>
  <c r="H61" i="6"/>
  <c r="K27" i="7"/>
  <c r="L27" i="7"/>
  <c r="L14" i="6"/>
  <c r="K14" i="6"/>
  <c r="J36" i="8"/>
  <c r="I36" i="9"/>
  <c r="I56" i="8"/>
  <c r="H50" i="9"/>
  <c r="J50" i="8"/>
  <c r="I64" i="8"/>
  <c r="I65" i="7"/>
  <c r="J64" i="7"/>
  <c r="H8" i="7"/>
  <c r="H17" i="6"/>
  <c r="J8" i="6"/>
  <c r="L33" i="4"/>
  <c r="L15" i="6"/>
  <c r="K15" i="6"/>
  <c r="H14" i="8"/>
  <c r="J14" i="7"/>
  <c r="L49" i="7"/>
  <c r="K49" i="7"/>
  <c r="I26" i="7"/>
  <c r="I30" i="6"/>
  <c r="J47" i="8"/>
  <c r="H47" i="9"/>
  <c r="J29" i="11"/>
  <c r="H29" i="12"/>
  <c r="L42" i="7"/>
  <c r="K42" i="7"/>
  <c r="L16" i="7"/>
  <c r="K16" i="7"/>
  <c r="I20" i="7"/>
  <c r="I23" i="6"/>
  <c r="H49" i="9"/>
  <c r="J49" i="8"/>
  <c r="I59" i="7"/>
  <c r="I61" i="6"/>
  <c r="L12" i="7"/>
  <c r="K12" i="7"/>
  <c r="H3" i="7"/>
  <c r="H5" i="6"/>
  <c r="J3" i="6"/>
  <c r="I3" i="7"/>
  <c r="I5" i="6"/>
  <c r="H42" i="9"/>
  <c r="J42" i="8"/>
  <c r="H16" i="9"/>
  <c r="J16" i="8"/>
  <c r="L39" i="7"/>
  <c r="K39" i="7"/>
  <c r="L11" i="7"/>
  <c r="K11" i="7"/>
  <c r="H22" i="9"/>
  <c r="J22" i="8"/>
  <c r="H12" i="9"/>
  <c r="J12" i="8"/>
  <c r="L8" i="5"/>
  <c r="L17" i="5" s="1"/>
  <c r="J17" i="5"/>
  <c r="K8" i="5"/>
  <c r="K17" i="5" s="1"/>
  <c r="L59" i="5"/>
  <c r="L61" i="5" s="1"/>
  <c r="J61" i="5"/>
  <c r="K59" i="5"/>
  <c r="K61" i="5" s="1"/>
  <c r="J45" i="9"/>
  <c r="H45" i="10"/>
  <c r="L53" i="7"/>
  <c r="K53" i="7"/>
  <c r="J39" i="8"/>
  <c r="H39" i="9"/>
  <c r="H11" i="9"/>
  <c r="J11" i="8"/>
  <c r="L22" i="7"/>
  <c r="K22" i="7"/>
  <c r="L9" i="6"/>
  <c r="K9" i="6"/>
  <c r="L29" i="10"/>
  <c r="K29" i="10"/>
  <c r="H9" i="8"/>
  <c r="J9" i="7"/>
  <c r="H13" i="9"/>
  <c r="J13" i="8"/>
  <c r="L37" i="6"/>
  <c r="K37" i="6"/>
  <c r="J56" i="6"/>
  <c r="L46" i="6"/>
  <c r="K46" i="6"/>
  <c r="K21" i="7"/>
  <c r="L21" i="7"/>
  <c r="L26" i="5"/>
  <c r="L30" i="5" s="1"/>
  <c r="J30" i="5"/>
  <c r="K26" i="5"/>
  <c r="K30" i="5" s="1"/>
  <c r="J27" i="8"/>
  <c r="H27" i="9"/>
  <c r="J53" i="8"/>
  <c r="H53" i="9"/>
  <c r="H37" i="8"/>
  <c r="J37" i="7"/>
  <c r="H56" i="7"/>
  <c r="H46" i="8"/>
  <c r="J46" i="7"/>
  <c r="H21" i="9"/>
  <c r="J21" i="8"/>
  <c r="L28" i="6"/>
  <c r="K28" i="6"/>
  <c r="H26" i="7"/>
  <c r="H30" i="6"/>
  <c r="J26" i="6"/>
  <c r="H48" i="9"/>
  <c r="J48" i="8"/>
  <c r="H15" i="8"/>
  <c r="J15" i="7"/>
  <c r="H36" i="10"/>
  <c r="J36" i="9"/>
  <c r="J65" i="6"/>
  <c r="L64" i="6"/>
  <c r="L65" i="6" s="1"/>
  <c r="K64" i="6"/>
  <c r="K65" i="6" s="1"/>
  <c r="H28" i="8"/>
  <c r="J28" i="7"/>
  <c r="L41" i="7"/>
  <c r="K41" i="7"/>
  <c r="H51" i="8"/>
  <c r="J51" i="7"/>
  <c r="L13" i="7"/>
  <c r="K13" i="7"/>
  <c r="L45" i="8"/>
  <c r="K45" i="8"/>
  <c r="L48" i="7"/>
  <c r="K48" i="7"/>
  <c r="L10" i="7"/>
  <c r="K10" i="7"/>
  <c r="L20" i="5"/>
  <c r="L23" i="5" s="1"/>
  <c r="J23" i="5"/>
  <c r="K20" i="5"/>
  <c r="K23" i="5" s="1"/>
  <c r="H10" i="9"/>
  <c r="J10" i="8"/>
  <c r="H20" i="7"/>
  <c r="J20" i="6"/>
  <c r="H23" i="6"/>
  <c r="L44" i="7"/>
  <c r="K44" i="7"/>
  <c r="H41" i="9"/>
  <c r="J41" i="8"/>
  <c r="L51" i="6"/>
  <c r="K51" i="6"/>
  <c r="L12" i="8" l="1"/>
  <c r="K12" i="8"/>
  <c r="H3" i="8"/>
  <c r="H5" i="7"/>
  <c r="J3" i="7"/>
  <c r="L47" i="8"/>
  <c r="K47" i="8"/>
  <c r="L50" i="8"/>
  <c r="K50" i="8"/>
  <c r="L4" i="8"/>
  <c r="K4" i="8"/>
  <c r="H50" i="10"/>
  <c r="J50" i="9"/>
  <c r="H4" i="10"/>
  <c r="J4" i="9"/>
  <c r="I26" i="8"/>
  <c r="I30" i="7"/>
  <c r="J40" i="9"/>
  <c r="H40" i="10"/>
  <c r="L28" i="7"/>
  <c r="K28" i="7"/>
  <c r="H22" i="10"/>
  <c r="J22" i="9"/>
  <c r="I36" i="10"/>
  <c r="I56" i="9"/>
  <c r="L40" i="8"/>
  <c r="K40" i="8"/>
  <c r="H10" i="10"/>
  <c r="J10" i="9"/>
  <c r="L46" i="7"/>
  <c r="K46" i="7"/>
  <c r="I59" i="8"/>
  <c r="I61" i="7"/>
  <c r="L36" i="8"/>
  <c r="K36" i="8"/>
  <c r="L39" i="8"/>
  <c r="K39" i="8"/>
  <c r="K49" i="8"/>
  <c r="L49" i="8"/>
  <c r="L14" i="7"/>
  <c r="K14" i="7"/>
  <c r="L56" i="6"/>
  <c r="H49" i="10"/>
  <c r="J49" i="9"/>
  <c r="H14" i="9"/>
  <c r="J14" i="8"/>
  <c r="L21" i="8"/>
  <c r="K21" i="8"/>
  <c r="L37" i="7"/>
  <c r="K37" i="7"/>
  <c r="J56" i="7"/>
  <c r="H43" i="10"/>
  <c r="J43" i="9"/>
  <c r="H37" i="9"/>
  <c r="J37" i="8"/>
  <c r="H56" i="8"/>
  <c r="L13" i="8"/>
  <c r="K13" i="8"/>
  <c r="J45" i="10"/>
  <c r="H45" i="11"/>
  <c r="L16" i="8"/>
  <c r="K16" i="8"/>
  <c r="I20" i="8"/>
  <c r="I23" i="7"/>
  <c r="L43" i="8"/>
  <c r="K43" i="8"/>
  <c r="H46" i="9"/>
  <c r="J46" i="8"/>
  <c r="H41" i="10"/>
  <c r="J41" i="9"/>
  <c r="K15" i="7"/>
  <c r="L15" i="7"/>
  <c r="J53" i="9"/>
  <c r="H53" i="10"/>
  <c r="H13" i="10"/>
  <c r="J13" i="9"/>
  <c r="L45" i="9"/>
  <c r="K45" i="9"/>
  <c r="H16" i="10"/>
  <c r="J16" i="9"/>
  <c r="H39" i="10"/>
  <c r="J39" i="9"/>
  <c r="J15" i="8"/>
  <c r="H15" i="9"/>
  <c r="K53" i="8"/>
  <c r="L53" i="8"/>
  <c r="L9" i="7"/>
  <c r="K9" i="7"/>
  <c r="L42" i="8"/>
  <c r="K42" i="8"/>
  <c r="L8" i="6"/>
  <c r="L17" i="6" s="1"/>
  <c r="K8" i="6"/>
  <c r="K17" i="6" s="1"/>
  <c r="K33" i="6" s="1"/>
  <c r="J17" i="6"/>
  <c r="J33" i="6" s="1"/>
  <c r="K59" i="6"/>
  <c r="K61" i="6" s="1"/>
  <c r="J61" i="6"/>
  <c r="L59" i="6"/>
  <c r="L61" i="6" s="1"/>
  <c r="H64" i="11"/>
  <c r="H65" i="10"/>
  <c r="L11" i="8"/>
  <c r="K11" i="8"/>
  <c r="H27" i="10"/>
  <c r="J27" i="9"/>
  <c r="H9" i="9"/>
  <c r="J9" i="8"/>
  <c r="J42" i="9"/>
  <c r="H42" i="10"/>
  <c r="H33" i="6"/>
  <c r="H61" i="7"/>
  <c r="H59" i="8"/>
  <c r="J59" i="7"/>
  <c r="H44" i="10"/>
  <c r="J44" i="9"/>
  <c r="L41" i="8"/>
  <c r="K41" i="8"/>
  <c r="H48" i="10"/>
  <c r="J48" i="9"/>
  <c r="L27" i="8"/>
  <c r="K27" i="8"/>
  <c r="H8" i="8"/>
  <c r="H17" i="7"/>
  <c r="H33" i="7" s="1"/>
  <c r="J8" i="7"/>
  <c r="K52" i="8"/>
  <c r="L52" i="8"/>
  <c r="L44" i="8"/>
  <c r="K44" i="8"/>
  <c r="H28" i="9"/>
  <c r="J28" i="8"/>
  <c r="H11" i="10"/>
  <c r="J11" i="9"/>
  <c r="J30" i="6"/>
  <c r="K26" i="6"/>
  <c r="K30" i="6" s="1"/>
  <c r="L26" i="6"/>
  <c r="L30" i="6" s="1"/>
  <c r="K33" i="5"/>
  <c r="I3" i="8"/>
  <c r="I5" i="7"/>
  <c r="H29" i="13"/>
  <c r="J29" i="12"/>
  <c r="L64" i="7"/>
  <c r="L65" i="7" s="1"/>
  <c r="K64" i="7"/>
  <c r="K65" i="7" s="1"/>
  <c r="J65" i="7"/>
  <c r="H52" i="10"/>
  <c r="J52" i="9"/>
  <c r="L22" i="8"/>
  <c r="K22" i="8"/>
  <c r="K56" i="6"/>
  <c r="H36" i="12"/>
  <c r="H36" i="11"/>
  <c r="J36" i="10"/>
  <c r="K48" i="8"/>
  <c r="L48" i="8"/>
  <c r="L20" i="6"/>
  <c r="L23" i="6" s="1"/>
  <c r="J23" i="6"/>
  <c r="K20" i="6"/>
  <c r="K23" i="6" s="1"/>
  <c r="J33" i="5"/>
  <c r="L3" i="6"/>
  <c r="L5" i="6" s="1"/>
  <c r="K3" i="6"/>
  <c r="K5" i="6" s="1"/>
  <c r="J5" i="6"/>
  <c r="L29" i="11"/>
  <c r="K29" i="11"/>
  <c r="I33" i="6"/>
  <c r="L38" i="7"/>
  <c r="K38" i="7"/>
  <c r="H12" i="10"/>
  <c r="J12" i="9"/>
  <c r="H21" i="10"/>
  <c r="J21" i="9"/>
  <c r="L36" i="9"/>
  <c r="K36" i="9"/>
  <c r="L51" i="7"/>
  <c r="K51" i="7"/>
  <c r="H20" i="8"/>
  <c r="H23" i="7"/>
  <c r="J20" i="7"/>
  <c r="H51" i="9"/>
  <c r="J51" i="8"/>
  <c r="L10" i="8"/>
  <c r="K10" i="8"/>
  <c r="H26" i="8"/>
  <c r="J26" i="7"/>
  <c r="H30" i="7"/>
  <c r="L33" i="5"/>
  <c r="H47" i="10"/>
  <c r="J47" i="9"/>
  <c r="I65" i="8"/>
  <c r="I64" i="9"/>
  <c r="J64" i="8"/>
  <c r="I8" i="8"/>
  <c r="I17" i="7"/>
  <c r="H38" i="9"/>
  <c r="J38" i="8"/>
  <c r="H14" i="10" l="1"/>
  <c r="J14" i="9"/>
  <c r="L4" i="9"/>
  <c r="K4" i="9"/>
  <c r="K13" i="9"/>
  <c r="L13" i="9"/>
  <c r="H45" i="12"/>
  <c r="J45" i="11"/>
  <c r="L49" i="9"/>
  <c r="K49" i="9"/>
  <c r="L10" i="9"/>
  <c r="K10" i="9"/>
  <c r="H4" i="11"/>
  <c r="J4" i="10"/>
  <c r="L33" i="6"/>
  <c r="H13" i="11"/>
  <c r="J13" i="10"/>
  <c r="L45" i="10"/>
  <c r="K45" i="10"/>
  <c r="J49" i="10"/>
  <c r="H49" i="11"/>
  <c r="H10" i="11"/>
  <c r="J10" i="10"/>
  <c r="K50" i="9"/>
  <c r="L50" i="9"/>
  <c r="J53" i="10"/>
  <c r="H53" i="11"/>
  <c r="H50" i="11"/>
  <c r="J50" i="10"/>
  <c r="L53" i="9"/>
  <c r="K53" i="9"/>
  <c r="J42" i="10"/>
  <c r="H42" i="11"/>
  <c r="H9" i="10"/>
  <c r="J9" i="9"/>
  <c r="H47" i="11"/>
  <c r="J47" i="10"/>
  <c r="I3" i="9"/>
  <c r="I5" i="8"/>
  <c r="L27" i="9"/>
  <c r="K27" i="9"/>
  <c r="L37" i="8"/>
  <c r="L56" i="8" s="1"/>
  <c r="K37" i="8"/>
  <c r="I36" i="12"/>
  <c r="I36" i="11"/>
  <c r="I56" i="11" s="1"/>
  <c r="I56" i="10"/>
  <c r="L64" i="8"/>
  <c r="L65" i="8" s="1"/>
  <c r="J65" i="8"/>
  <c r="K64" i="8"/>
  <c r="K65" i="8" s="1"/>
  <c r="K8" i="7"/>
  <c r="K17" i="7" s="1"/>
  <c r="L8" i="7"/>
  <c r="L17" i="7" s="1"/>
  <c r="J17" i="7"/>
  <c r="L12" i="9"/>
  <c r="K12" i="9"/>
  <c r="H27" i="11"/>
  <c r="J27" i="10"/>
  <c r="L41" i="9"/>
  <c r="K41" i="9"/>
  <c r="H37" i="10"/>
  <c r="J37" i="9"/>
  <c r="H56" i="9"/>
  <c r="L22" i="9"/>
  <c r="K22" i="9"/>
  <c r="L29" i="12"/>
  <c r="K29" i="12"/>
  <c r="H8" i="9"/>
  <c r="H17" i="8"/>
  <c r="L48" i="9"/>
  <c r="K48" i="9"/>
  <c r="H41" i="11"/>
  <c r="J41" i="10"/>
  <c r="L43" i="9"/>
  <c r="K43" i="9"/>
  <c r="H22" i="11"/>
  <c r="J22" i="10"/>
  <c r="H21" i="11"/>
  <c r="J21" i="10"/>
  <c r="J36" i="11"/>
  <c r="J48" i="10"/>
  <c r="H48" i="11"/>
  <c r="H15" i="10"/>
  <c r="J15" i="9"/>
  <c r="L46" i="8"/>
  <c r="K46" i="8"/>
  <c r="J43" i="10"/>
  <c r="H43" i="11"/>
  <c r="L36" i="10"/>
  <c r="K36" i="10"/>
  <c r="H36" i="13"/>
  <c r="J36" i="12"/>
  <c r="L15" i="8"/>
  <c r="K15" i="8"/>
  <c r="H46" i="10"/>
  <c r="J46" i="9"/>
  <c r="J56" i="8"/>
  <c r="J29" i="13"/>
  <c r="J29" i="15"/>
  <c r="H29" i="14"/>
  <c r="J29" i="14" s="1"/>
  <c r="L51" i="8"/>
  <c r="K51" i="8"/>
  <c r="L39" i="9"/>
  <c r="K39" i="9"/>
  <c r="K56" i="7"/>
  <c r="K56" i="8"/>
  <c r="H40" i="11"/>
  <c r="J40" i="10"/>
  <c r="L3" i="7"/>
  <c r="L5" i="7" s="1"/>
  <c r="K3" i="7"/>
  <c r="K5" i="7" s="1"/>
  <c r="J5" i="7"/>
  <c r="L47" i="9"/>
  <c r="K47" i="9"/>
  <c r="H12" i="11"/>
  <c r="J12" i="10"/>
  <c r="H51" i="10"/>
  <c r="J51" i="9"/>
  <c r="H11" i="11"/>
  <c r="J11" i="10"/>
  <c r="L44" i="9"/>
  <c r="K44" i="9"/>
  <c r="H64" i="12"/>
  <c r="H65" i="11"/>
  <c r="J39" i="10"/>
  <c r="H39" i="11"/>
  <c r="L56" i="7"/>
  <c r="L40" i="9"/>
  <c r="K40" i="9"/>
  <c r="L42" i="9"/>
  <c r="K42" i="9"/>
  <c r="L21" i="9"/>
  <c r="K21" i="9"/>
  <c r="L11" i="9"/>
  <c r="K11" i="9"/>
  <c r="H38" i="10"/>
  <c r="J38" i="9"/>
  <c r="L20" i="7"/>
  <c r="L23" i="7" s="1"/>
  <c r="K20" i="7"/>
  <c r="K23" i="7" s="1"/>
  <c r="J23" i="7"/>
  <c r="L28" i="8"/>
  <c r="K28" i="8"/>
  <c r="H44" i="11"/>
  <c r="J44" i="10"/>
  <c r="L16" i="9"/>
  <c r="K16" i="9"/>
  <c r="H3" i="9"/>
  <c r="J3" i="8"/>
  <c r="H5" i="8"/>
  <c r="L9" i="8"/>
  <c r="K9" i="8"/>
  <c r="J30" i="7"/>
  <c r="L26" i="7"/>
  <c r="L30" i="7" s="1"/>
  <c r="K26" i="7"/>
  <c r="K30" i="7" s="1"/>
  <c r="K52" i="9"/>
  <c r="L52" i="9"/>
  <c r="H28" i="10"/>
  <c r="J28" i="9"/>
  <c r="L59" i="7"/>
  <c r="L61" i="7" s="1"/>
  <c r="K59" i="7"/>
  <c r="K61" i="7" s="1"/>
  <c r="J61" i="7"/>
  <c r="H16" i="11"/>
  <c r="J16" i="10"/>
  <c r="I20" i="9"/>
  <c r="I23" i="8"/>
  <c r="I59" i="9"/>
  <c r="I61" i="8"/>
  <c r="I26" i="9"/>
  <c r="I30" i="8"/>
  <c r="I65" i="9"/>
  <c r="I64" i="10"/>
  <c r="J64" i="9"/>
  <c r="H26" i="9"/>
  <c r="H30" i="8"/>
  <c r="J26" i="8"/>
  <c r="L38" i="8"/>
  <c r="K38" i="8"/>
  <c r="I33" i="7"/>
  <c r="J8" i="8"/>
  <c r="I8" i="9"/>
  <c r="I17" i="8"/>
  <c r="H20" i="9"/>
  <c r="J20" i="8"/>
  <c r="H23" i="8"/>
  <c r="J52" i="10"/>
  <c r="H52" i="11"/>
  <c r="H59" i="9"/>
  <c r="J59" i="8"/>
  <c r="H61" i="8"/>
  <c r="K14" i="8"/>
  <c r="L14" i="8"/>
  <c r="L36" i="11" l="1"/>
  <c r="K36" i="11"/>
  <c r="H13" i="12"/>
  <c r="J13" i="11"/>
  <c r="H21" i="12"/>
  <c r="J21" i="11"/>
  <c r="K37" i="9"/>
  <c r="L37" i="9"/>
  <c r="J56" i="9"/>
  <c r="I36" i="13"/>
  <c r="I56" i="12"/>
  <c r="L50" i="10"/>
  <c r="K50" i="10"/>
  <c r="L4" i="10"/>
  <c r="K4" i="10"/>
  <c r="L38" i="9"/>
  <c r="K38" i="9"/>
  <c r="L22" i="10"/>
  <c r="K22" i="10"/>
  <c r="H37" i="12"/>
  <c r="H37" i="11"/>
  <c r="J37" i="10"/>
  <c r="H56" i="10"/>
  <c r="H50" i="12"/>
  <c r="J50" i="11"/>
  <c r="H4" i="12"/>
  <c r="J4" i="11"/>
  <c r="L36" i="12"/>
  <c r="K36" i="12"/>
  <c r="H22" i="12"/>
  <c r="J22" i="11"/>
  <c r="H53" i="12"/>
  <c r="J53" i="11"/>
  <c r="L53" i="10"/>
  <c r="K53" i="10"/>
  <c r="I59" i="10"/>
  <c r="I61" i="9"/>
  <c r="L27" i="10"/>
  <c r="K27" i="10"/>
  <c r="I64" i="11"/>
  <c r="I65" i="10"/>
  <c r="J64" i="10"/>
  <c r="H52" i="12"/>
  <c r="J52" i="11"/>
  <c r="H11" i="12"/>
  <c r="J11" i="11"/>
  <c r="J43" i="11"/>
  <c r="H43" i="12"/>
  <c r="L41" i="10"/>
  <c r="K41" i="10"/>
  <c r="H27" i="12"/>
  <c r="J27" i="11"/>
  <c r="L39" i="10"/>
  <c r="K39" i="10"/>
  <c r="H36" i="14"/>
  <c r="J36" i="13"/>
  <c r="L20" i="8"/>
  <c r="L23" i="8" s="1"/>
  <c r="K20" i="8"/>
  <c r="K23" i="8" s="1"/>
  <c r="J23" i="8"/>
  <c r="I20" i="10"/>
  <c r="I23" i="9"/>
  <c r="L51" i="9"/>
  <c r="K51" i="9"/>
  <c r="L43" i="10"/>
  <c r="K43" i="10"/>
  <c r="H41" i="12"/>
  <c r="J41" i="11"/>
  <c r="I3" i="10"/>
  <c r="I5" i="9"/>
  <c r="K45" i="11"/>
  <c r="L45" i="11"/>
  <c r="L59" i="8"/>
  <c r="L61" i="8" s="1"/>
  <c r="K59" i="8"/>
  <c r="K61" i="8" s="1"/>
  <c r="J61" i="8"/>
  <c r="H59" i="10"/>
  <c r="J59" i="9"/>
  <c r="H61" i="9"/>
  <c r="L8" i="8"/>
  <c r="L17" i="8" s="1"/>
  <c r="K8" i="8"/>
  <c r="K17" i="8" s="1"/>
  <c r="J17" i="8"/>
  <c r="J51" i="10"/>
  <c r="H51" i="11"/>
  <c r="L29" i="14"/>
  <c r="K29" i="14"/>
  <c r="L47" i="10"/>
  <c r="K47" i="10"/>
  <c r="L10" i="10"/>
  <c r="K10" i="10"/>
  <c r="H45" i="13"/>
  <c r="J45" i="12"/>
  <c r="L40" i="10"/>
  <c r="K40" i="10"/>
  <c r="L12" i="10"/>
  <c r="K12" i="10"/>
  <c r="K29" i="15"/>
  <c r="J33" i="7"/>
  <c r="H47" i="12"/>
  <c r="J47" i="11"/>
  <c r="H10" i="12"/>
  <c r="J10" i="11"/>
  <c r="J40" i="11"/>
  <c r="H40" i="12"/>
  <c r="I8" i="10"/>
  <c r="I17" i="9"/>
  <c r="I33" i="9" s="1"/>
  <c r="H12" i="12"/>
  <c r="J12" i="11"/>
  <c r="L29" i="13"/>
  <c r="K29" i="13"/>
  <c r="L15" i="9"/>
  <c r="K15" i="9"/>
  <c r="H33" i="8"/>
  <c r="L33" i="7"/>
  <c r="L9" i="9"/>
  <c r="K9" i="9"/>
  <c r="H49" i="12"/>
  <c r="J49" i="11"/>
  <c r="I33" i="8"/>
  <c r="L3" i="8"/>
  <c r="L5" i="8" s="1"/>
  <c r="J5" i="8"/>
  <c r="K3" i="8"/>
  <c r="K5" i="8" s="1"/>
  <c r="H16" i="12"/>
  <c r="J16" i="11"/>
  <c r="H15" i="11"/>
  <c r="J15" i="10"/>
  <c r="H8" i="10"/>
  <c r="H17" i="9"/>
  <c r="J8" i="9"/>
  <c r="K33" i="7"/>
  <c r="H9" i="11"/>
  <c r="J9" i="10"/>
  <c r="L49" i="10"/>
  <c r="K49" i="10"/>
  <c r="J65" i="9"/>
  <c r="L64" i="9"/>
  <c r="L65" i="9" s="1"/>
  <c r="K64" i="9"/>
  <c r="K65" i="9" s="1"/>
  <c r="L52" i="10"/>
  <c r="K52" i="10"/>
  <c r="I26" i="10"/>
  <c r="I30" i="9"/>
  <c r="L16" i="10"/>
  <c r="K16" i="10"/>
  <c r="H44" i="12"/>
  <c r="J44" i="11"/>
  <c r="L46" i="9"/>
  <c r="K46" i="9"/>
  <c r="J48" i="11"/>
  <c r="H48" i="12"/>
  <c r="H42" i="12"/>
  <c r="J42" i="11"/>
  <c r="H64" i="13"/>
  <c r="H65" i="12"/>
  <c r="J38" i="10"/>
  <c r="H38" i="12"/>
  <c r="H38" i="11"/>
  <c r="J38" i="11" s="1"/>
  <c r="L11" i="10"/>
  <c r="K11" i="10"/>
  <c r="H46" i="11"/>
  <c r="J46" i="10"/>
  <c r="L48" i="10"/>
  <c r="K48" i="10"/>
  <c r="L42" i="10"/>
  <c r="K42" i="10"/>
  <c r="L14" i="9"/>
  <c r="K14" i="9"/>
  <c r="L21" i="10"/>
  <c r="K21" i="10"/>
  <c r="H20" i="10"/>
  <c r="J20" i="9"/>
  <c r="H23" i="9"/>
  <c r="H3" i="10"/>
  <c r="H5" i="9"/>
  <c r="J3" i="9"/>
  <c r="L44" i="10"/>
  <c r="K44" i="10"/>
  <c r="J30" i="8"/>
  <c r="L26" i="8"/>
  <c r="L30" i="8" s="1"/>
  <c r="K26" i="8"/>
  <c r="K30" i="8" s="1"/>
  <c r="L28" i="9"/>
  <c r="K28" i="9"/>
  <c r="H26" i="10"/>
  <c r="H30" i="9"/>
  <c r="J26" i="9"/>
  <c r="H28" i="11"/>
  <c r="J28" i="10"/>
  <c r="H39" i="12"/>
  <c r="J39" i="11"/>
  <c r="K13" i="10"/>
  <c r="L13" i="10"/>
  <c r="H14" i="11"/>
  <c r="J14" i="10"/>
  <c r="H16" i="13" l="1"/>
  <c r="J16" i="12"/>
  <c r="H12" i="13"/>
  <c r="J12" i="12"/>
  <c r="L45" i="12"/>
  <c r="K45" i="12"/>
  <c r="L52" i="11"/>
  <c r="K52" i="11"/>
  <c r="H22" i="13"/>
  <c r="J22" i="12"/>
  <c r="H52" i="13"/>
  <c r="J52" i="12"/>
  <c r="L36" i="13"/>
  <c r="K36" i="13"/>
  <c r="L64" i="10"/>
  <c r="L65" i="10" s="1"/>
  <c r="K64" i="10"/>
  <c r="K65" i="10" s="1"/>
  <c r="J65" i="10"/>
  <c r="I65" i="11"/>
  <c r="I64" i="12"/>
  <c r="J64" i="11"/>
  <c r="L4" i="11"/>
  <c r="K4" i="11"/>
  <c r="H4" i="13"/>
  <c r="J4" i="12"/>
  <c r="I57" i="15"/>
  <c r="I36" i="14"/>
  <c r="I56" i="14" s="1"/>
  <c r="I56" i="13"/>
  <c r="J45" i="15"/>
  <c r="H45" i="14"/>
  <c r="J45" i="14" s="1"/>
  <c r="J45" i="13"/>
  <c r="K49" i="11"/>
  <c r="L49" i="11"/>
  <c r="H49" i="13"/>
  <c r="J49" i="12"/>
  <c r="H10" i="13"/>
  <c r="J10" i="12"/>
  <c r="I3" i="11"/>
  <c r="I5" i="10"/>
  <c r="L50" i="11"/>
  <c r="K50" i="11"/>
  <c r="J40" i="12"/>
  <c r="H40" i="13"/>
  <c r="L48" i="11"/>
  <c r="K48" i="11"/>
  <c r="L47" i="11"/>
  <c r="K47" i="11"/>
  <c r="L41" i="11"/>
  <c r="K41" i="11"/>
  <c r="H50" i="13"/>
  <c r="J50" i="12"/>
  <c r="L56" i="9"/>
  <c r="H28" i="12"/>
  <c r="J28" i="11"/>
  <c r="H65" i="13"/>
  <c r="H64" i="14"/>
  <c r="J48" i="12"/>
  <c r="H48" i="13"/>
  <c r="H47" i="13"/>
  <c r="J47" i="12"/>
  <c r="J51" i="11"/>
  <c r="H51" i="12"/>
  <c r="J41" i="12"/>
  <c r="H41" i="13"/>
  <c r="K27" i="11"/>
  <c r="L27" i="11"/>
  <c r="K56" i="9"/>
  <c r="L46" i="10"/>
  <c r="K46" i="10"/>
  <c r="L51" i="10"/>
  <c r="K51" i="10"/>
  <c r="H27" i="13"/>
  <c r="J27" i="12"/>
  <c r="I59" i="11"/>
  <c r="I61" i="10"/>
  <c r="L37" i="10"/>
  <c r="K37" i="10"/>
  <c r="J56" i="10"/>
  <c r="L21" i="11"/>
  <c r="K21" i="11"/>
  <c r="H20" i="11"/>
  <c r="J20" i="10"/>
  <c r="H23" i="10"/>
  <c r="J42" i="12"/>
  <c r="H42" i="13"/>
  <c r="H46" i="12"/>
  <c r="J46" i="11"/>
  <c r="L44" i="11"/>
  <c r="K44" i="11"/>
  <c r="L8" i="9"/>
  <c r="L17" i="9" s="1"/>
  <c r="K8" i="9"/>
  <c r="K17" i="9" s="1"/>
  <c r="J17" i="9"/>
  <c r="J33" i="8"/>
  <c r="J37" i="11"/>
  <c r="H56" i="11"/>
  <c r="H21" i="13"/>
  <c r="J21" i="12"/>
  <c r="L38" i="10"/>
  <c r="K38" i="10"/>
  <c r="L40" i="11"/>
  <c r="K40" i="11"/>
  <c r="H33" i="9"/>
  <c r="K33" i="8"/>
  <c r="J37" i="12"/>
  <c r="H37" i="13"/>
  <c r="L13" i="11"/>
  <c r="K13" i="11"/>
  <c r="I8" i="11"/>
  <c r="I17" i="10"/>
  <c r="L10" i="11"/>
  <c r="K10" i="11"/>
  <c r="H9" i="12"/>
  <c r="J9" i="11"/>
  <c r="H8" i="11"/>
  <c r="J8" i="10"/>
  <c r="H17" i="10"/>
  <c r="L33" i="8"/>
  <c r="J43" i="12"/>
  <c r="H43" i="13"/>
  <c r="H13" i="13"/>
  <c r="J13" i="12"/>
  <c r="L42" i="11"/>
  <c r="K42" i="11"/>
  <c r="L9" i="10"/>
  <c r="K9" i="10"/>
  <c r="K14" i="10"/>
  <c r="L14" i="10"/>
  <c r="H44" i="13"/>
  <c r="J44" i="12"/>
  <c r="L39" i="11"/>
  <c r="K39" i="11"/>
  <c r="H3" i="11"/>
  <c r="J3" i="10"/>
  <c r="H5" i="10"/>
  <c r="K15" i="10"/>
  <c r="L15" i="10"/>
  <c r="L43" i="11"/>
  <c r="K43" i="11"/>
  <c r="L53" i="11"/>
  <c r="K53" i="11"/>
  <c r="L26" i="9"/>
  <c r="L30" i="9" s="1"/>
  <c r="K26" i="9"/>
  <c r="K30" i="9" s="1"/>
  <c r="J30" i="9"/>
  <c r="H26" i="11"/>
  <c r="H30" i="10"/>
  <c r="J26" i="10"/>
  <c r="H14" i="12"/>
  <c r="J14" i="11"/>
  <c r="L3" i="9"/>
  <c r="L5" i="9" s="1"/>
  <c r="J5" i="9"/>
  <c r="K3" i="9"/>
  <c r="K5" i="9" s="1"/>
  <c r="L38" i="11"/>
  <c r="K38" i="11"/>
  <c r="H15" i="12"/>
  <c r="J15" i="11"/>
  <c r="L59" i="9"/>
  <c r="L61" i="9" s="1"/>
  <c r="J61" i="9"/>
  <c r="K59" i="9"/>
  <c r="K61" i="9" s="1"/>
  <c r="I20" i="11"/>
  <c r="I23" i="10"/>
  <c r="L11" i="11"/>
  <c r="K11" i="11"/>
  <c r="H53" i="13"/>
  <c r="J53" i="12"/>
  <c r="H39" i="13"/>
  <c r="J39" i="12"/>
  <c r="K28" i="10"/>
  <c r="L28" i="10"/>
  <c r="K20" i="9"/>
  <c r="K23" i="9" s="1"/>
  <c r="L20" i="9"/>
  <c r="L23" i="9" s="1"/>
  <c r="J23" i="9"/>
  <c r="J38" i="12"/>
  <c r="H38" i="13"/>
  <c r="I26" i="11"/>
  <c r="I30" i="10"/>
  <c r="L16" i="11"/>
  <c r="K16" i="11"/>
  <c r="L12" i="11"/>
  <c r="K12" i="11"/>
  <c r="H59" i="11"/>
  <c r="H61" i="10"/>
  <c r="J59" i="10"/>
  <c r="H11" i="13"/>
  <c r="J11" i="12"/>
  <c r="L22" i="11"/>
  <c r="K22" i="11"/>
  <c r="J11" i="15" l="1"/>
  <c r="H11" i="14"/>
  <c r="J11" i="14" s="1"/>
  <c r="J11" i="13"/>
  <c r="K27" i="12"/>
  <c r="L27" i="12"/>
  <c r="L48" i="12"/>
  <c r="K48" i="12"/>
  <c r="J40" i="13"/>
  <c r="J40" i="15"/>
  <c r="H40" i="14"/>
  <c r="J40" i="14" s="1"/>
  <c r="J43" i="13"/>
  <c r="J43" i="15"/>
  <c r="H43" i="14"/>
  <c r="J43" i="14" s="1"/>
  <c r="L40" i="12"/>
  <c r="K40" i="12"/>
  <c r="L46" i="11"/>
  <c r="K46" i="11"/>
  <c r="H65" i="14"/>
  <c r="L4" i="12"/>
  <c r="K4" i="12"/>
  <c r="H66" i="15"/>
  <c r="J4" i="15"/>
  <c r="H4" i="14"/>
  <c r="J4" i="14" s="1"/>
  <c r="J4" i="13"/>
  <c r="H37" i="14"/>
  <c r="J37" i="13"/>
  <c r="J42" i="13"/>
  <c r="J42" i="15"/>
  <c r="H42" i="14"/>
  <c r="J42" i="14" s="1"/>
  <c r="K52" i="12"/>
  <c r="L52" i="12"/>
  <c r="L43" i="12"/>
  <c r="K43" i="12"/>
  <c r="L42" i="12"/>
  <c r="K42" i="12"/>
  <c r="L28" i="11"/>
  <c r="K28" i="11"/>
  <c r="I3" i="12"/>
  <c r="I5" i="11"/>
  <c r="J36" i="15"/>
  <c r="J52" i="13"/>
  <c r="J52" i="15"/>
  <c r="H52" i="14"/>
  <c r="J52" i="14" s="1"/>
  <c r="H33" i="10"/>
  <c r="H8" i="12"/>
  <c r="J8" i="11"/>
  <c r="H17" i="11"/>
  <c r="H28" i="13"/>
  <c r="J28" i="12"/>
  <c r="L10" i="12"/>
  <c r="K10" i="12"/>
  <c r="L22" i="12"/>
  <c r="K22" i="12"/>
  <c r="H14" i="13"/>
  <c r="J14" i="12"/>
  <c r="K9" i="11"/>
  <c r="L9" i="11"/>
  <c r="L20" i="10"/>
  <c r="L23" i="10" s="1"/>
  <c r="K20" i="10"/>
  <c r="K23" i="10" s="1"/>
  <c r="J23" i="10"/>
  <c r="J10" i="15"/>
  <c r="H10" i="14"/>
  <c r="J10" i="14" s="1"/>
  <c r="J10" i="13"/>
  <c r="J22" i="15"/>
  <c r="H22" i="14"/>
  <c r="J22" i="14" s="1"/>
  <c r="J22" i="13"/>
  <c r="L39" i="12"/>
  <c r="K39" i="12"/>
  <c r="J44" i="13"/>
  <c r="J44" i="15"/>
  <c r="H44" i="14"/>
  <c r="J44" i="14" s="1"/>
  <c r="H9" i="13"/>
  <c r="J9" i="12"/>
  <c r="K21" i="12"/>
  <c r="L21" i="12"/>
  <c r="H20" i="12"/>
  <c r="J20" i="11"/>
  <c r="H23" i="11"/>
  <c r="L50" i="12"/>
  <c r="K50" i="12"/>
  <c r="L49" i="12"/>
  <c r="K49" i="12"/>
  <c r="L64" i="11"/>
  <c r="L65" i="11" s="1"/>
  <c r="J65" i="11"/>
  <c r="K64" i="11"/>
  <c r="K65" i="11" s="1"/>
  <c r="L8" i="10"/>
  <c r="L17" i="10" s="1"/>
  <c r="K8" i="10"/>
  <c r="K17" i="10" s="1"/>
  <c r="J17" i="10"/>
  <c r="I26" i="12"/>
  <c r="I30" i="11"/>
  <c r="J21" i="15"/>
  <c r="H21" i="14"/>
  <c r="J21" i="14" s="1"/>
  <c r="J21" i="13"/>
  <c r="J41" i="15"/>
  <c r="H41" i="14"/>
  <c r="J41" i="14" s="1"/>
  <c r="J41" i="13"/>
  <c r="H50" i="14"/>
  <c r="J50" i="13"/>
  <c r="J49" i="15"/>
  <c r="H49" i="14"/>
  <c r="J49" i="14" s="1"/>
  <c r="J49" i="13"/>
  <c r="I65" i="12"/>
  <c r="I64" i="13"/>
  <c r="J64" i="12"/>
  <c r="L37" i="12"/>
  <c r="K37" i="12"/>
  <c r="J59" i="11"/>
  <c r="H59" i="12"/>
  <c r="H61" i="11"/>
  <c r="J53" i="13"/>
  <c r="L54" i="15"/>
  <c r="H53" i="14"/>
  <c r="J53" i="14" s="1"/>
  <c r="J38" i="15"/>
  <c r="H38" i="14"/>
  <c r="J38" i="14" s="1"/>
  <c r="J38" i="13"/>
  <c r="L41" i="12"/>
  <c r="K41" i="12"/>
  <c r="K59" i="10"/>
  <c r="K61" i="10" s="1"/>
  <c r="L59" i="10"/>
  <c r="L61" i="10" s="1"/>
  <c r="J61" i="10"/>
  <c r="H3" i="12"/>
  <c r="H5" i="11"/>
  <c r="J3" i="11"/>
  <c r="J26" i="11"/>
  <c r="H26" i="12"/>
  <c r="H30" i="11"/>
  <c r="L38" i="12"/>
  <c r="K38" i="12"/>
  <c r="I33" i="10"/>
  <c r="L37" i="11"/>
  <c r="L56" i="11" s="1"/>
  <c r="K37" i="11"/>
  <c r="K56" i="11" s="1"/>
  <c r="J56" i="11"/>
  <c r="H51" i="13"/>
  <c r="H56" i="13" s="1"/>
  <c r="J51" i="12"/>
  <c r="H46" i="13"/>
  <c r="J46" i="12"/>
  <c r="J56" i="12" s="1"/>
  <c r="L44" i="12"/>
  <c r="K44" i="12"/>
  <c r="L15" i="11"/>
  <c r="K15" i="11"/>
  <c r="I8" i="12"/>
  <c r="I17" i="11"/>
  <c r="K56" i="10"/>
  <c r="L51" i="11"/>
  <c r="K51" i="11"/>
  <c r="L45" i="13"/>
  <c r="K45" i="13"/>
  <c r="J36" i="14"/>
  <c r="L12" i="12"/>
  <c r="K12" i="12"/>
  <c r="J13" i="15"/>
  <c r="H13" i="14"/>
  <c r="J13" i="14" s="1"/>
  <c r="J13" i="13"/>
  <c r="J39" i="15"/>
  <c r="H39" i="14"/>
  <c r="J39" i="14" s="1"/>
  <c r="J39" i="13"/>
  <c r="L14" i="11"/>
  <c r="K14" i="11"/>
  <c r="L26" i="10"/>
  <c r="K26" i="10"/>
  <c r="K30" i="10" s="1"/>
  <c r="J30" i="10"/>
  <c r="I20" i="12"/>
  <c r="I23" i="11"/>
  <c r="H15" i="13"/>
  <c r="J15" i="12"/>
  <c r="J33" i="9"/>
  <c r="L56" i="10"/>
  <c r="L47" i="12"/>
  <c r="K47" i="12"/>
  <c r="L45" i="14"/>
  <c r="K45" i="14"/>
  <c r="J12" i="15"/>
  <c r="H12" i="14"/>
  <c r="J12" i="14" s="1"/>
  <c r="J12" i="13"/>
  <c r="J27" i="15"/>
  <c r="H27" i="14"/>
  <c r="J27" i="14" s="1"/>
  <c r="J27" i="13"/>
  <c r="L3" i="10"/>
  <c r="L5" i="10" s="1"/>
  <c r="K3" i="10"/>
  <c r="K5" i="10" s="1"/>
  <c r="J5" i="10"/>
  <c r="K33" i="9"/>
  <c r="J47" i="15"/>
  <c r="H47" i="14"/>
  <c r="J47" i="14" s="1"/>
  <c r="J47" i="13"/>
  <c r="K45" i="15"/>
  <c r="L16" i="12"/>
  <c r="K16" i="12"/>
  <c r="L53" i="12"/>
  <c r="K53" i="12"/>
  <c r="L11" i="12"/>
  <c r="K11" i="12"/>
  <c r="L30" i="10"/>
  <c r="L13" i="12"/>
  <c r="K13" i="12"/>
  <c r="H56" i="12"/>
  <c r="L33" i="9"/>
  <c r="I59" i="12"/>
  <c r="I61" i="11"/>
  <c r="J48" i="13"/>
  <c r="J48" i="15"/>
  <c r="H48" i="14"/>
  <c r="J48" i="14" s="1"/>
  <c r="J16" i="15"/>
  <c r="H16" i="14"/>
  <c r="J16" i="14" s="1"/>
  <c r="J16" i="13"/>
  <c r="J50" i="14" l="1"/>
  <c r="H50" i="15"/>
  <c r="I65" i="13"/>
  <c r="I64" i="14"/>
  <c r="J64" i="13"/>
  <c r="J33" i="10"/>
  <c r="J9" i="15"/>
  <c r="H9" i="14"/>
  <c r="J9" i="14" s="1"/>
  <c r="J9" i="13"/>
  <c r="K52" i="15"/>
  <c r="L15" i="12"/>
  <c r="K15" i="12"/>
  <c r="K33" i="10"/>
  <c r="L44" i="14"/>
  <c r="K44" i="14"/>
  <c r="L52" i="13"/>
  <c r="K52" i="13"/>
  <c r="L37" i="13"/>
  <c r="K37" i="13"/>
  <c r="L49" i="13"/>
  <c r="K49" i="13"/>
  <c r="L33" i="10"/>
  <c r="K44" i="15"/>
  <c r="L14" i="12"/>
  <c r="K14" i="12"/>
  <c r="K36" i="15"/>
  <c r="J37" i="14"/>
  <c r="L38" i="13"/>
  <c r="K38" i="13"/>
  <c r="L49" i="14"/>
  <c r="K49" i="14"/>
  <c r="L44" i="13"/>
  <c r="K44" i="13"/>
  <c r="J14" i="15"/>
  <c r="H14" i="14"/>
  <c r="J14" i="14" s="1"/>
  <c r="J14" i="13"/>
  <c r="J37" i="15"/>
  <c r="L43" i="14"/>
  <c r="K43" i="14"/>
  <c r="L38" i="14"/>
  <c r="K38" i="14"/>
  <c r="K49" i="15"/>
  <c r="I3" i="13"/>
  <c r="I5" i="12"/>
  <c r="K43" i="15"/>
  <c r="I59" i="13"/>
  <c r="I61" i="12"/>
  <c r="K38" i="15"/>
  <c r="L50" i="13"/>
  <c r="K50" i="13"/>
  <c r="L4" i="13"/>
  <c r="K4" i="13"/>
  <c r="L43" i="13"/>
  <c r="K43" i="13"/>
  <c r="K47" i="15"/>
  <c r="L27" i="14"/>
  <c r="K27" i="14"/>
  <c r="L53" i="14"/>
  <c r="K53" i="14"/>
  <c r="L50" i="14"/>
  <c r="K50" i="14"/>
  <c r="L22" i="13"/>
  <c r="K22" i="13"/>
  <c r="K4" i="14"/>
  <c r="L4" i="14"/>
  <c r="L40" i="14"/>
  <c r="K40" i="14"/>
  <c r="J51" i="15"/>
  <c r="H51" i="14"/>
  <c r="J51" i="14" s="1"/>
  <c r="J51" i="13"/>
  <c r="K27" i="15"/>
  <c r="K54" i="15"/>
  <c r="L22" i="14"/>
  <c r="K22" i="14"/>
  <c r="K4" i="15"/>
  <c r="K40" i="15"/>
  <c r="I20" i="13"/>
  <c r="I23" i="12"/>
  <c r="L12" i="13"/>
  <c r="K12" i="13"/>
  <c r="I33" i="11"/>
  <c r="L53" i="13"/>
  <c r="K53" i="13"/>
  <c r="L41" i="13"/>
  <c r="K41" i="13"/>
  <c r="K22" i="15"/>
  <c r="L40" i="13"/>
  <c r="K40" i="13"/>
  <c r="L16" i="13"/>
  <c r="K16" i="13"/>
  <c r="L12" i="14"/>
  <c r="K12" i="14"/>
  <c r="I8" i="13"/>
  <c r="I17" i="12"/>
  <c r="I33" i="12" s="1"/>
  <c r="H26" i="13"/>
  <c r="H30" i="12"/>
  <c r="J26" i="12"/>
  <c r="L41" i="14"/>
  <c r="K41" i="14"/>
  <c r="L10" i="13"/>
  <c r="K10" i="13"/>
  <c r="L28" i="12"/>
  <c r="K28" i="12"/>
  <c r="L16" i="14"/>
  <c r="K16" i="14"/>
  <c r="K12" i="15"/>
  <c r="L39" i="13"/>
  <c r="K39" i="13"/>
  <c r="L26" i="11"/>
  <c r="L30" i="11" s="1"/>
  <c r="K26" i="11"/>
  <c r="K30" i="11" s="1"/>
  <c r="J30" i="11"/>
  <c r="H59" i="13"/>
  <c r="J59" i="12"/>
  <c r="H61" i="12"/>
  <c r="K41" i="15"/>
  <c r="K10" i="14"/>
  <c r="L10" i="14"/>
  <c r="J28" i="15"/>
  <c r="H28" i="14"/>
  <c r="J28" i="14" s="1"/>
  <c r="J28" i="13"/>
  <c r="L39" i="14"/>
  <c r="K39" i="14"/>
  <c r="L3" i="11"/>
  <c r="L5" i="11" s="1"/>
  <c r="J5" i="11"/>
  <c r="K3" i="11"/>
  <c r="K5" i="11" s="1"/>
  <c r="L59" i="11"/>
  <c r="L61" i="11" s="1"/>
  <c r="K59" i="11"/>
  <c r="K61" i="11" s="1"/>
  <c r="J61" i="11"/>
  <c r="L21" i="13"/>
  <c r="K21" i="13"/>
  <c r="L20" i="11"/>
  <c r="L23" i="11" s="1"/>
  <c r="J23" i="11"/>
  <c r="K20" i="11"/>
  <c r="K23" i="11" s="1"/>
  <c r="K10" i="15"/>
  <c r="H33" i="11"/>
  <c r="L56" i="12"/>
  <c r="L36" i="14"/>
  <c r="K36" i="14"/>
  <c r="J56" i="14"/>
  <c r="L27" i="13"/>
  <c r="K27" i="13"/>
  <c r="K39" i="15"/>
  <c r="L21" i="14"/>
  <c r="K21" i="14"/>
  <c r="H20" i="13"/>
  <c r="J20" i="12"/>
  <c r="H23" i="12"/>
  <c r="L8" i="11"/>
  <c r="L17" i="11" s="1"/>
  <c r="J17" i="11"/>
  <c r="K8" i="11"/>
  <c r="K17" i="11" s="1"/>
  <c r="J15" i="15"/>
  <c r="H15" i="14"/>
  <c r="J15" i="14" s="1"/>
  <c r="J15" i="13"/>
  <c r="K16" i="15"/>
  <c r="K48" i="15"/>
  <c r="L13" i="13"/>
  <c r="K13" i="13"/>
  <c r="H3" i="13"/>
  <c r="J3" i="12"/>
  <c r="H5" i="12"/>
  <c r="K21" i="15"/>
  <c r="H8" i="13"/>
  <c r="H17" i="12"/>
  <c r="H33" i="12" s="1"/>
  <c r="J8" i="12"/>
  <c r="K42" i="14"/>
  <c r="L42" i="14"/>
  <c r="L11" i="13"/>
  <c r="K11" i="13"/>
  <c r="L51" i="12"/>
  <c r="K51" i="12"/>
  <c r="L48" i="14"/>
  <c r="K48" i="14"/>
  <c r="L47" i="13"/>
  <c r="K47" i="13"/>
  <c r="L13" i="14"/>
  <c r="K13" i="14"/>
  <c r="L46" i="12"/>
  <c r="K46" i="12"/>
  <c r="K56" i="12" s="1"/>
  <c r="K42" i="15"/>
  <c r="K11" i="14"/>
  <c r="L11" i="14"/>
  <c r="L48" i="13"/>
  <c r="K48" i="13"/>
  <c r="L47" i="14"/>
  <c r="K47" i="14"/>
  <c r="K13" i="15"/>
  <c r="J46" i="15"/>
  <c r="H46" i="14"/>
  <c r="J46" i="14" s="1"/>
  <c r="J46" i="13"/>
  <c r="J56" i="13" s="1"/>
  <c r="J65" i="12"/>
  <c r="L64" i="12"/>
  <c r="L65" i="12" s="1"/>
  <c r="K64" i="12"/>
  <c r="K65" i="12" s="1"/>
  <c r="I26" i="13"/>
  <c r="I30" i="12"/>
  <c r="L9" i="12"/>
  <c r="K9" i="12"/>
  <c r="K52" i="14"/>
  <c r="L52" i="14"/>
  <c r="L42" i="13"/>
  <c r="K42" i="13"/>
  <c r="K11" i="15"/>
  <c r="H51" i="16" l="1"/>
  <c r="J50" i="15"/>
  <c r="J57" i="15"/>
  <c r="H26" i="14"/>
  <c r="H30" i="13"/>
  <c r="J26" i="13"/>
  <c r="L51" i="13"/>
  <c r="K51" i="13"/>
  <c r="H56" i="14"/>
  <c r="L51" i="14"/>
  <c r="K51" i="14"/>
  <c r="L37" i="14"/>
  <c r="L56" i="14" s="1"/>
  <c r="K37" i="14"/>
  <c r="K56" i="14" s="1"/>
  <c r="I17" i="15"/>
  <c r="I8" i="14"/>
  <c r="I17" i="14" s="1"/>
  <c r="I33" i="14" s="1"/>
  <c r="I17" i="13"/>
  <c r="I33" i="13" s="1"/>
  <c r="K51" i="15"/>
  <c r="I23" i="15"/>
  <c r="I20" i="14"/>
  <c r="I23" i="14" s="1"/>
  <c r="I23" i="13"/>
  <c r="L28" i="13"/>
  <c r="K28" i="13"/>
  <c r="H57" i="15"/>
  <c r="L28" i="14"/>
  <c r="K28" i="14"/>
  <c r="K37" i="15"/>
  <c r="L33" i="11"/>
  <c r="K28" i="15"/>
  <c r="K14" i="13"/>
  <c r="L14" i="13"/>
  <c r="H8" i="14"/>
  <c r="J8" i="13"/>
  <c r="H17" i="13"/>
  <c r="K14" i="14"/>
  <c r="L14" i="14"/>
  <c r="L9" i="13"/>
  <c r="K9" i="13"/>
  <c r="L15" i="14"/>
  <c r="K15" i="14"/>
  <c r="J33" i="11"/>
  <c r="K14" i="15"/>
  <c r="K9" i="14"/>
  <c r="L9" i="14"/>
  <c r="L3" i="12"/>
  <c r="L5" i="12" s="1"/>
  <c r="K3" i="12"/>
  <c r="K5" i="12" s="1"/>
  <c r="J5" i="12"/>
  <c r="I62" i="15"/>
  <c r="I59" i="14"/>
  <c r="I61" i="14" s="1"/>
  <c r="I61" i="13"/>
  <c r="K9" i="15"/>
  <c r="H3" i="14"/>
  <c r="J3" i="13"/>
  <c r="H5" i="13"/>
  <c r="L15" i="13"/>
  <c r="K15" i="13"/>
  <c r="L8" i="12"/>
  <c r="L17" i="12" s="1"/>
  <c r="K8" i="12"/>
  <c r="K17" i="12" s="1"/>
  <c r="K33" i="12" s="1"/>
  <c r="J17" i="12"/>
  <c r="K46" i="15"/>
  <c r="J65" i="13"/>
  <c r="L64" i="13"/>
  <c r="L65" i="13" s="1"/>
  <c r="K64" i="13"/>
  <c r="K65" i="13" s="1"/>
  <c r="I30" i="15"/>
  <c r="I26" i="14"/>
  <c r="I30" i="14" s="1"/>
  <c r="I30" i="13"/>
  <c r="L46" i="14"/>
  <c r="K46" i="14"/>
  <c r="L20" i="12"/>
  <c r="L23" i="12" s="1"/>
  <c r="J23" i="12"/>
  <c r="K20" i="12"/>
  <c r="K23" i="12" s="1"/>
  <c r="L59" i="12"/>
  <c r="L61" i="12" s="1"/>
  <c r="K59" i="12"/>
  <c r="K61" i="12" s="1"/>
  <c r="J61" i="12"/>
  <c r="I65" i="14"/>
  <c r="J64" i="14"/>
  <c r="K33" i="11"/>
  <c r="L46" i="13"/>
  <c r="L56" i="13" s="1"/>
  <c r="K46" i="13"/>
  <c r="K56" i="13" s="1"/>
  <c r="H61" i="13"/>
  <c r="H59" i="14"/>
  <c r="J59" i="13"/>
  <c r="L26" i="12"/>
  <c r="L30" i="12" s="1"/>
  <c r="K26" i="12"/>
  <c r="K30" i="12" s="1"/>
  <c r="J30" i="12"/>
  <c r="I5" i="15"/>
  <c r="I3" i="14"/>
  <c r="I5" i="14" s="1"/>
  <c r="I5" i="13"/>
  <c r="I66" i="15"/>
  <c r="J65" i="15"/>
  <c r="L65" i="15" s="1"/>
  <c r="K15" i="15"/>
  <c r="H20" i="14"/>
  <c r="H23" i="13"/>
  <c r="J20" i="13"/>
  <c r="L50" i="15" l="1"/>
  <c r="K50" i="15"/>
  <c r="H51" i="17"/>
  <c r="H58" i="16"/>
  <c r="J51" i="16"/>
  <c r="K57" i="15"/>
  <c r="L57" i="15"/>
  <c r="I33" i="15"/>
  <c r="J59" i="14"/>
  <c r="H61" i="14"/>
  <c r="L59" i="13"/>
  <c r="L61" i="13" s="1"/>
  <c r="K59" i="13"/>
  <c r="K61" i="13" s="1"/>
  <c r="J61" i="13"/>
  <c r="H23" i="15"/>
  <c r="J20" i="15"/>
  <c r="J3" i="15"/>
  <c r="H5" i="15"/>
  <c r="L20" i="13"/>
  <c r="L23" i="13" s="1"/>
  <c r="K20" i="13"/>
  <c r="K23" i="13" s="1"/>
  <c r="J23" i="13"/>
  <c r="J20" i="14"/>
  <c r="H23" i="14"/>
  <c r="H33" i="13"/>
  <c r="L3" i="13"/>
  <c r="L5" i="13" s="1"/>
  <c r="K3" i="13"/>
  <c r="K5" i="13" s="1"/>
  <c r="J5" i="13"/>
  <c r="J66" i="15"/>
  <c r="K65" i="15"/>
  <c r="K66" i="15" s="1"/>
  <c r="L66" i="15"/>
  <c r="L8" i="13"/>
  <c r="J17" i="13"/>
  <c r="K8" i="13"/>
  <c r="K17" i="13" s="1"/>
  <c r="J33" i="12"/>
  <c r="J8" i="14"/>
  <c r="H17" i="14"/>
  <c r="L26" i="13"/>
  <c r="L30" i="13" s="1"/>
  <c r="K26" i="13"/>
  <c r="K30" i="13" s="1"/>
  <c r="J30" i="13"/>
  <c r="J60" i="15"/>
  <c r="L60" i="15" s="1"/>
  <c r="H62" i="15"/>
  <c r="L64" i="14"/>
  <c r="L65" i="14" s="1"/>
  <c r="K64" i="14"/>
  <c r="K65" i="14" s="1"/>
  <c r="J65" i="14"/>
  <c r="J8" i="15"/>
  <c r="H17" i="15"/>
  <c r="L17" i="13"/>
  <c r="J26" i="14"/>
  <c r="H30" i="14"/>
  <c r="J3" i="14"/>
  <c r="H5" i="14"/>
  <c r="L33" i="12"/>
  <c r="H30" i="15"/>
  <c r="J26" i="15"/>
  <c r="J51" i="17" l="1"/>
  <c r="H59" i="17"/>
  <c r="K51" i="16"/>
  <c r="K58" i="16" s="1"/>
  <c r="J58" i="16"/>
  <c r="L51" i="16"/>
  <c r="L58" i="16" s="1"/>
  <c r="L20" i="14"/>
  <c r="L23" i="14" s="1"/>
  <c r="K20" i="14"/>
  <c r="K23" i="14" s="1"/>
  <c r="J23" i="14"/>
  <c r="L8" i="14"/>
  <c r="L17" i="14" s="1"/>
  <c r="K8" i="14"/>
  <c r="K17" i="14" s="1"/>
  <c r="K33" i="14" s="1"/>
  <c r="J17" i="14"/>
  <c r="K26" i="15"/>
  <c r="K30" i="15" s="1"/>
  <c r="J30" i="15"/>
  <c r="L30" i="15"/>
  <c r="L33" i="13"/>
  <c r="K3" i="15"/>
  <c r="K5" i="15" s="1"/>
  <c r="J5" i="15"/>
  <c r="L5" i="15"/>
  <c r="K33" i="13"/>
  <c r="L23" i="15"/>
  <c r="K20" i="15"/>
  <c r="K23" i="15" s="1"/>
  <c r="J23" i="15"/>
  <c r="L3" i="14"/>
  <c r="L5" i="14" s="1"/>
  <c r="K3" i="14"/>
  <c r="K5" i="14" s="1"/>
  <c r="J5" i="14"/>
  <c r="H33" i="15"/>
  <c r="L26" i="14"/>
  <c r="L30" i="14" s="1"/>
  <c r="K26" i="14"/>
  <c r="K30" i="14" s="1"/>
  <c r="J30" i="14"/>
  <c r="K60" i="15"/>
  <c r="K62" i="15" s="1"/>
  <c r="L62" i="15"/>
  <c r="J62" i="15"/>
  <c r="H33" i="14"/>
  <c r="J33" i="13"/>
  <c r="K8" i="15"/>
  <c r="K17" i="15" s="1"/>
  <c r="J17" i="15"/>
  <c r="L17" i="15"/>
  <c r="L59" i="14"/>
  <c r="L61" i="14" s="1"/>
  <c r="J61" i="14"/>
  <c r="K59" i="14"/>
  <c r="K61" i="14" s="1"/>
  <c r="L51" i="17" l="1"/>
  <c r="L59" i="17" s="1"/>
  <c r="K51" i="17"/>
  <c r="K59" i="17" s="1"/>
  <c r="J59" i="17"/>
  <c r="K33" i="15"/>
  <c r="L33" i="15"/>
  <c r="L33" i="14"/>
  <c r="J33" i="14"/>
  <c r="J33" i="15"/>
</calcChain>
</file>

<file path=xl/sharedStrings.xml><?xml version="1.0" encoding="utf-8"?>
<sst xmlns="http://schemas.openxmlformats.org/spreadsheetml/2006/main" count="1611" uniqueCount="106">
  <si>
    <t>TOTAL SUS</t>
  </si>
  <si>
    <t>SUS</t>
  </si>
  <si>
    <t>TOTAL Health Science Center Libraries</t>
  </si>
  <si>
    <t>55170100 / 102</t>
  </si>
  <si>
    <t>HSCL</t>
  </si>
  <si>
    <t>TOTAL Projects</t>
  </si>
  <si>
    <t>55010000 / F025317</t>
  </si>
  <si>
    <t>EDNA HINDSON PRVS-ORAL HST PJCT</t>
  </si>
  <si>
    <t>55010000 / F020870</t>
  </si>
  <si>
    <t>PANAMA CANAL GALLERY EXHIBIT FUND</t>
  </si>
  <si>
    <t>55010000 / F011224</t>
  </si>
  <si>
    <t>LOCKHEART - MANUSCRIPT MATERIALS</t>
  </si>
  <si>
    <t>55010000 / F005434</t>
  </si>
  <si>
    <t>SPECIAL COLLECTIONS PURCHASE FUND</t>
  </si>
  <si>
    <t>55010000 / F020922</t>
  </si>
  <si>
    <t>WOODELL LIBRARY ENDOWMENT FUND-DPS</t>
  </si>
  <si>
    <t>55010000 / F011742</t>
  </si>
  <si>
    <t>YEOMANS - EXHIBIT PROJECT</t>
  </si>
  <si>
    <t>YEOMANS</t>
  </si>
  <si>
    <t>55050200 / F008400</t>
  </si>
  <si>
    <t>ATH ASSN UNDERGRAD LIB ADVISORS</t>
  </si>
  <si>
    <t>55010000 / F008400</t>
  </si>
  <si>
    <t>ATH ASSN - SOP</t>
  </si>
  <si>
    <t>55070100 / F005636</t>
  </si>
  <si>
    <t>FLORIDA AGRICULTURAL HISTORY</t>
  </si>
  <si>
    <t>LTS MIGRATION PROJECT</t>
  </si>
  <si>
    <t>55050200 / 101</t>
  </si>
  <si>
    <t>MSL UNDERGRAD LIB ADVISORS</t>
  </si>
  <si>
    <t>55010000 / F017863</t>
  </si>
  <si>
    <t>FRIENDS PANAMA CANAL MUSEUM</t>
  </si>
  <si>
    <t>55010000 / F017606</t>
  </si>
  <si>
    <t>PANAMA CANAL MUSEUM</t>
  </si>
  <si>
    <t>55010000 / F017267</t>
  </si>
  <si>
    <t xml:space="preserve">MAP AND IMAGERY FUND </t>
  </si>
  <si>
    <t>55080500 / 101 / CYFWD</t>
  </si>
  <si>
    <t>FLMH DICKINSON</t>
  </si>
  <si>
    <t xml:space="preserve">55080500 / 103 </t>
  </si>
  <si>
    <t>IFAS ENDNOTE / 103 YR 4 of 5 (62124590)</t>
  </si>
  <si>
    <t>55080500 / 101</t>
  </si>
  <si>
    <t>IFAS ENDNOTE / 101 (MSL)</t>
  </si>
  <si>
    <t>TOTAL University Libraries</t>
  </si>
  <si>
    <t>OPS INTERNS / U-GRAD FELLOWSHIP</t>
  </si>
  <si>
    <t>SUBTOTAL Discovery, Digital Services &amp; Shared Collections</t>
  </si>
  <si>
    <t>PRESERVATION</t>
  </si>
  <si>
    <t>CATALOGING</t>
  </si>
  <si>
    <t>ACCESS SERVICES</t>
  </si>
  <si>
    <t>MARSTON 3D PRINT</t>
  </si>
  <si>
    <t>ACQUISITIONS</t>
  </si>
  <si>
    <t>SPECIAL COLLECTIONS</t>
  </si>
  <si>
    <t>MARSTON-CIRC / STACKS</t>
  </si>
  <si>
    <t>LIBRARY WEST - STACKS</t>
  </si>
  <si>
    <t>EDUCATION</t>
  </si>
  <si>
    <t>AFA</t>
  </si>
  <si>
    <t>LIBRARY WEST - BRANCH / CIRC.</t>
  </si>
  <si>
    <t xml:space="preserve">SRRS DISCRETIONARY </t>
  </si>
  <si>
    <t>OPS SECURITY LIB WEST AND MSL</t>
  </si>
  <si>
    <t>PRM / COMMUNICATIONS</t>
  </si>
  <si>
    <t xml:space="preserve">LTS IT PROGRAMMING SUPPORT </t>
  </si>
  <si>
    <t>DPS DEPARTMENT</t>
  </si>
  <si>
    <t>Left at YTD Rate</t>
  </si>
  <si>
    <t>Remaining</t>
  </si>
  <si>
    <t>YTD TOTAL</t>
  </si>
  <si>
    <t>YTD Fringe</t>
  </si>
  <si>
    <t>YTD OPS</t>
  </si>
  <si>
    <t>Fringe</t>
  </si>
  <si>
    <t>Current Other OPS</t>
  </si>
  <si>
    <t>Current Student</t>
  </si>
  <si>
    <t xml:space="preserve">ALLOCATION </t>
  </si>
  <si>
    <t>Department ID</t>
  </si>
  <si>
    <t>DEPARTMENT</t>
  </si>
  <si>
    <t>OPS fringe rate 22/23 1.3% per JC email 7/13/22</t>
  </si>
  <si>
    <t>DEI</t>
  </si>
  <si>
    <t>SUBTOTAL Scholarly Resources &amp;  Services</t>
  </si>
  <si>
    <t>SUBTOTAL Library Technology &amp; Digital Strategies</t>
  </si>
  <si>
    <t>SUBTOTAL Administrative Units/Programs/Special Projects</t>
  </si>
  <si>
    <t>7/26/22 Allocation of funds to F011742/55010000 YEOMANS - EXHIBITIONS</t>
  </si>
  <si>
    <t>OSF - CURE (Miro-Herrans)</t>
  </si>
  <si>
    <t>55170500 / 101 / CYFWD</t>
  </si>
  <si>
    <t>8/9/22 Allocation of funds to OPS SECURITY LIB WEST AND MSL</t>
  </si>
  <si>
    <t>8/24/22 Allocation of funds to F005434 SPECIAL COLLECTIONS PURCHASE FUND</t>
  </si>
  <si>
    <t>7/26/22 Allocation of funds to F011742 / 55010000 YEOMANS - EXHIBITIONS</t>
  </si>
  <si>
    <t xml:space="preserve">8/24/22 Allocation of funds to F017863 FRIENDS PANAMA CANAL MUSEUM </t>
  </si>
  <si>
    <t>ANITA SPIRNG WOMEN IN DEVELOPMENT</t>
  </si>
  <si>
    <t>55010000 / F019154</t>
  </si>
  <si>
    <t>9/8/22 Allocation of funds to F019154 ANITA SPRING WOMEN IN DEVELOPMENT</t>
  </si>
  <si>
    <t>STAUG</t>
  </si>
  <si>
    <t>55010000 / A-STAUG</t>
  </si>
  <si>
    <t xml:space="preserve">9/9/22 Allocation of funds to A-STAUG </t>
  </si>
  <si>
    <t>55080500 /  A-STAUG</t>
  </si>
  <si>
    <t>10/31/22 Allocation of funds to F005434 SPECIAL COLLECTIONS PURCHASE FUND</t>
  </si>
  <si>
    <t>12/1422 Allocation of funds to AFA</t>
  </si>
  <si>
    <t>1/3/23 Allocation of funds to 55070100 SPECIAL COLLECTIONS from OEFM 55010800 (700000)</t>
  </si>
  <si>
    <t>12/14/22 Allocation of funds to AFA</t>
  </si>
  <si>
    <t>1/6/23 Transfer of funds to AFA</t>
  </si>
  <si>
    <t>1/18/23 Allocation of funds to F011742 / 55010000 YEOMANS</t>
  </si>
  <si>
    <t>1/30/23 Allocation of funds to IFAS ENDNOTE / 103 YR 4 of 5</t>
  </si>
  <si>
    <t>2/6/23 Allocation of funds to F023654 NELSON INITIATIVE ON ETHICS AND LEADERSHIP</t>
  </si>
  <si>
    <t>NELSON INITIATIVE ON ETHICS AND LEADERSHIP</t>
  </si>
  <si>
    <t>55010000 / F023654</t>
  </si>
  <si>
    <t xml:space="preserve">INGRAM ENDOWMENT </t>
  </si>
  <si>
    <t>55010000 / F017734</t>
  </si>
  <si>
    <t>2/8/23 Allocation of funds to F017734 INGRAM ENDOWMENT</t>
  </si>
  <si>
    <t>55170500 / 101 / CRRNT</t>
  </si>
  <si>
    <t>55010000 / F014920</t>
  </si>
  <si>
    <t>BROWNING PARKER ARCH COLL PROJECT</t>
  </si>
  <si>
    <t>2/22/23 Allocation of funds to F014920 BROWNING PARKER ARCH COLL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</si>
</sst>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u/>
      <sz val="8"/>
      <name val="Arial"/>
      <family val="2"/>
    </font>
    <font>
      <b/>
      <i/>
      <sz val="11"/>
      <color rgb="FFFF0000"/>
      <name val="Calibri"/>
      <family val="2"/>
      <scheme val="minor"/>
    </font>
    <font>
      <b/>
      <sz val="8"/>
      <color rgb="FF7030A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103">
    <xf numFmtId="0" fontId="0" fillId="0" borderId="0" xfId="0"/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3" fillId="0" borderId="0" xfId="0" applyNumberFormat="1" applyFont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39" fontId="7" fillId="0" borderId="0" xfId="0" applyNumberFormat="1" applyFont="1" applyAlignment="1">
      <alignment horizontal="center" vertical="center"/>
    </xf>
    <xf numFmtId="44" fontId="8" fillId="0" borderId="0" xfId="2" applyNumberFormat="1" applyFont="1" applyAlignment="1">
      <alignment horizontal="left" vertical="center"/>
    </xf>
    <xf numFmtId="14" fontId="8" fillId="0" borderId="0" xfId="2" applyNumberFormat="1" applyFont="1" applyAlignment="1">
      <alignment horizontal="left" vertical="center" wrapText="1"/>
    </xf>
    <xf numFmtId="39" fontId="8" fillId="0" borderId="1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9" fontId="10" fillId="0" borderId="1" xfId="2" applyNumberFormat="1" applyFont="1" applyBorder="1" applyAlignment="1">
      <alignment horizontal="center" vertical="center"/>
    </xf>
    <xf numFmtId="39" fontId="10" fillId="2" borderId="2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39" fontId="8" fillId="3" borderId="1" xfId="2" applyNumberFormat="1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/>
    </xf>
    <xf numFmtId="0" fontId="8" fillId="3" borderId="1" xfId="2" applyFont="1" applyFill="1" applyBorder="1"/>
    <xf numFmtId="39" fontId="7" fillId="0" borderId="1" xfId="0" applyNumberFormat="1" applyFont="1" applyBorder="1" applyAlignment="1">
      <alignment horizontal="center" vertical="center"/>
    </xf>
    <xf numFmtId="39" fontId="10" fillId="2" borderId="1" xfId="2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11" fillId="0" borderId="0" xfId="0" applyFont="1"/>
    <xf numFmtId="39" fontId="9" fillId="0" borderId="1" xfId="0" applyNumberFormat="1" applyFont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39" fontId="10" fillId="0" borderId="2" xfId="2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5" borderId="1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9" fontId="9" fillId="0" borderId="1" xfId="2" applyNumberFormat="1" applyFont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9" fontId="10" fillId="0" borderId="0" xfId="0" applyNumberFormat="1" applyFont="1" applyAlignment="1">
      <alignment vertical="center"/>
    </xf>
    <xf numFmtId="0" fontId="10" fillId="0" borderId="1" xfId="2" applyFont="1" applyBorder="1" applyAlignment="1">
      <alignment horizontal="left" vertical="center" wrapText="1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9" fontId="11" fillId="2" borderId="0" xfId="0" applyNumberFormat="1" applyFont="1" applyFill="1" applyAlignment="1">
      <alignment vertical="center"/>
    </xf>
    <xf numFmtId="39" fontId="8" fillId="0" borderId="3" xfId="2" applyNumberFormat="1" applyFont="1" applyBorder="1" applyAlignment="1">
      <alignment horizontal="center" vertical="center"/>
    </xf>
    <xf numFmtId="39" fontId="8" fillId="8" borderId="4" xfId="2" applyNumberFormat="1" applyFont="1" applyFill="1" applyBorder="1" applyAlignment="1">
      <alignment horizontal="center" vertical="center"/>
    </xf>
    <xf numFmtId="0" fontId="8" fillId="8" borderId="4" xfId="2" applyFont="1" applyFill="1" applyBorder="1" applyAlignment="1">
      <alignment horizontal="center"/>
    </xf>
    <xf numFmtId="0" fontId="8" fillId="8" borderId="5" xfId="2" applyFont="1" applyFill="1" applyBorder="1"/>
    <xf numFmtId="39" fontId="8" fillId="8" borderId="6" xfId="2" applyNumberFormat="1" applyFont="1" applyFill="1" applyBorder="1" applyAlignment="1">
      <alignment horizontal="center" vertical="center"/>
    </xf>
    <xf numFmtId="0" fontId="8" fillId="8" borderId="6" xfId="2" applyFont="1" applyFill="1" applyBorder="1" applyAlignment="1">
      <alignment horizontal="center"/>
    </xf>
    <xf numFmtId="0" fontId="8" fillId="8" borderId="7" xfId="2" applyFont="1" applyFill="1" applyBorder="1"/>
    <xf numFmtId="39" fontId="8" fillId="0" borderId="2" xfId="2" applyNumberFormat="1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39" fontId="8" fillId="8" borderId="8" xfId="2" applyNumberFormat="1" applyFont="1" applyFill="1" applyBorder="1" applyAlignment="1">
      <alignment horizontal="center" vertical="center"/>
    </xf>
    <xf numFmtId="39" fontId="8" fillId="8" borderId="9" xfId="2" applyNumberFormat="1" applyFont="1" applyFill="1" applyBorder="1" applyAlignment="1">
      <alignment horizontal="center" vertical="center"/>
    </xf>
    <xf numFmtId="39" fontId="8" fillId="2" borderId="1" xfId="2" applyNumberFormat="1" applyFont="1" applyFill="1" applyBorder="1" applyAlignment="1">
      <alignment horizontal="center" vertical="center"/>
    </xf>
    <xf numFmtId="39" fontId="4" fillId="0" borderId="0" xfId="0" applyNumberFormat="1" applyFont="1"/>
    <xf numFmtId="0" fontId="10" fillId="8" borderId="7" xfId="2" applyFont="1" applyFill="1" applyBorder="1"/>
    <xf numFmtId="0" fontId="10" fillId="2" borderId="2" xfId="2" applyFont="1" applyFill="1" applyBorder="1" applyAlignment="1">
      <alignment horizontal="left" vertical="center" wrapText="1"/>
    </xf>
    <xf numFmtId="39" fontId="9" fillId="0" borderId="0" xfId="0" applyNumberFormat="1" applyFont="1" applyAlignment="1">
      <alignment vertical="center"/>
    </xf>
    <xf numFmtId="39" fontId="11" fillId="0" borderId="0" xfId="0" applyNumberFormat="1" applyFont="1" applyAlignment="1">
      <alignment vertical="center"/>
    </xf>
    <xf numFmtId="0" fontId="10" fillId="0" borderId="1" xfId="1" applyFont="1" applyFill="1" applyBorder="1" applyAlignment="1">
      <alignment vertical="center"/>
    </xf>
    <xf numFmtId="0" fontId="10" fillId="0" borderId="3" xfId="2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0" fontId="10" fillId="0" borderId="1" xfId="2" applyFont="1" applyBorder="1" applyAlignment="1">
      <alignment vertical="center" wrapText="1"/>
    </xf>
    <xf numFmtId="39" fontId="13" fillId="9" borderId="1" xfId="2" applyNumberFormat="1" applyFont="1" applyFill="1" applyBorder="1" applyAlignment="1">
      <alignment horizontal="center"/>
    </xf>
    <xf numFmtId="39" fontId="13" fillId="9" borderId="1" xfId="2" applyNumberFormat="1" applyFont="1" applyFill="1" applyBorder="1" applyAlignment="1">
      <alignment horizontal="center" wrapText="1"/>
    </xf>
    <xf numFmtId="0" fontId="13" fillId="9" borderId="1" xfId="2" applyFont="1" applyFill="1" applyBorder="1" applyAlignment="1">
      <alignment horizontal="center"/>
    </xf>
    <xf numFmtId="39" fontId="8" fillId="0" borderId="0" xfId="2" applyNumberFormat="1" applyFont="1"/>
    <xf numFmtId="39" fontId="8" fillId="0" borderId="0" xfId="2" applyNumberFormat="1" applyFont="1" applyAlignment="1">
      <alignment horizontal="center"/>
    </xf>
    <xf numFmtId="0" fontId="8" fillId="0" borderId="0" xfId="2" applyFont="1"/>
    <xf numFmtId="40" fontId="14" fillId="0" borderId="0" xfId="0" applyNumberFormat="1" applyFont="1"/>
    <xf numFmtId="164" fontId="8" fillId="7" borderId="0" xfId="2" applyNumberFormat="1" applyFont="1" applyFill="1"/>
    <xf numFmtId="0" fontId="15" fillId="0" borderId="0" xfId="0" applyFont="1"/>
    <xf numFmtId="0" fontId="6" fillId="0" borderId="0" xfId="0" applyFont="1" applyAlignment="1">
      <alignment vertical="center"/>
    </xf>
    <xf numFmtId="0" fontId="10" fillId="2" borderId="2" xfId="2" applyFont="1" applyFill="1" applyBorder="1" applyAlignment="1">
      <alignment vertical="center"/>
    </xf>
    <xf numFmtId="0" fontId="10" fillId="2" borderId="2" xfId="2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horizontal="center" vertical="center"/>
    </xf>
    <xf numFmtId="43" fontId="9" fillId="10" borderId="1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right" vertical="center"/>
    </xf>
    <xf numFmtId="0" fontId="10" fillId="11" borderId="1" xfId="2" applyFont="1" applyFill="1" applyBorder="1" applyAlignment="1">
      <alignment vertical="center"/>
    </xf>
    <xf numFmtId="0" fontId="10" fillId="11" borderId="1" xfId="2" applyFont="1" applyFill="1" applyBorder="1" applyAlignment="1">
      <alignment horizontal="center" vertical="center"/>
    </xf>
    <xf numFmtId="39" fontId="10" fillId="11" borderId="1" xfId="2" applyNumberFormat="1" applyFont="1" applyFill="1" applyBorder="1" applyAlignment="1">
      <alignment horizontal="center" vertical="center"/>
    </xf>
    <xf numFmtId="39" fontId="10" fillId="11" borderId="2" xfId="2" applyNumberFormat="1" applyFont="1" applyFill="1" applyBorder="1" applyAlignment="1">
      <alignment horizontal="center" vertical="center"/>
    </xf>
    <xf numFmtId="39" fontId="9" fillId="11" borderId="1" xfId="0" applyNumberFormat="1" applyFont="1" applyFill="1" applyBorder="1" applyAlignment="1">
      <alignment horizontal="center" vertical="center"/>
    </xf>
    <xf numFmtId="0" fontId="10" fillId="11" borderId="1" xfId="2" applyFont="1" applyFill="1" applyBorder="1" applyAlignment="1">
      <alignment horizontal="left" vertical="center"/>
    </xf>
    <xf numFmtId="0" fontId="10" fillId="12" borderId="1" xfId="2" applyFont="1" applyFill="1" applyBorder="1" applyAlignment="1">
      <alignment horizontal="center" vertical="center"/>
    </xf>
    <xf numFmtId="39" fontId="6" fillId="0" borderId="1" xfId="2" applyNumberFormat="1" applyFont="1" applyBorder="1" applyAlignment="1">
      <alignment horizontal="center" vertical="center"/>
    </xf>
    <xf numFmtId="39" fontId="10" fillId="13" borderId="1" xfId="2" applyNumberFormat="1" applyFont="1" applyFill="1" applyBorder="1" applyAlignment="1">
      <alignment horizontal="center" vertical="center"/>
    </xf>
    <xf numFmtId="0" fontId="10" fillId="13" borderId="1" xfId="2" applyFont="1" applyFill="1" applyBorder="1" applyAlignment="1">
      <alignment horizontal="left" vertical="center"/>
    </xf>
    <xf numFmtId="43" fontId="9" fillId="13" borderId="1" xfId="0" applyNumberFormat="1" applyFont="1" applyFill="1" applyBorder="1" applyAlignment="1">
      <alignment horizontal="center" vertical="center"/>
    </xf>
    <xf numFmtId="39" fontId="10" fillId="13" borderId="2" xfId="2" applyNumberFormat="1" applyFont="1" applyFill="1" applyBorder="1" applyAlignment="1">
      <alignment horizontal="center" vertical="center"/>
    </xf>
    <xf numFmtId="0" fontId="6" fillId="0" borderId="0" xfId="0" applyFont="1"/>
    <xf numFmtId="39" fontId="9" fillId="13" borderId="1" xfId="0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14" fontId="8" fillId="2" borderId="0" xfId="2" applyNumberFormat="1" applyFont="1" applyFill="1" applyAlignment="1">
      <alignment horizontal="left" vertical="center" wrapText="1"/>
    </xf>
    <xf numFmtId="14" fontId="6" fillId="2" borderId="0" xfId="2" applyNumberFormat="1" applyFont="1" applyFill="1" applyAlignment="1">
      <alignment horizontal="left" vertical="center" wrapText="1"/>
    </xf>
  </cellXfs>
  <cellStyles count="3">
    <cellStyle name="Explanatory Text" xfId="1" builtinId="53"/>
    <cellStyle name="Normal" xfId="0" builtinId="0"/>
    <cellStyle name="Normal 2" xfId="2" xr:uid="{EF9D3F88-AB23-49BA-A0EE-F2E323C04947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3068-84B7-4CBA-A0CA-84115391F58C}">
  <sheetPr>
    <pageSetUpPr fitToPage="1"/>
  </sheetPr>
  <dimension ref="A1:M63"/>
  <sheetViews>
    <sheetView zoomScale="145" zoomScaleNormal="145" workbookViewId="0">
      <pane ySplit="2" topLeftCell="A46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7.5703125" style="3" bestFit="1" customWidth="1"/>
    <col min="5" max="5" width="6" style="3" bestFit="1" customWidth="1"/>
    <col min="6" max="6" width="9" style="3" bestFit="1" customWidth="1"/>
    <col min="7" max="7" width="6" style="3" bestFit="1" customWidth="1"/>
    <col min="8" max="8" width="7.5703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44749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 t="shared" ref="H3:H4" si="0">D3+F3</f>
        <v>0</v>
      </c>
      <c r="I3" s="13">
        <f t="shared" ref="I3:I4" si="1">E3+G3</f>
        <v>0</v>
      </c>
      <c r="J3" s="13">
        <f>H3+I3</f>
        <v>0</v>
      </c>
      <c r="K3" s="13">
        <f>C3-J3</f>
        <v>10800</v>
      </c>
      <c r="L3" s="13">
        <f t="shared" ref="L3:L4" si="2">C3-((J3/1)*26)</f>
        <v>10800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 t="shared" si="0"/>
        <v>0</v>
      </c>
      <c r="I4" s="13">
        <f t="shared" si="1"/>
        <v>0</v>
      </c>
      <c r="J4" s="13">
        <f>H4+I4</f>
        <v>0</v>
      </c>
      <c r="K4" s="13">
        <f>C4-J4</f>
        <v>9600</v>
      </c>
      <c r="L4" s="13">
        <f t="shared" si="2"/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3">SUM(D3:D4)</f>
        <v>0</v>
      </c>
      <c r="E5" s="55">
        <f t="shared" si="3"/>
        <v>0</v>
      </c>
      <c r="F5" s="55">
        <f t="shared" si="3"/>
        <v>0</v>
      </c>
      <c r="G5" s="55">
        <f t="shared" si="3"/>
        <v>0</v>
      </c>
      <c r="H5" s="55">
        <f t="shared" si="3"/>
        <v>0</v>
      </c>
      <c r="I5" s="55">
        <f t="shared" si="3"/>
        <v>0</v>
      </c>
      <c r="J5" s="55">
        <f t="shared" si="3"/>
        <v>0</v>
      </c>
      <c r="K5" s="55">
        <f t="shared" si="3"/>
        <v>20400</v>
      </c>
      <c r="L5" s="55">
        <f t="shared" si="3"/>
        <v>20400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 t="shared" ref="H8:H16" si="4">D8+F8</f>
        <v>0</v>
      </c>
      <c r="I8" s="13">
        <f t="shared" ref="I8:I16" si="5">E8+G8</f>
        <v>0</v>
      </c>
      <c r="J8" s="13">
        <f t="shared" ref="J8:J16" si="6">H8+I8</f>
        <v>0</v>
      </c>
      <c r="K8" s="13">
        <f t="shared" ref="K8:K16" si="7">C8-J8</f>
        <v>2917</v>
      </c>
      <c r="L8" s="13">
        <f t="shared" ref="L8:L16" si="8">C8-((J8/1)*26)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300.95</v>
      </c>
      <c r="E9" s="21">
        <v>3.91</v>
      </c>
      <c r="F9" s="21">
        <v>410.08</v>
      </c>
      <c r="G9" s="21">
        <v>29.52</v>
      </c>
      <c r="H9" s="13">
        <f t="shared" si="4"/>
        <v>711.03</v>
      </c>
      <c r="I9" s="13">
        <f t="shared" si="5"/>
        <v>33.43</v>
      </c>
      <c r="J9" s="13">
        <f t="shared" si="6"/>
        <v>744.45999999999992</v>
      </c>
      <c r="K9" s="13">
        <f t="shared" si="7"/>
        <v>23904.54</v>
      </c>
      <c r="L9" s="13">
        <f t="shared" si="8"/>
        <v>5293.0400000000009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281.92</v>
      </c>
      <c r="E10" s="21">
        <v>3.66</v>
      </c>
      <c r="F10" s="21">
        <v>0</v>
      </c>
      <c r="G10" s="21">
        <v>0</v>
      </c>
      <c r="H10" s="13">
        <f t="shared" si="4"/>
        <v>281.92</v>
      </c>
      <c r="I10" s="13">
        <f t="shared" si="5"/>
        <v>3.66</v>
      </c>
      <c r="J10" s="13">
        <f t="shared" si="6"/>
        <v>285.58000000000004</v>
      </c>
      <c r="K10" s="13">
        <f t="shared" si="7"/>
        <v>17688.419999999998</v>
      </c>
      <c r="L10" s="13">
        <f t="shared" si="8"/>
        <v>10548.919999999998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365.33</v>
      </c>
      <c r="E11" s="21">
        <v>4.74</v>
      </c>
      <c r="F11" s="21">
        <v>0</v>
      </c>
      <c r="G11" s="21">
        <v>0</v>
      </c>
      <c r="H11" s="13">
        <f t="shared" si="4"/>
        <v>365.33</v>
      </c>
      <c r="I11" s="13">
        <f t="shared" si="5"/>
        <v>4.74</v>
      </c>
      <c r="J11" s="13">
        <f t="shared" si="6"/>
        <v>370.07</v>
      </c>
      <c r="K11" s="13">
        <f t="shared" si="7"/>
        <v>17603.93</v>
      </c>
      <c r="L11" s="13">
        <f t="shared" si="8"/>
        <v>8352.18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679.87</v>
      </c>
      <c r="E12" s="21">
        <v>8.83</v>
      </c>
      <c r="F12" s="21">
        <v>0</v>
      </c>
      <c r="G12" s="21">
        <v>0</v>
      </c>
      <c r="H12" s="13">
        <f t="shared" si="4"/>
        <v>679.87</v>
      </c>
      <c r="I12" s="13">
        <f t="shared" si="5"/>
        <v>8.83</v>
      </c>
      <c r="J12" s="13">
        <f t="shared" si="6"/>
        <v>688.7</v>
      </c>
      <c r="K12" s="13">
        <f t="shared" si="7"/>
        <v>23641.3</v>
      </c>
      <c r="L12" s="13">
        <f t="shared" si="8"/>
        <v>6423.7999999999993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411.29</v>
      </c>
      <c r="E13" s="13">
        <v>5.34</v>
      </c>
      <c r="F13" s="13">
        <v>0</v>
      </c>
      <c r="G13" s="13">
        <v>0</v>
      </c>
      <c r="H13" s="13">
        <f t="shared" si="4"/>
        <v>411.29</v>
      </c>
      <c r="I13" s="13">
        <f t="shared" si="5"/>
        <v>5.34</v>
      </c>
      <c r="J13" s="13">
        <f t="shared" si="6"/>
        <v>416.63</v>
      </c>
      <c r="K13" s="13">
        <f t="shared" si="7"/>
        <v>33583.370000000003</v>
      </c>
      <c r="L13" s="13">
        <f t="shared" si="8"/>
        <v>23167.620000000003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1106.75</v>
      </c>
      <c r="E14" s="13">
        <v>14.38</v>
      </c>
      <c r="F14" s="13">
        <v>163.19999999999999</v>
      </c>
      <c r="G14" s="13">
        <v>11.75</v>
      </c>
      <c r="H14" s="13">
        <f t="shared" si="4"/>
        <v>1269.95</v>
      </c>
      <c r="I14" s="13">
        <f t="shared" si="5"/>
        <v>26.130000000000003</v>
      </c>
      <c r="J14" s="13">
        <f t="shared" si="6"/>
        <v>1296.0800000000002</v>
      </c>
      <c r="K14" s="13">
        <f t="shared" si="7"/>
        <v>41444.92</v>
      </c>
      <c r="L14" s="13">
        <f t="shared" si="8"/>
        <v>9042.9199999999983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242.73</v>
      </c>
      <c r="E15" s="21">
        <v>3.15</v>
      </c>
      <c r="F15" s="21">
        <v>0</v>
      </c>
      <c r="G15" s="21">
        <v>0</v>
      </c>
      <c r="H15" s="13">
        <f t="shared" si="4"/>
        <v>242.73</v>
      </c>
      <c r="I15" s="13">
        <f t="shared" si="5"/>
        <v>3.15</v>
      </c>
      <c r="J15" s="13">
        <f t="shared" si="6"/>
        <v>245.88</v>
      </c>
      <c r="K15" s="13">
        <f t="shared" si="7"/>
        <v>23927.119999999999</v>
      </c>
      <c r="L15" s="13">
        <f t="shared" si="8"/>
        <v>17780.12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132.22</v>
      </c>
      <c r="E16" s="21">
        <v>1.71</v>
      </c>
      <c r="F16" s="21">
        <v>0</v>
      </c>
      <c r="G16" s="21">
        <v>0</v>
      </c>
      <c r="H16" s="13">
        <f t="shared" si="4"/>
        <v>132.22</v>
      </c>
      <c r="I16" s="13">
        <f t="shared" si="5"/>
        <v>1.71</v>
      </c>
      <c r="J16" s="13">
        <f t="shared" si="6"/>
        <v>133.93</v>
      </c>
      <c r="K16" s="13">
        <f t="shared" si="7"/>
        <v>5866.07</v>
      </c>
      <c r="L16" s="13">
        <f t="shared" si="8"/>
        <v>2517.8199999999997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9">SUM(D8:D16)</f>
        <v>3521.06</v>
      </c>
      <c r="E17" s="55">
        <f t="shared" si="9"/>
        <v>45.72</v>
      </c>
      <c r="F17" s="55">
        <f t="shared" si="9"/>
        <v>573.28</v>
      </c>
      <c r="G17" s="55">
        <f t="shared" si="9"/>
        <v>41.269999999999996</v>
      </c>
      <c r="H17" s="55">
        <f t="shared" si="9"/>
        <v>4094.34</v>
      </c>
      <c r="I17" s="55">
        <f t="shared" si="9"/>
        <v>86.99</v>
      </c>
      <c r="J17" s="55">
        <f t="shared" si="9"/>
        <v>4181.3300000000008</v>
      </c>
      <c r="K17" s="55">
        <f t="shared" si="9"/>
        <v>190576.66999999998</v>
      </c>
      <c r="L17" s="55">
        <f t="shared" si="9"/>
        <v>86043.420000000013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 t="shared" ref="H20:H22" si="10">D20+F20</f>
        <v>0</v>
      </c>
      <c r="I20" s="13">
        <f t="shared" ref="I20:I22" si="11">E20+G20</f>
        <v>0</v>
      </c>
      <c r="J20" s="13">
        <f>H20+I20</f>
        <v>0</v>
      </c>
      <c r="K20" s="13">
        <f>C20-J20</f>
        <v>2109</v>
      </c>
      <c r="L20" s="13">
        <f t="shared" ref="L20:L22" si="12">C20-((J20/1)*26)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</v>
      </c>
      <c r="D21" s="14">
        <v>284.14</v>
      </c>
      <c r="E21" s="14">
        <v>3.69</v>
      </c>
      <c r="F21" s="14">
        <v>0</v>
      </c>
      <c r="G21" s="14">
        <v>0</v>
      </c>
      <c r="H21" s="13">
        <f t="shared" si="10"/>
        <v>284.14</v>
      </c>
      <c r="I21" s="13">
        <f t="shared" si="11"/>
        <v>3.69</v>
      </c>
      <c r="J21" s="13">
        <f>H21+I21</f>
        <v>287.83</v>
      </c>
      <c r="K21" s="13">
        <f>C21-J21</f>
        <v>2212.17</v>
      </c>
      <c r="L21" s="13">
        <f t="shared" si="12"/>
        <v>-4983.58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 t="shared" si="10"/>
        <v>0</v>
      </c>
      <c r="I22" s="13">
        <f t="shared" si="11"/>
        <v>0</v>
      </c>
      <c r="J22" s="13">
        <f>H22+I22</f>
        <v>0</v>
      </c>
      <c r="K22" s="13">
        <f>C22-J22</f>
        <v>12000</v>
      </c>
      <c r="L22" s="13">
        <f t="shared" si="12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13">SUM(C20:C22)</f>
        <v>16609</v>
      </c>
      <c r="D23" s="10">
        <f t="shared" si="13"/>
        <v>284.14</v>
      </c>
      <c r="E23" s="10">
        <f t="shared" si="13"/>
        <v>3.69</v>
      </c>
      <c r="F23" s="10">
        <f t="shared" si="13"/>
        <v>0</v>
      </c>
      <c r="G23" s="10">
        <f t="shared" si="13"/>
        <v>0</v>
      </c>
      <c r="H23" s="10">
        <f t="shared" si="13"/>
        <v>284.14</v>
      </c>
      <c r="I23" s="10">
        <f t="shared" si="13"/>
        <v>3.69</v>
      </c>
      <c r="J23" s="10">
        <f t="shared" si="13"/>
        <v>287.83</v>
      </c>
      <c r="K23" s="10">
        <f t="shared" si="13"/>
        <v>16321.17</v>
      </c>
      <c r="L23" s="10">
        <f t="shared" si="13"/>
        <v>9125.42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78">
        <v>0</v>
      </c>
      <c r="D26" s="14">
        <v>218.75</v>
      </c>
      <c r="E26" s="14">
        <v>2.84</v>
      </c>
      <c r="F26" s="14">
        <v>0</v>
      </c>
      <c r="G26" s="14">
        <v>0</v>
      </c>
      <c r="H26" s="13">
        <f>D26+F26</f>
        <v>218.75</v>
      </c>
      <c r="I26" s="13">
        <f>E26+G26</f>
        <v>2.84</v>
      </c>
      <c r="J26" s="13">
        <f>H26+I26</f>
        <v>221.59</v>
      </c>
      <c r="K26" s="13">
        <f>C26-J26</f>
        <v>-221.59</v>
      </c>
      <c r="L26" s="13">
        <f>C26-((J26/1)*26)</f>
        <v>-5761.34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</f>
        <v>0</v>
      </c>
      <c r="I27" s="13">
        <f>E27+G27</f>
        <v>0</v>
      </c>
      <c r="J27" s="13">
        <f>H27+I27</f>
        <v>0</v>
      </c>
      <c r="K27" s="13">
        <f>C27-J27</f>
        <v>6450</v>
      </c>
      <c r="L27" s="13">
        <f>C27-((J27/1)*26)</f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465</v>
      </c>
      <c r="E28" s="21">
        <v>6.04</v>
      </c>
      <c r="F28" s="21">
        <v>180</v>
      </c>
      <c r="G28" s="21">
        <v>12.96</v>
      </c>
      <c r="H28" s="13">
        <f t="shared" ref="H28:I28" si="14">D28+F28</f>
        <v>645</v>
      </c>
      <c r="I28" s="13">
        <f t="shared" si="14"/>
        <v>19</v>
      </c>
      <c r="J28" s="13">
        <f>H28+I28</f>
        <v>664</v>
      </c>
      <c r="K28" s="13">
        <f>C28-J28</f>
        <v>24336</v>
      </c>
      <c r="L28" s="13">
        <f>C28-((J28/1)*26)</f>
        <v>7736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 t="shared" ref="H29" si="15">D29+F29</f>
        <v>0</v>
      </c>
      <c r="I29" s="13">
        <f t="shared" ref="I29" si="16">E29+G29</f>
        <v>0</v>
      </c>
      <c r="J29" s="13">
        <f>H29+I29</f>
        <v>0</v>
      </c>
      <c r="K29" s="13">
        <f>C29-J29</f>
        <v>5000</v>
      </c>
      <c r="L29" s="13">
        <f>C29-((J29/1)*26)</f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36450</v>
      </c>
      <c r="D30" s="48">
        <f t="shared" ref="D30:L30" si="17">SUM(D26:D29)</f>
        <v>683.75</v>
      </c>
      <c r="E30" s="48">
        <f t="shared" si="17"/>
        <v>8.879999999999999</v>
      </c>
      <c r="F30" s="48">
        <f t="shared" si="17"/>
        <v>180</v>
      </c>
      <c r="G30" s="48">
        <f t="shared" si="17"/>
        <v>12.96</v>
      </c>
      <c r="H30" s="48">
        <f t="shared" si="17"/>
        <v>863.75</v>
      </c>
      <c r="I30" s="48">
        <f t="shared" si="17"/>
        <v>21.84</v>
      </c>
      <c r="J30" s="48">
        <f t="shared" si="17"/>
        <v>885.59</v>
      </c>
      <c r="K30" s="48">
        <f t="shared" si="17"/>
        <v>35564.410000000003</v>
      </c>
      <c r="L30" s="48">
        <f t="shared" si="17"/>
        <v>13424.66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268217</v>
      </c>
      <c r="D33" s="41">
        <f t="shared" ref="D33:L33" si="18">D17+D23+D30+D5</f>
        <v>4488.95</v>
      </c>
      <c r="E33" s="41">
        <f t="shared" si="18"/>
        <v>58.289999999999992</v>
      </c>
      <c r="F33" s="41">
        <f t="shared" si="18"/>
        <v>753.28</v>
      </c>
      <c r="G33" s="41">
        <f t="shared" si="18"/>
        <v>54.23</v>
      </c>
      <c r="H33" s="41">
        <f t="shared" si="18"/>
        <v>5242.2300000000005</v>
      </c>
      <c r="I33" s="41">
        <f t="shared" si="18"/>
        <v>112.52</v>
      </c>
      <c r="J33" s="41">
        <f t="shared" si="18"/>
        <v>5354.7500000000009</v>
      </c>
      <c r="K33" s="41">
        <f t="shared" si="18"/>
        <v>262862.25</v>
      </c>
      <c r="L33" s="41">
        <f t="shared" si="18"/>
        <v>128993.50000000001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14"/>
      <c r="E36" s="14"/>
      <c r="F36" s="14"/>
      <c r="G36" s="14"/>
      <c r="H36" s="13">
        <f t="shared" ref="H36:H53" si="19">D36+F36</f>
        <v>0</v>
      </c>
      <c r="I36" s="13">
        <f t="shared" ref="I36:I53" si="20">E36+G36</f>
        <v>0</v>
      </c>
      <c r="J36" s="13">
        <f t="shared" ref="J36:J53" si="21">H36+I36</f>
        <v>0</v>
      </c>
      <c r="K36" s="13">
        <f t="shared" ref="K36:K53" si="22">C36-J36</f>
        <v>0</v>
      </c>
      <c r="L36" s="13">
        <f t="shared" ref="L36:L53" si="23">C36-((J36/1)*26)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14"/>
      <c r="E37" s="14"/>
      <c r="F37" s="14"/>
      <c r="G37" s="14"/>
      <c r="H37" s="13">
        <f t="shared" si="19"/>
        <v>0</v>
      </c>
      <c r="I37" s="13">
        <f t="shared" si="20"/>
        <v>0</v>
      </c>
      <c r="J37" s="13">
        <f t="shared" si="21"/>
        <v>0</v>
      </c>
      <c r="K37" s="13">
        <f t="shared" si="22"/>
        <v>0</v>
      </c>
      <c r="L37" s="13">
        <f t="shared" si="23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14"/>
      <c r="E38" s="14"/>
      <c r="F38" s="14"/>
      <c r="G38" s="14"/>
      <c r="H38" s="13">
        <f t="shared" si="19"/>
        <v>0</v>
      </c>
      <c r="I38" s="13">
        <f t="shared" si="20"/>
        <v>0</v>
      </c>
      <c r="J38" s="13">
        <f t="shared" si="21"/>
        <v>0</v>
      </c>
      <c r="K38" s="13">
        <f t="shared" si="22"/>
        <v>0</v>
      </c>
      <c r="L38" s="13">
        <f t="shared" si="23"/>
        <v>0</v>
      </c>
      <c r="M38" s="35"/>
    </row>
    <row r="39" spans="1:13" s="32" customFormat="1" ht="11.25" customHeight="1" x14ac:dyDescent="0.25">
      <c r="A39" s="27" t="s">
        <v>33</v>
      </c>
      <c r="B39" s="26" t="s">
        <v>32</v>
      </c>
      <c r="C39" s="77">
        <v>0</v>
      </c>
      <c r="D39" s="14"/>
      <c r="E39" s="14"/>
      <c r="F39" s="14"/>
      <c r="G39" s="14"/>
      <c r="H39" s="13">
        <f t="shared" si="19"/>
        <v>0</v>
      </c>
      <c r="I39" s="13">
        <f t="shared" si="20"/>
        <v>0</v>
      </c>
      <c r="J39" s="13">
        <f t="shared" si="21"/>
        <v>0</v>
      </c>
      <c r="K39" s="13">
        <f t="shared" si="22"/>
        <v>0</v>
      </c>
      <c r="L39" s="13">
        <f t="shared" si="23"/>
        <v>0</v>
      </c>
      <c r="M39" s="36"/>
    </row>
    <row r="40" spans="1:13" s="32" customFormat="1" ht="11.45" customHeight="1" x14ac:dyDescent="0.25">
      <c r="A40" s="27" t="s">
        <v>31</v>
      </c>
      <c r="B40" s="26" t="s">
        <v>30</v>
      </c>
      <c r="C40" s="77">
        <v>0</v>
      </c>
      <c r="D40" s="14"/>
      <c r="E40" s="14"/>
      <c r="F40" s="14"/>
      <c r="G40" s="14"/>
      <c r="H40" s="13">
        <f t="shared" si="19"/>
        <v>0</v>
      </c>
      <c r="I40" s="13">
        <f t="shared" si="20"/>
        <v>0</v>
      </c>
      <c r="J40" s="13">
        <f t="shared" si="21"/>
        <v>0</v>
      </c>
      <c r="K40" s="13">
        <f t="shared" si="22"/>
        <v>0</v>
      </c>
      <c r="L40" s="13">
        <f t="shared" si="23"/>
        <v>0</v>
      </c>
      <c r="M40" s="35"/>
    </row>
    <row r="41" spans="1:13" s="30" customFormat="1" ht="11.45" customHeight="1" x14ac:dyDescent="0.2">
      <c r="A41" s="27" t="s">
        <v>29</v>
      </c>
      <c r="B41" s="26" t="s">
        <v>28</v>
      </c>
      <c r="C41" s="13">
        <v>2500</v>
      </c>
      <c r="D41" s="14">
        <v>272.81</v>
      </c>
      <c r="E41" s="14">
        <v>3.54</v>
      </c>
      <c r="F41" s="14">
        <v>0</v>
      </c>
      <c r="G41" s="14">
        <v>0</v>
      </c>
      <c r="H41" s="13">
        <f t="shared" si="19"/>
        <v>272.81</v>
      </c>
      <c r="I41" s="13">
        <f t="shared" si="20"/>
        <v>3.54</v>
      </c>
      <c r="J41" s="13">
        <f t="shared" si="21"/>
        <v>276.35000000000002</v>
      </c>
      <c r="K41" s="13">
        <f t="shared" si="22"/>
        <v>2223.65</v>
      </c>
      <c r="L41" s="13">
        <f t="shared" si="23"/>
        <v>-4685.1000000000004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14"/>
      <c r="E42" s="14"/>
      <c r="F42" s="14"/>
      <c r="G42" s="14"/>
      <c r="H42" s="13">
        <f t="shared" si="19"/>
        <v>0</v>
      </c>
      <c r="I42" s="13">
        <f t="shared" si="20"/>
        <v>0</v>
      </c>
      <c r="J42" s="21">
        <f t="shared" si="21"/>
        <v>0</v>
      </c>
      <c r="K42" s="33">
        <f t="shared" si="22"/>
        <v>0</v>
      </c>
      <c r="L42" s="13">
        <f t="shared" si="23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14"/>
      <c r="E43" s="14"/>
      <c r="F43" s="14"/>
      <c r="G43" s="14"/>
      <c r="H43" s="13">
        <f t="shared" si="19"/>
        <v>0</v>
      </c>
      <c r="I43" s="13">
        <f t="shared" si="20"/>
        <v>0</v>
      </c>
      <c r="J43" s="21">
        <f t="shared" si="21"/>
        <v>0</v>
      </c>
      <c r="K43" s="33">
        <f t="shared" si="22"/>
        <v>0</v>
      </c>
      <c r="L43" s="13">
        <f t="shared" si="23"/>
        <v>0</v>
      </c>
      <c r="M43" s="24"/>
    </row>
    <row r="44" spans="1:13" s="32" customFormat="1" ht="11.25" customHeight="1" x14ac:dyDescent="0.2">
      <c r="A44" s="27" t="s">
        <v>24</v>
      </c>
      <c r="B44" s="26" t="s">
        <v>23</v>
      </c>
      <c r="C44" s="77">
        <v>0</v>
      </c>
      <c r="D44" s="14"/>
      <c r="E44" s="14"/>
      <c r="F44" s="14"/>
      <c r="G44" s="14"/>
      <c r="H44" s="13">
        <f t="shared" si="19"/>
        <v>0</v>
      </c>
      <c r="I44" s="13">
        <f t="shared" si="20"/>
        <v>0</v>
      </c>
      <c r="J44" s="13">
        <f t="shared" si="21"/>
        <v>0</v>
      </c>
      <c r="K44" s="33">
        <f t="shared" si="22"/>
        <v>0</v>
      </c>
      <c r="L44" s="13">
        <f t="shared" si="23"/>
        <v>0</v>
      </c>
      <c r="M44" s="24"/>
    </row>
    <row r="45" spans="1:13" s="30" customFormat="1" ht="11.45" customHeight="1" x14ac:dyDescent="0.25">
      <c r="A45" s="27" t="s">
        <v>22</v>
      </c>
      <c r="B45" s="2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 t="shared" si="19"/>
        <v>0</v>
      </c>
      <c r="I45" s="13">
        <f t="shared" si="20"/>
        <v>0</v>
      </c>
      <c r="J45" s="13">
        <f t="shared" si="21"/>
        <v>0</v>
      </c>
      <c r="K45" s="13">
        <f t="shared" si="22"/>
        <v>2770.95</v>
      </c>
      <c r="L45" s="13">
        <f t="shared" si="23"/>
        <v>2770.95</v>
      </c>
      <c r="M45" s="28"/>
    </row>
    <row r="46" spans="1:13" s="30" customFormat="1" ht="11.45" customHeight="1" x14ac:dyDescent="0.25">
      <c r="A46" s="27" t="s">
        <v>20</v>
      </c>
      <c r="B46" s="26" t="s">
        <v>19</v>
      </c>
      <c r="C46" s="13">
        <v>6021.08</v>
      </c>
      <c r="D46" s="14">
        <v>23.56</v>
      </c>
      <c r="E46" s="14">
        <v>0.3</v>
      </c>
      <c r="F46" s="14">
        <v>0</v>
      </c>
      <c r="G46" s="14">
        <v>0</v>
      </c>
      <c r="H46" s="13">
        <f t="shared" si="19"/>
        <v>23.56</v>
      </c>
      <c r="I46" s="13">
        <f t="shared" si="20"/>
        <v>0.3</v>
      </c>
      <c r="J46" s="13">
        <f t="shared" si="21"/>
        <v>23.86</v>
      </c>
      <c r="K46" s="13">
        <f t="shared" si="22"/>
        <v>5997.22</v>
      </c>
      <c r="L46" s="13">
        <f t="shared" si="23"/>
        <v>5400.72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328.16</v>
      </c>
      <c r="E47" s="14">
        <v>4.26</v>
      </c>
      <c r="F47" s="14">
        <v>0</v>
      </c>
      <c r="G47" s="14">
        <v>0</v>
      </c>
      <c r="H47" s="13">
        <f t="shared" si="19"/>
        <v>328.16</v>
      </c>
      <c r="I47" s="13">
        <f t="shared" si="20"/>
        <v>4.26</v>
      </c>
      <c r="J47" s="13">
        <f t="shared" si="21"/>
        <v>332.42</v>
      </c>
      <c r="K47" s="13">
        <f t="shared" si="22"/>
        <v>9667.58</v>
      </c>
      <c r="L47" s="13">
        <f t="shared" si="23"/>
        <v>1357.08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</f>
        <v>994.43000000000006</v>
      </c>
      <c r="D48" s="14">
        <v>255</v>
      </c>
      <c r="E48" s="14">
        <v>3.31</v>
      </c>
      <c r="F48" s="14">
        <v>0</v>
      </c>
      <c r="G48" s="14">
        <v>0</v>
      </c>
      <c r="H48" s="13">
        <f t="shared" si="19"/>
        <v>255</v>
      </c>
      <c r="I48" s="13">
        <f t="shared" si="20"/>
        <v>3.31</v>
      </c>
      <c r="J48" s="13">
        <f t="shared" si="21"/>
        <v>258.31</v>
      </c>
      <c r="K48" s="13">
        <f t="shared" si="22"/>
        <v>736.12000000000012</v>
      </c>
      <c r="L48" s="13">
        <f t="shared" si="23"/>
        <v>-5721.63</v>
      </c>
      <c r="M48" s="24"/>
    </row>
    <row r="49" spans="1:13" s="23" customFormat="1" ht="11.25" customHeight="1" x14ac:dyDescent="0.25">
      <c r="A49" s="27" t="s">
        <v>15</v>
      </c>
      <c r="B49" s="26" t="s">
        <v>14</v>
      </c>
      <c r="C49" s="13">
        <v>167.23</v>
      </c>
      <c r="D49" s="14">
        <v>0</v>
      </c>
      <c r="E49" s="14">
        <v>0</v>
      </c>
      <c r="F49" s="14">
        <v>156</v>
      </c>
      <c r="G49" s="14">
        <v>11.23</v>
      </c>
      <c r="H49" s="13">
        <f t="shared" si="19"/>
        <v>156</v>
      </c>
      <c r="I49" s="13">
        <f t="shared" si="20"/>
        <v>11.23</v>
      </c>
      <c r="J49" s="13">
        <f t="shared" si="21"/>
        <v>167.23</v>
      </c>
      <c r="K49" s="13">
        <f t="shared" si="22"/>
        <v>0</v>
      </c>
      <c r="L49" s="13">
        <f t="shared" si="23"/>
        <v>-4180.75</v>
      </c>
      <c r="M49" s="74"/>
    </row>
    <row r="50" spans="1:13" s="23" customFormat="1" ht="11.25" customHeight="1" x14ac:dyDescent="0.25">
      <c r="A50" s="27" t="s">
        <v>13</v>
      </c>
      <c r="B50" s="26" t="s">
        <v>12</v>
      </c>
      <c r="C50" s="77">
        <v>0</v>
      </c>
      <c r="D50" s="14"/>
      <c r="E50" s="14"/>
      <c r="F50" s="14"/>
      <c r="G50" s="14"/>
      <c r="H50" s="13">
        <f t="shared" si="19"/>
        <v>0</v>
      </c>
      <c r="I50" s="13">
        <f t="shared" si="20"/>
        <v>0</v>
      </c>
      <c r="J50" s="13">
        <f t="shared" si="21"/>
        <v>0</v>
      </c>
      <c r="K50" s="13">
        <f t="shared" si="22"/>
        <v>0</v>
      </c>
      <c r="L50" s="13">
        <f t="shared" si="23"/>
        <v>0</v>
      </c>
      <c r="M50" s="28"/>
    </row>
    <row r="51" spans="1:13" s="23" customFormat="1" ht="11.25" customHeight="1" x14ac:dyDescent="0.2">
      <c r="A51" s="27" t="s">
        <v>11</v>
      </c>
      <c r="B51" s="26" t="s">
        <v>10</v>
      </c>
      <c r="C51" s="13">
        <v>6800</v>
      </c>
      <c r="D51" s="14">
        <v>320</v>
      </c>
      <c r="E51" s="14">
        <v>4.16</v>
      </c>
      <c r="F51" s="14">
        <v>0</v>
      </c>
      <c r="G51" s="14">
        <v>0</v>
      </c>
      <c r="H51" s="13">
        <f t="shared" si="19"/>
        <v>320</v>
      </c>
      <c r="I51" s="13">
        <f t="shared" si="20"/>
        <v>4.16</v>
      </c>
      <c r="J51" s="13">
        <f t="shared" si="21"/>
        <v>324.16000000000003</v>
      </c>
      <c r="K51" s="13">
        <f t="shared" si="22"/>
        <v>6475.84</v>
      </c>
      <c r="L51" s="13">
        <f t="shared" si="23"/>
        <v>-1628.1599999999999</v>
      </c>
      <c r="M51" s="24"/>
    </row>
    <row r="52" spans="1:13" s="23" customFormat="1" ht="11.25" customHeight="1" x14ac:dyDescent="0.2">
      <c r="A52" s="27" t="s">
        <v>9</v>
      </c>
      <c r="B52" s="26" t="s">
        <v>8</v>
      </c>
      <c r="C52" s="13">
        <v>1900</v>
      </c>
      <c r="D52" s="14">
        <v>0</v>
      </c>
      <c r="E52" s="14">
        <v>0</v>
      </c>
      <c r="F52" s="14">
        <v>71.040000000000006</v>
      </c>
      <c r="G52" s="14">
        <v>5.1100000000000003</v>
      </c>
      <c r="H52" s="13">
        <f t="shared" si="19"/>
        <v>71.040000000000006</v>
      </c>
      <c r="I52" s="13">
        <f t="shared" si="20"/>
        <v>5.1100000000000003</v>
      </c>
      <c r="J52" s="13">
        <f t="shared" si="21"/>
        <v>76.150000000000006</v>
      </c>
      <c r="K52" s="13">
        <f t="shared" si="22"/>
        <v>1823.85</v>
      </c>
      <c r="L52" s="13">
        <f t="shared" si="23"/>
        <v>-79.900000000000091</v>
      </c>
      <c r="M52" s="24"/>
    </row>
    <row r="53" spans="1:13" s="23" customFormat="1" ht="11.25" customHeight="1" x14ac:dyDescent="0.2">
      <c r="A53" s="27" t="s">
        <v>7</v>
      </c>
      <c r="B53" s="2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 t="shared" si="19"/>
        <v>0</v>
      </c>
      <c r="I53" s="13">
        <f t="shared" si="20"/>
        <v>0</v>
      </c>
      <c r="J53" s="13">
        <f t="shared" si="21"/>
        <v>0</v>
      </c>
      <c r="K53" s="13">
        <f t="shared" si="22"/>
        <v>303.89999999999998</v>
      </c>
      <c r="L53" s="13">
        <f t="shared" si="23"/>
        <v>303.89999999999998</v>
      </c>
      <c r="M53" s="24"/>
    </row>
    <row r="54" spans="1:13" ht="21.6" customHeight="1" x14ac:dyDescent="0.25">
      <c r="A54" s="94" t="s">
        <v>5</v>
      </c>
      <c r="B54" s="95"/>
      <c r="C54" s="10">
        <f t="shared" ref="C54:L54" si="24">SUM(C36:C53)</f>
        <v>31457.59</v>
      </c>
      <c r="D54" s="10">
        <f t="shared" si="24"/>
        <v>1199.53</v>
      </c>
      <c r="E54" s="10">
        <f t="shared" si="24"/>
        <v>15.57</v>
      </c>
      <c r="F54" s="10">
        <f t="shared" si="24"/>
        <v>227.04000000000002</v>
      </c>
      <c r="G54" s="10">
        <f t="shared" si="24"/>
        <v>16.34</v>
      </c>
      <c r="H54" s="10">
        <f t="shared" si="24"/>
        <v>1426.57</v>
      </c>
      <c r="I54" s="10">
        <f t="shared" si="24"/>
        <v>31.91</v>
      </c>
      <c r="J54" s="10">
        <f t="shared" si="24"/>
        <v>1458.4800000000002</v>
      </c>
      <c r="K54" s="10">
        <f t="shared" si="24"/>
        <v>29999.11</v>
      </c>
      <c r="L54" s="10">
        <f t="shared" si="24"/>
        <v>-6462.8900000000012</v>
      </c>
      <c r="M54" s="22"/>
    </row>
    <row r="55" spans="1:13" ht="10.9" customHeight="1" x14ac:dyDescent="0.25">
      <c r="A55" s="19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2"/>
    </row>
    <row r="56" spans="1:13" ht="10.9" customHeight="1" x14ac:dyDescent="0.25">
      <c r="A56" s="19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3" s="11" customFormat="1" ht="10.9" customHeight="1" x14ac:dyDescent="0.25">
      <c r="A57" s="16" t="s">
        <v>4</v>
      </c>
      <c r="B57" s="15" t="s">
        <v>3</v>
      </c>
      <c r="C57" s="13">
        <v>62583</v>
      </c>
      <c r="D57" s="21">
        <v>410.83</v>
      </c>
      <c r="E57" s="21">
        <v>5.34</v>
      </c>
      <c r="F57" s="21">
        <v>0</v>
      </c>
      <c r="G57" s="21">
        <v>0</v>
      </c>
      <c r="H57" s="13">
        <f t="shared" ref="H57" si="25">D57+F57</f>
        <v>410.83</v>
      </c>
      <c r="I57" s="13">
        <f t="shared" ref="I57" si="26">E57+G57</f>
        <v>5.34</v>
      </c>
      <c r="J57" s="13">
        <f>H57+I57</f>
        <v>416.16999999999996</v>
      </c>
      <c r="K57" s="13">
        <f>C57-J57</f>
        <v>62166.83</v>
      </c>
      <c r="L57" s="13">
        <f t="shared" ref="L57" si="27">C57-((J57/1)*26)</f>
        <v>51762.58</v>
      </c>
      <c r="M57" s="12"/>
    </row>
    <row r="58" spans="1:13" ht="21.6" customHeight="1" x14ac:dyDescent="0.25">
      <c r="A58" s="94" t="s">
        <v>2</v>
      </c>
      <c r="B58" s="95"/>
      <c r="C58" s="20">
        <f>SUM(C57)</f>
        <v>62583</v>
      </c>
      <c r="D58" s="20">
        <f t="shared" ref="D58:L58" si="28">SUM(D57)</f>
        <v>410.83</v>
      </c>
      <c r="E58" s="20">
        <f t="shared" si="28"/>
        <v>5.34</v>
      </c>
      <c r="F58" s="20">
        <f t="shared" si="28"/>
        <v>0</v>
      </c>
      <c r="G58" s="20">
        <f t="shared" si="28"/>
        <v>0</v>
      </c>
      <c r="H58" s="20">
        <f t="shared" si="28"/>
        <v>410.83</v>
      </c>
      <c r="I58" s="20">
        <f t="shared" si="28"/>
        <v>5.34</v>
      </c>
      <c r="J58" s="20">
        <f t="shared" si="28"/>
        <v>416.16999999999996</v>
      </c>
      <c r="K58" s="20">
        <f t="shared" si="28"/>
        <v>62166.83</v>
      </c>
      <c r="L58" s="20">
        <f t="shared" si="28"/>
        <v>51762.58</v>
      </c>
    </row>
    <row r="59" spans="1:13" ht="10.9" customHeight="1" x14ac:dyDescent="0.25">
      <c r="A59" s="19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3" s="11" customFormat="1" ht="10.9" customHeight="1" x14ac:dyDescent="0.25">
      <c r="A61" s="16" t="s">
        <v>1</v>
      </c>
      <c r="B61" s="15">
        <v>55180000</v>
      </c>
      <c r="C61" s="77">
        <v>0</v>
      </c>
      <c r="D61" s="14"/>
      <c r="E61" s="14"/>
      <c r="F61" s="14"/>
      <c r="G61" s="14"/>
      <c r="H61" s="13">
        <f t="shared" ref="H61:I61" si="29">D61+F61</f>
        <v>0</v>
      </c>
      <c r="I61" s="13">
        <f t="shared" si="29"/>
        <v>0</v>
      </c>
      <c r="J61" s="13">
        <f>H61+I61</f>
        <v>0</v>
      </c>
      <c r="K61" s="13">
        <f>C61-J61</f>
        <v>0</v>
      </c>
      <c r="L61" s="13">
        <f>C61-((J61/1)*26)</f>
        <v>0</v>
      </c>
      <c r="M61" s="12"/>
    </row>
    <row r="62" spans="1:13" s="5" customFormat="1" ht="21.6" customHeight="1" x14ac:dyDescent="0.25">
      <c r="A62" s="94" t="s">
        <v>0</v>
      </c>
      <c r="B62" s="95"/>
      <c r="C62" s="10">
        <f t="shared" ref="C62:L62" si="30">SUM(C61)</f>
        <v>0</v>
      </c>
      <c r="D62" s="10">
        <f t="shared" si="30"/>
        <v>0</v>
      </c>
      <c r="E62" s="10">
        <f t="shared" si="30"/>
        <v>0</v>
      </c>
      <c r="F62" s="10">
        <f t="shared" si="30"/>
        <v>0</v>
      </c>
      <c r="G62" s="10">
        <f t="shared" si="30"/>
        <v>0</v>
      </c>
      <c r="H62" s="10">
        <f t="shared" si="30"/>
        <v>0</v>
      </c>
      <c r="I62" s="10">
        <f t="shared" si="30"/>
        <v>0</v>
      </c>
      <c r="J62" s="10">
        <f t="shared" si="30"/>
        <v>0</v>
      </c>
      <c r="K62" s="10">
        <f t="shared" si="30"/>
        <v>0</v>
      </c>
      <c r="L62" s="10">
        <f t="shared" si="30"/>
        <v>0</v>
      </c>
      <c r="M62" s="6"/>
    </row>
    <row r="63" spans="1:13" s="5" customFormat="1" ht="11.25" customHeight="1" x14ac:dyDescent="0.25">
      <c r="A63" s="9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6"/>
    </row>
  </sheetData>
  <mergeCells count="8">
    <mergeCell ref="A58:B58"/>
    <mergeCell ref="A62:B62"/>
    <mergeCell ref="A54:B54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A232-BA25-4B05-82EB-D7D3158F0ACB}">
  <sheetPr>
    <pageSetUpPr fitToPage="1"/>
  </sheetPr>
  <dimension ref="A1:R127"/>
  <sheetViews>
    <sheetView zoomScale="160" zoomScaleNormal="160" workbookViewId="0">
      <pane ySplit="2" topLeftCell="A3" activePane="bottomLeft" state="frozen"/>
      <selection pane="bottomLeft" activeCell="K49" sqref="K49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44875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320</v>
      </c>
      <c r="G3" s="14">
        <v>23.03</v>
      </c>
      <c r="H3" s="13">
        <f>D3+F3+'10-27-2022'!H3</f>
        <v>3208</v>
      </c>
      <c r="I3" s="13">
        <f>E3+G3+'10-27-2022'!I3</f>
        <v>230.93</v>
      </c>
      <c r="J3" s="13">
        <f>H3+I3</f>
        <v>3438.93</v>
      </c>
      <c r="K3" s="13">
        <f>C3-J3</f>
        <v>7361.07</v>
      </c>
      <c r="L3" s="13">
        <f>C3-((J3/10)*26)</f>
        <v>1858.7820000000011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1510</v>
      </c>
      <c r="G4" s="14">
        <v>108.71</v>
      </c>
      <c r="H4" s="13">
        <f>D4+F4+'10-27-2022'!H4</f>
        <v>4680</v>
      </c>
      <c r="I4" s="13">
        <f>E4+G4+'10-27-2022'!I4</f>
        <v>329.87</v>
      </c>
      <c r="J4" s="13">
        <f>H4+I4</f>
        <v>5009.87</v>
      </c>
      <c r="K4" s="13">
        <f>C4-J4</f>
        <v>4590.13</v>
      </c>
      <c r="L4" s="13">
        <f>C4-((J4/10)*26)</f>
        <v>-3425.6619999999984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1830</v>
      </c>
      <c r="G5" s="55">
        <f t="shared" si="0"/>
        <v>131.74</v>
      </c>
      <c r="H5" s="55">
        <f t="shared" si="0"/>
        <v>7888</v>
      </c>
      <c r="I5" s="55">
        <f t="shared" si="0"/>
        <v>560.79999999999995</v>
      </c>
      <c r="J5" s="55">
        <f t="shared" si="0"/>
        <v>8448.7999999999993</v>
      </c>
      <c r="K5" s="55">
        <f t="shared" si="0"/>
        <v>11951.2</v>
      </c>
      <c r="L5" s="55">
        <f t="shared" si="0"/>
        <v>-1566.8799999999974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D8+F8+'10-27-2022'!H8</f>
        <v>0</v>
      </c>
      <c r="I8" s="13">
        <f>E8+G8+'10-27-2022'!I8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C8-((J8/10)*26)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929.04</v>
      </c>
      <c r="E9" s="21">
        <v>12.07</v>
      </c>
      <c r="F9" s="21">
        <v>0</v>
      </c>
      <c r="G9" s="21">
        <v>0</v>
      </c>
      <c r="H9" s="13">
        <f>D9+F9+'10-27-2022'!H9</f>
        <v>7538.41</v>
      </c>
      <c r="I9" s="13">
        <f>E9+G9+'10-27-2022'!I9</f>
        <v>139.63999999999999</v>
      </c>
      <c r="J9" s="13">
        <f t="shared" si="1"/>
        <v>7678.05</v>
      </c>
      <c r="K9" s="13">
        <f t="shared" si="2"/>
        <v>16970.95</v>
      </c>
      <c r="L9" s="13">
        <f t="shared" si="3"/>
        <v>4686.07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881.62</v>
      </c>
      <c r="E10" s="21">
        <v>11.45</v>
      </c>
      <c r="F10" s="21">
        <v>1284.48</v>
      </c>
      <c r="G10" s="21">
        <v>92.48</v>
      </c>
      <c r="H10" s="13">
        <f>D10+F10+'10-27-2022'!H10</f>
        <v>16938.310000000001</v>
      </c>
      <c r="I10" s="13">
        <f>E10+G10+'10-27-2022'!I10</f>
        <v>829.40000000000009</v>
      </c>
      <c r="J10" s="13">
        <f t="shared" si="1"/>
        <v>17767.710000000003</v>
      </c>
      <c r="K10" s="13">
        <f t="shared" si="2"/>
        <v>206.28999999999724</v>
      </c>
      <c r="L10" s="13">
        <f t="shared" si="3"/>
        <v>-28222.046000000002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624.21</v>
      </c>
      <c r="E11" s="21">
        <v>8.11</v>
      </c>
      <c r="F11" s="21">
        <v>0</v>
      </c>
      <c r="G11" s="21">
        <v>0</v>
      </c>
      <c r="H11" s="13">
        <f>D11+F11+'10-27-2022'!H11</f>
        <v>3977.43</v>
      </c>
      <c r="I11" s="13">
        <f>E11+G11+'10-27-2022'!I11</f>
        <v>51.67</v>
      </c>
      <c r="J11" s="13">
        <f t="shared" si="1"/>
        <v>4029.1</v>
      </c>
      <c r="K11" s="13">
        <f t="shared" si="2"/>
        <v>13944.9</v>
      </c>
      <c r="L11" s="13">
        <f t="shared" si="3"/>
        <v>7498.34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867.53</v>
      </c>
      <c r="E12" s="21">
        <v>11.27</v>
      </c>
      <c r="F12" s="21">
        <v>0</v>
      </c>
      <c r="G12" s="21">
        <v>0</v>
      </c>
      <c r="H12" s="13">
        <f>D12+F12+'10-27-2022'!H12</f>
        <v>11702.939999999999</v>
      </c>
      <c r="I12" s="13">
        <f>E12+G12+'10-27-2022'!I12</f>
        <v>152.04000000000002</v>
      </c>
      <c r="J12" s="13">
        <f t="shared" si="1"/>
        <v>11854.98</v>
      </c>
      <c r="K12" s="13">
        <f t="shared" si="2"/>
        <v>12475.02</v>
      </c>
      <c r="L12" s="13">
        <f t="shared" si="3"/>
        <v>-6492.9480000000003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1661.55</v>
      </c>
      <c r="E13" s="13">
        <v>21.59</v>
      </c>
      <c r="F13" s="13">
        <v>0</v>
      </c>
      <c r="G13" s="13">
        <v>0</v>
      </c>
      <c r="H13" s="13">
        <f>D13+F13+'10-27-2022'!H13</f>
        <v>14281.439999999999</v>
      </c>
      <c r="I13" s="13">
        <f>E13+G13+'10-27-2022'!I13</f>
        <v>185.56000000000003</v>
      </c>
      <c r="J13" s="13">
        <f t="shared" si="1"/>
        <v>14466.999999999998</v>
      </c>
      <c r="K13" s="13">
        <f t="shared" si="2"/>
        <v>19533</v>
      </c>
      <c r="L13" s="13">
        <f t="shared" si="3"/>
        <v>-3614.1999999999971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1978.04</v>
      </c>
      <c r="E14" s="13">
        <v>25.69</v>
      </c>
      <c r="F14" s="13">
        <v>90</v>
      </c>
      <c r="G14" s="13">
        <v>6.48</v>
      </c>
      <c r="H14" s="13">
        <f>D14+F14+'10-27-2022'!H14</f>
        <v>18121.749999999996</v>
      </c>
      <c r="I14" s="13">
        <f>E14+G14+'10-27-2022'!I14</f>
        <v>283.45999999999998</v>
      </c>
      <c r="J14" s="13">
        <f t="shared" si="1"/>
        <v>18405.209999999995</v>
      </c>
      <c r="K14" s="13">
        <f t="shared" si="2"/>
        <v>24335.790000000005</v>
      </c>
      <c r="L14" s="13">
        <f t="shared" si="3"/>
        <v>-5112.5459999999875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474.24</v>
      </c>
      <c r="E15" s="21">
        <v>6.15</v>
      </c>
      <c r="F15" s="21">
        <v>0</v>
      </c>
      <c r="G15" s="21">
        <v>0</v>
      </c>
      <c r="H15" s="13">
        <f>D15+F15+'10-27-2022'!H15</f>
        <v>4858.45</v>
      </c>
      <c r="I15" s="13">
        <f>E15+G15+'10-27-2022'!I15</f>
        <v>63.089999999999996</v>
      </c>
      <c r="J15" s="13">
        <f t="shared" si="1"/>
        <v>4921.54</v>
      </c>
      <c r="K15" s="13">
        <f t="shared" si="2"/>
        <v>19251.46</v>
      </c>
      <c r="L15" s="13">
        <f t="shared" si="3"/>
        <v>11376.995999999999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100.53</v>
      </c>
      <c r="E16" s="21">
        <v>1.29</v>
      </c>
      <c r="F16" s="21">
        <v>0</v>
      </c>
      <c r="G16" s="21">
        <v>0</v>
      </c>
      <c r="H16" s="13">
        <f>D16+F16+'10-27-2022'!H16</f>
        <v>1189.47</v>
      </c>
      <c r="I16" s="13">
        <f>E16+G16+'10-27-2022'!I16</f>
        <v>17.16</v>
      </c>
      <c r="J16" s="13">
        <f t="shared" si="1"/>
        <v>1206.6300000000001</v>
      </c>
      <c r="K16" s="13">
        <f t="shared" si="2"/>
        <v>4793.37</v>
      </c>
      <c r="L16" s="13">
        <f t="shared" si="3"/>
        <v>2862.7619999999997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7516.7599999999993</v>
      </c>
      <c r="E17" s="55">
        <f t="shared" si="4"/>
        <v>97.62</v>
      </c>
      <c r="F17" s="55">
        <f t="shared" si="4"/>
        <v>1374.48</v>
      </c>
      <c r="G17" s="55">
        <f t="shared" si="4"/>
        <v>98.960000000000008</v>
      </c>
      <c r="H17" s="55">
        <f t="shared" si="4"/>
        <v>78608.2</v>
      </c>
      <c r="I17" s="55">
        <f t="shared" si="4"/>
        <v>1722.02</v>
      </c>
      <c r="J17" s="55">
        <f t="shared" si="4"/>
        <v>80330.219999999987</v>
      </c>
      <c r="K17" s="55">
        <f t="shared" si="4"/>
        <v>114427.78</v>
      </c>
      <c r="L17" s="55">
        <f t="shared" si="4"/>
        <v>-14100.571999999989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D20+F20+'10-27-2022'!H20</f>
        <v>0</v>
      </c>
      <c r="I20" s="13">
        <f>E20+G20+'10-27-2022'!I20</f>
        <v>0</v>
      </c>
      <c r="J20" s="13">
        <f>H20+I20</f>
        <v>0</v>
      </c>
      <c r="K20" s="13">
        <f>C20-J20</f>
        <v>2109</v>
      </c>
      <c r="L20" s="13">
        <f t="shared" ref="L20:L22" si="5">C20-((J20/10)*26)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953.52</v>
      </c>
      <c r="E21" s="14">
        <v>12.39</v>
      </c>
      <c r="F21" s="14">
        <v>891.2</v>
      </c>
      <c r="G21" s="14">
        <v>64.150000000000006</v>
      </c>
      <c r="H21" s="13">
        <f>D21+F21+'10-27-2022'!H21</f>
        <v>11991.37</v>
      </c>
      <c r="I21" s="13">
        <f>E21+G21+'10-27-2022'!I21</f>
        <v>376.61</v>
      </c>
      <c r="J21" s="13">
        <f>H21+I21</f>
        <v>12367.980000000001</v>
      </c>
      <c r="K21" s="13">
        <f>C21-J21</f>
        <v>12632.019999999999</v>
      </c>
      <c r="L21" s="13">
        <f t="shared" si="5"/>
        <v>-7156.7480000000069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D22+F22+'10-27-2022'!H22</f>
        <v>0</v>
      </c>
      <c r="I22" s="13">
        <f>E22+G22+'10-27-2022'!I22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953.52</v>
      </c>
      <c r="E23" s="10">
        <f t="shared" si="6"/>
        <v>12.39</v>
      </c>
      <c r="F23" s="10">
        <f t="shared" si="6"/>
        <v>891.2</v>
      </c>
      <c r="G23" s="10">
        <f t="shared" si="6"/>
        <v>64.150000000000006</v>
      </c>
      <c r="H23" s="10">
        <f t="shared" si="6"/>
        <v>11991.37</v>
      </c>
      <c r="I23" s="10">
        <f t="shared" si="6"/>
        <v>376.61</v>
      </c>
      <c r="J23" s="10">
        <f t="shared" si="6"/>
        <v>12367.980000000001</v>
      </c>
      <c r="K23" s="10">
        <f t="shared" si="6"/>
        <v>26741.019999999997</v>
      </c>
      <c r="L23" s="10">
        <f t="shared" si="6"/>
        <v>6952.2519999999931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318.75</v>
      </c>
      <c r="E26" s="14">
        <v>4.13</v>
      </c>
      <c r="F26" s="14">
        <v>0</v>
      </c>
      <c r="G26" s="14">
        <v>0</v>
      </c>
      <c r="H26" s="13">
        <f>D26+F26+'10-27-2022'!H26</f>
        <v>3550.03</v>
      </c>
      <c r="I26" s="13">
        <f>E26+G26+'10-27-2022'!I26</f>
        <v>96.8</v>
      </c>
      <c r="J26" s="13">
        <f>H26+I26</f>
        <v>3646.8300000000004</v>
      </c>
      <c r="K26" s="13">
        <f>C26-J26</f>
        <v>11353.17</v>
      </c>
      <c r="L26" s="13">
        <f t="shared" ref="L26:L29" si="7">C26-((J26/10)*26)</f>
        <v>5518.2419999999984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D27+F27+'10-27-2022'!H27</f>
        <v>0</v>
      </c>
      <c r="I27" s="13">
        <f>E27+G27+'10-27-2022'!I27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195</v>
      </c>
      <c r="E28" s="21">
        <v>2.5299999999999998</v>
      </c>
      <c r="F28" s="21">
        <v>0</v>
      </c>
      <c r="G28" s="21">
        <v>0</v>
      </c>
      <c r="H28" s="13">
        <f>D28+F28+'10-27-2022'!H28</f>
        <v>12449.75</v>
      </c>
      <c r="I28" s="13">
        <f>E28+G28+'10-27-2022'!I28</f>
        <v>212.86999999999995</v>
      </c>
      <c r="J28" s="13">
        <f>H28+I28</f>
        <v>12662.62</v>
      </c>
      <c r="K28" s="13">
        <f>C28-J28</f>
        <v>12337.38</v>
      </c>
      <c r="L28" s="13">
        <f t="shared" si="7"/>
        <v>-7922.8120000000054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D29+F29+'10-27-2022'!H29</f>
        <v>0</v>
      </c>
      <c r="I29" s="13">
        <f>E29+G29+'10-27-2022'!I29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513.75</v>
      </c>
      <c r="E30" s="48">
        <f t="shared" si="8"/>
        <v>6.66</v>
      </c>
      <c r="F30" s="48">
        <f t="shared" si="8"/>
        <v>0</v>
      </c>
      <c r="G30" s="48">
        <f t="shared" si="8"/>
        <v>0</v>
      </c>
      <c r="H30" s="48">
        <f t="shared" si="8"/>
        <v>15999.78</v>
      </c>
      <c r="I30" s="48">
        <f t="shared" si="8"/>
        <v>309.66999999999996</v>
      </c>
      <c r="J30" s="48">
        <f t="shared" si="8"/>
        <v>16309.45</v>
      </c>
      <c r="K30" s="48">
        <f t="shared" si="8"/>
        <v>35140.549999999996</v>
      </c>
      <c r="L30" s="48">
        <f t="shared" si="8"/>
        <v>9045.429999999993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8984.0299999999988</v>
      </c>
      <c r="E33" s="41">
        <f t="shared" si="9"/>
        <v>116.67</v>
      </c>
      <c r="F33" s="41">
        <f t="shared" si="9"/>
        <v>4095.6800000000003</v>
      </c>
      <c r="G33" s="41">
        <f t="shared" si="9"/>
        <v>294.85000000000002</v>
      </c>
      <c r="H33" s="41">
        <f t="shared" si="9"/>
        <v>114487.34999999999</v>
      </c>
      <c r="I33" s="41">
        <f t="shared" si="9"/>
        <v>2969.1000000000004</v>
      </c>
      <c r="J33" s="41">
        <f t="shared" si="9"/>
        <v>117456.44999999998</v>
      </c>
      <c r="K33" s="41">
        <f t="shared" si="9"/>
        <v>188260.55</v>
      </c>
      <c r="L33" s="41">
        <f t="shared" si="9"/>
        <v>330.22999999999956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D36+F36+'10-27-2022'!H36</f>
        <v>0</v>
      </c>
      <c r="I36" s="13">
        <f>E36+G36+'10-27-2022'!I36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C36-((J36/10)*26)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D37+F37+'10-27-2022'!H37</f>
        <v>0</v>
      </c>
      <c r="I37" s="13">
        <f>E37+G37+'10-27-2022'!I37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D38+F38+'10-27-2022'!H38</f>
        <v>0</v>
      </c>
      <c r="I38" s="13">
        <f>E38+G38+'10-27-2022'!I38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D39+F39+'10-27-2022'!H39</f>
        <v>0</v>
      </c>
      <c r="I39" s="13">
        <f>E39+G39+'10-27-2022'!I39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D40+F40+'10-27-2022'!H40</f>
        <v>0</v>
      </c>
      <c r="I40" s="13">
        <f>E40+G40+'10-27-2022'!I40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37.700000000000003</v>
      </c>
      <c r="E41" s="14">
        <v>0.48</v>
      </c>
      <c r="F41" s="14">
        <v>0</v>
      </c>
      <c r="G41" s="14">
        <v>0</v>
      </c>
      <c r="H41" s="13">
        <f>D41+F41+'10-27-2022'!H41</f>
        <v>1861.32</v>
      </c>
      <c r="I41" s="13">
        <f>E41+G41+'10-27-2022'!I41</f>
        <v>24.130000000000003</v>
      </c>
      <c r="J41" s="13">
        <f t="shared" si="10"/>
        <v>1885.45</v>
      </c>
      <c r="K41" s="13">
        <f t="shared" si="11"/>
        <v>5614.55</v>
      </c>
      <c r="L41" s="13">
        <f t="shared" si="12"/>
        <v>2597.83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D42+F42+'10-27-2022'!H42</f>
        <v>0</v>
      </c>
      <c r="I42" s="13">
        <f>E42+G42+'10-27-2022'!I42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D43+F43+'10-27-2022'!H43</f>
        <v>0</v>
      </c>
      <c r="I43" s="13">
        <f>E43+G43+'10-27-2022'!I43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D44+F44+'10-27-2022'!H44</f>
        <v>0</v>
      </c>
      <c r="I44" s="13">
        <f>E44+G44+'10-27-2022'!I44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D45+F45+'10-27-2022'!H45</f>
        <v>0</v>
      </c>
      <c r="I45" s="13">
        <f>E45+G45+'10-27-2022'!I45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524.22</v>
      </c>
      <c r="E46" s="14">
        <v>6.8</v>
      </c>
      <c r="F46" s="14">
        <v>0</v>
      </c>
      <c r="G46" s="14">
        <v>0</v>
      </c>
      <c r="H46" s="13">
        <f>D46+F46+'10-27-2022'!H46</f>
        <v>3115.8199999999997</v>
      </c>
      <c r="I46" s="13">
        <f>E46+G46+'10-27-2022'!I46</f>
        <v>40.44</v>
      </c>
      <c r="J46" s="13">
        <f t="shared" si="10"/>
        <v>3156.2599999999998</v>
      </c>
      <c r="K46" s="13">
        <f t="shared" si="11"/>
        <v>2864.82</v>
      </c>
      <c r="L46" s="13">
        <f t="shared" si="12"/>
        <v>-2185.1959999999999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D47+F47+'10-27-2022'!H47</f>
        <v>2224.5700000000002</v>
      </c>
      <c r="I47" s="13">
        <f>E47+G47+'10-27-2022'!I47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4140.9519999999993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D48+F48+'10-27-2022'!H48</f>
        <v>1085.2</v>
      </c>
      <c r="I48" s="13">
        <f>E48+G48+'10-27-2022'!I48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-1163.7499999999998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v>1686.24</v>
      </c>
      <c r="D49" s="14">
        <v>0</v>
      </c>
      <c r="E49" s="14">
        <v>0</v>
      </c>
      <c r="F49" s="14">
        <v>0</v>
      </c>
      <c r="G49" s="14">
        <v>0</v>
      </c>
      <c r="H49" s="13">
        <f>D49+F49+'10-27-2022'!H49</f>
        <v>1807</v>
      </c>
      <c r="I49" s="13">
        <f>E49+G49+'10-27-2022'!I49</f>
        <v>130.08000000000001</v>
      </c>
      <c r="J49" s="13">
        <f t="shared" si="10"/>
        <v>1937.08</v>
      </c>
      <c r="K49" s="87">
        <f t="shared" si="11"/>
        <v>-250.83999999999992</v>
      </c>
      <c r="L49" s="13">
        <f t="shared" si="12"/>
        <v>-3350.1680000000006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632.32000000000005</v>
      </c>
      <c r="E50" s="14">
        <v>8.2100000000000009</v>
      </c>
      <c r="F50" s="14">
        <v>0</v>
      </c>
      <c r="G50" s="14">
        <v>0</v>
      </c>
      <c r="H50" s="13">
        <f>D50+F50+'10-27-2022'!H50</f>
        <v>3456.4</v>
      </c>
      <c r="I50" s="13">
        <f>E50+G50+'10-27-2022'!I50</f>
        <v>44.88</v>
      </c>
      <c r="J50" s="13">
        <f t="shared" si="10"/>
        <v>3501.28</v>
      </c>
      <c r="K50" s="13">
        <f t="shared" si="11"/>
        <v>5798.7199999999993</v>
      </c>
      <c r="L50" s="13">
        <f t="shared" si="12"/>
        <v>196.67199999999866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D51+F51+'10-27-2022'!H51</f>
        <v>2480</v>
      </c>
      <c r="I51" s="13">
        <f>E51+G51+'10-27-2022'!I51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268.17600000000039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D52+F52+'10-27-2022'!H52</f>
        <v>1574.72</v>
      </c>
      <c r="I52" s="13">
        <f>E52+G52+'10-27-2022'!I52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-2488.9300000000003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D53+F53+'10-27-2022'!H53</f>
        <v>0</v>
      </c>
      <c r="I53" s="13">
        <f>E53+G53+'10-27-2022'!I53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D54+F54+'10-27-2022'!H54</f>
        <v>0</v>
      </c>
      <c r="I54" s="13">
        <f>E54+G54+'10-27-2022'!I54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156.25</v>
      </c>
      <c r="G55" s="14">
        <v>11.25</v>
      </c>
      <c r="H55" s="13">
        <f>D55+F55+'10-27-2022'!H55</f>
        <v>968.75</v>
      </c>
      <c r="I55" s="13">
        <f>E55+G55+'10-27-2022'!I55</f>
        <v>69.75</v>
      </c>
      <c r="J55" s="13">
        <f t="shared" si="10"/>
        <v>1038.5</v>
      </c>
      <c r="K55" s="13">
        <f t="shared" si="11"/>
        <v>6428.55</v>
      </c>
      <c r="L55" s="13">
        <f t="shared" si="12"/>
        <v>4766.9500000000007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61743.65</v>
      </c>
      <c r="D56" s="10">
        <f t="shared" ref="D56:K56" si="13">SUM(D36:D55)</f>
        <v>1194.2400000000002</v>
      </c>
      <c r="E56" s="10">
        <f t="shared" si="13"/>
        <v>15.49</v>
      </c>
      <c r="F56" s="10">
        <f t="shared" si="13"/>
        <v>156.25</v>
      </c>
      <c r="G56" s="10">
        <f t="shared" si="13"/>
        <v>11.25</v>
      </c>
      <c r="H56" s="10">
        <f t="shared" si="13"/>
        <v>18573.78</v>
      </c>
      <c r="I56" s="10">
        <f t="shared" si="13"/>
        <v>497.86</v>
      </c>
      <c r="J56" s="10">
        <f t="shared" si="13"/>
        <v>19071.64</v>
      </c>
      <c r="K56" s="10">
        <f t="shared" si="13"/>
        <v>42672.010000000009</v>
      </c>
      <c r="L56" s="10">
        <f>SUM(L36:L55)</f>
        <v>12157.385999999999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1990.02</v>
      </c>
      <c r="E59" s="13">
        <v>25.86</v>
      </c>
      <c r="F59" s="13">
        <v>0</v>
      </c>
      <c r="G59" s="13">
        <v>0</v>
      </c>
      <c r="H59" s="13">
        <f>D59+F59+'10-27-2022'!H59</f>
        <v>15888.810000000001</v>
      </c>
      <c r="I59" s="13">
        <f>E59+G59+'10-27-2022'!I59</f>
        <v>206.45999999999998</v>
      </c>
      <c r="J59" s="13">
        <f>H59+I59</f>
        <v>16095.27</v>
      </c>
      <c r="K59" s="13">
        <f>C59-J59</f>
        <v>46487.729999999996</v>
      </c>
      <c r="L59" s="13">
        <f t="shared" ref="L59:L60" si="14">C59-((J59/10)*26)</f>
        <v>20735.297999999995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D60+F60+'10-27-2022'!H60</f>
        <v>0</v>
      </c>
      <c r="I60" s="13">
        <f>E60+G60+'10-27-2022'!I60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 t="shared" ref="D61:L61" si="15">SUM(D59:D60)</f>
        <v>1990.02</v>
      </c>
      <c r="E61" s="20">
        <f t="shared" si="15"/>
        <v>25.86</v>
      </c>
      <c r="F61" s="20">
        <f t="shared" si="15"/>
        <v>0</v>
      </c>
      <c r="G61" s="20">
        <f t="shared" si="15"/>
        <v>0</v>
      </c>
      <c r="H61" s="20">
        <f t="shared" si="15"/>
        <v>15888.810000000001</v>
      </c>
      <c r="I61" s="20">
        <f t="shared" si="15"/>
        <v>206.45999999999998</v>
      </c>
      <c r="J61" s="20">
        <f t="shared" si="15"/>
        <v>16095.27</v>
      </c>
      <c r="K61" s="20">
        <f t="shared" si="15"/>
        <v>47487.729999999996</v>
      </c>
      <c r="L61" s="20">
        <f t="shared" si="15"/>
        <v>21735.297999999995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D64+F64+'10-27-2022'!H64</f>
        <v>0</v>
      </c>
      <c r="I64" s="13">
        <f>E64+G64+'10-27-2022'!I64</f>
        <v>0</v>
      </c>
      <c r="J64" s="13">
        <f>H64+I64</f>
        <v>0</v>
      </c>
      <c r="K64" s="13">
        <f>C64-J64</f>
        <v>0</v>
      </c>
      <c r="L64" s="13">
        <f>C64-((J64/10)*26)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89</v>
      </c>
      <c r="B73" s="101"/>
      <c r="C73" s="101"/>
      <c r="D73" s="101"/>
      <c r="E73" s="101"/>
      <c r="F73" s="101"/>
      <c r="G73" s="79">
        <v>5500</v>
      </c>
      <c r="M73" s="102"/>
      <c r="N73" s="102"/>
      <c r="O73" s="102"/>
      <c r="P73" s="102"/>
      <c r="Q73" s="102"/>
      <c r="R73" s="102"/>
    </row>
    <row r="127" spans="13:13" x14ac:dyDescent="0.25">
      <c r="M127" s="2">
        <f>SUM(M34:M125)</f>
        <v>0</v>
      </c>
    </row>
  </sheetData>
  <mergeCells count="22">
    <mergeCell ref="A56:B56"/>
    <mergeCell ref="A5:B5"/>
    <mergeCell ref="A17:B17"/>
    <mergeCell ref="A23:B23"/>
    <mergeCell ref="A30:B30"/>
    <mergeCell ref="A33:B33"/>
    <mergeCell ref="A61:B61"/>
    <mergeCell ref="A65:B65"/>
    <mergeCell ref="A67:F67"/>
    <mergeCell ref="M67:R67"/>
    <mergeCell ref="A68:F68"/>
    <mergeCell ref="M68:R68"/>
    <mergeCell ref="A72:F72"/>
    <mergeCell ref="M72:R72"/>
    <mergeCell ref="A73:F73"/>
    <mergeCell ref="M73:R73"/>
    <mergeCell ref="A69:F69"/>
    <mergeCell ref="M69:R69"/>
    <mergeCell ref="A70:F70"/>
    <mergeCell ref="M70:R70"/>
    <mergeCell ref="A71:F71"/>
    <mergeCell ref="M71:R71"/>
  </mergeCells>
  <pageMargins left="0.25" right="0" top="0.4" bottom="0" header="0.3" footer="0"/>
  <pageSetup scale="68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1E7EE-B730-4201-AE09-0187E026B936}">
  <sheetPr>
    <pageSetUpPr fitToPage="1"/>
  </sheetPr>
  <dimension ref="A1:R127"/>
  <sheetViews>
    <sheetView zoomScale="160" zoomScaleNormal="160" workbookViewId="0">
      <pane ySplit="2" topLeftCell="A35" activePane="bottomLeft" state="frozen"/>
      <selection pane="bottomLeft" activeCell="D51" sqref="D51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44889</v>
      </c>
      <c r="M1" s="73" t="s">
        <v>70</v>
      </c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D3+F3+'11-10-2022'!H3</f>
        <v>3208</v>
      </c>
      <c r="I3" s="13">
        <f>E3+G3+'11-10-2022'!I3</f>
        <v>230.93</v>
      </c>
      <c r="J3" s="13">
        <f>H3+I3</f>
        <v>3438.93</v>
      </c>
      <c r="K3" s="13">
        <f>C3-J3</f>
        <v>7361.07</v>
      </c>
      <c r="L3" s="13">
        <f>C3-((J3/11)*26)</f>
        <v>2671.62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1510</v>
      </c>
      <c r="G4" s="14">
        <v>108.72</v>
      </c>
      <c r="H4" s="13">
        <f>D4+F4+'11-10-2022'!H4</f>
        <v>6190</v>
      </c>
      <c r="I4" s="13">
        <f>E4+G4+'11-10-2022'!I4</f>
        <v>438.59000000000003</v>
      </c>
      <c r="J4" s="13">
        <f>H4+I4</f>
        <v>6628.59</v>
      </c>
      <c r="K4" s="13">
        <f>C4-J4</f>
        <v>2971.41</v>
      </c>
      <c r="L4" s="13">
        <f>C4-((J4/11)*26)</f>
        <v>-6067.5763636363645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1510</v>
      </c>
      <c r="G5" s="55">
        <f t="shared" si="0"/>
        <v>108.72</v>
      </c>
      <c r="H5" s="55">
        <f t="shared" si="0"/>
        <v>9398</v>
      </c>
      <c r="I5" s="55">
        <f t="shared" si="0"/>
        <v>669.52</v>
      </c>
      <c r="J5" s="55">
        <f t="shared" si="0"/>
        <v>10067.52</v>
      </c>
      <c r="K5" s="55">
        <f t="shared" si="0"/>
        <v>10332.48</v>
      </c>
      <c r="L5" s="55">
        <f t="shared" si="0"/>
        <v>-3395.9563636363646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D8+F8+'11-10-2022'!H8</f>
        <v>0</v>
      </c>
      <c r="I8" s="13">
        <f>E8+G8+'11-10-2022'!I8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C8-((J8/11)*26)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647.44000000000005</v>
      </c>
      <c r="E9" s="21">
        <v>8.41</v>
      </c>
      <c r="F9" s="21">
        <v>0</v>
      </c>
      <c r="G9" s="21">
        <v>0</v>
      </c>
      <c r="H9" s="13">
        <f>D9+F9+'11-10-2022'!H9</f>
        <v>8185.85</v>
      </c>
      <c r="I9" s="13">
        <f>E9+G9+'11-10-2022'!I9</f>
        <v>148.04999999999998</v>
      </c>
      <c r="J9" s="13">
        <f t="shared" si="1"/>
        <v>8333.9</v>
      </c>
      <c r="K9" s="13">
        <f t="shared" si="2"/>
        <v>16315.1</v>
      </c>
      <c r="L9" s="13">
        <f t="shared" si="3"/>
        <v>4950.6909090909103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742.44</v>
      </c>
      <c r="E10" s="21">
        <v>9.65</v>
      </c>
      <c r="F10" s="21">
        <v>1141.76</v>
      </c>
      <c r="G10" s="21">
        <v>82.2</v>
      </c>
      <c r="H10" s="13">
        <f>D10+F10+'11-10-2022'!H10</f>
        <v>18822.510000000002</v>
      </c>
      <c r="I10" s="13">
        <f>E10+G10+'11-10-2022'!I10</f>
        <v>921.25000000000011</v>
      </c>
      <c r="J10" s="13">
        <f t="shared" si="1"/>
        <v>19743.760000000002</v>
      </c>
      <c r="K10" s="87">
        <f t="shared" si="2"/>
        <v>-1769.760000000002</v>
      </c>
      <c r="L10" s="13">
        <f t="shared" si="3"/>
        <v>-28693.069090909092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451.2</v>
      </c>
      <c r="E11" s="21">
        <v>5.86</v>
      </c>
      <c r="F11" s="21">
        <v>0</v>
      </c>
      <c r="G11" s="21">
        <v>0</v>
      </c>
      <c r="H11" s="13">
        <f>D11+F11+'11-10-2022'!H11</f>
        <v>4428.63</v>
      </c>
      <c r="I11" s="13">
        <f>E11+G11+'11-10-2022'!I11</f>
        <v>57.53</v>
      </c>
      <c r="J11" s="13">
        <f t="shared" si="1"/>
        <v>4486.16</v>
      </c>
      <c r="K11" s="13">
        <f t="shared" si="2"/>
        <v>13487.84</v>
      </c>
      <c r="L11" s="13">
        <f t="shared" si="3"/>
        <v>7370.3490909090906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781.05</v>
      </c>
      <c r="E12" s="21">
        <v>10.15</v>
      </c>
      <c r="F12" s="21">
        <v>0</v>
      </c>
      <c r="G12" s="21">
        <v>0</v>
      </c>
      <c r="H12" s="13">
        <f>D12+F12+'11-10-2022'!H12</f>
        <v>12483.989999999998</v>
      </c>
      <c r="I12" s="13">
        <f>E12+G12+'11-10-2022'!I12</f>
        <v>162.19000000000003</v>
      </c>
      <c r="J12" s="13">
        <f t="shared" si="1"/>
        <v>12646.179999999998</v>
      </c>
      <c r="K12" s="13">
        <f t="shared" si="2"/>
        <v>11683.820000000002</v>
      </c>
      <c r="L12" s="13">
        <f t="shared" si="3"/>
        <v>-5560.9709090909055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1078.6600000000001</v>
      </c>
      <c r="E13" s="13">
        <v>14.01</v>
      </c>
      <c r="F13" s="13">
        <v>0</v>
      </c>
      <c r="G13" s="13">
        <v>0</v>
      </c>
      <c r="H13" s="13">
        <f>D13+F13+'11-10-2022'!H13</f>
        <v>15360.099999999999</v>
      </c>
      <c r="I13" s="13">
        <f>E13+G13+'11-10-2022'!I13</f>
        <v>199.57000000000002</v>
      </c>
      <c r="J13" s="13">
        <f t="shared" si="1"/>
        <v>15559.669999999998</v>
      </c>
      <c r="K13" s="13">
        <f t="shared" si="2"/>
        <v>18440.330000000002</v>
      </c>
      <c r="L13" s="13">
        <f t="shared" si="3"/>
        <v>-2777.4018181818101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1131.96</v>
      </c>
      <c r="E14" s="13">
        <v>14.71</v>
      </c>
      <c r="F14" s="13">
        <v>97.5</v>
      </c>
      <c r="G14" s="13">
        <v>7.02</v>
      </c>
      <c r="H14" s="13">
        <f>D14+F14+'11-10-2022'!H14</f>
        <v>19351.209999999995</v>
      </c>
      <c r="I14" s="13">
        <f>E14+G14+'11-10-2022'!I14</f>
        <v>305.19</v>
      </c>
      <c r="J14" s="13">
        <f t="shared" si="1"/>
        <v>19656.399999999994</v>
      </c>
      <c r="K14" s="13">
        <f t="shared" si="2"/>
        <v>23084.600000000006</v>
      </c>
      <c r="L14" s="13">
        <f t="shared" si="3"/>
        <v>-3719.5818181818031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529.57000000000005</v>
      </c>
      <c r="E15" s="21">
        <v>6.88</v>
      </c>
      <c r="F15" s="21">
        <v>0</v>
      </c>
      <c r="G15" s="21">
        <v>0</v>
      </c>
      <c r="H15" s="13">
        <f>D15+F15+'11-10-2022'!H15</f>
        <v>5388.0199999999995</v>
      </c>
      <c r="I15" s="13">
        <f>E15+G15+'11-10-2022'!I15</f>
        <v>69.97</v>
      </c>
      <c r="J15" s="13">
        <f t="shared" si="1"/>
        <v>5457.99</v>
      </c>
      <c r="K15" s="13">
        <f t="shared" si="2"/>
        <v>18715.010000000002</v>
      </c>
      <c r="L15" s="13">
        <f t="shared" si="3"/>
        <v>11272.296363636364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42.6</v>
      </c>
      <c r="E16" s="21">
        <v>0.55000000000000004</v>
      </c>
      <c r="F16" s="21">
        <v>0</v>
      </c>
      <c r="G16" s="21">
        <v>0</v>
      </c>
      <c r="H16" s="13">
        <f>D16+F16+'11-10-2022'!H16</f>
        <v>1232.07</v>
      </c>
      <c r="I16" s="13">
        <f>E16+G16+'11-10-2022'!I16</f>
        <v>17.71</v>
      </c>
      <c r="J16" s="13">
        <f t="shared" si="1"/>
        <v>1249.78</v>
      </c>
      <c r="K16" s="13">
        <f t="shared" si="2"/>
        <v>4750.22</v>
      </c>
      <c r="L16" s="13">
        <f t="shared" si="3"/>
        <v>3045.9745454545455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5404.92</v>
      </c>
      <c r="E17" s="55">
        <f t="shared" si="4"/>
        <v>70.22</v>
      </c>
      <c r="F17" s="55">
        <f t="shared" si="4"/>
        <v>1239.26</v>
      </c>
      <c r="G17" s="55">
        <f t="shared" si="4"/>
        <v>89.22</v>
      </c>
      <c r="H17" s="55">
        <f t="shared" si="4"/>
        <v>85252.38</v>
      </c>
      <c r="I17" s="55">
        <f t="shared" si="4"/>
        <v>1881.4600000000003</v>
      </c>
      <c r="J17" s="55">
        <f t="shared" si="4"/>
        <v>87133.84</v>
      </c>
      <c r="K17" s="55">
        <f t="shared" si="4"/>
        <v>107624.16</v>
      </c>
      <c r="L17" s="55">
        <f t="shared" si="4"/>
        <v>-11194.712727272701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D20+F20+'11-10-2022'!H20</f>
        <v>0</v>
      </c>
      <c r="I20" s="13">
        <f>E20+G20+'11-10-2022'!I20</f>
        <v>0</v>
      </c>
      <c r="J20" s="13">
        <f>H20+I20</f>
        <v>0</v>
      </c>
      <c r="K20" s="13">
        <f>C20-J20</f>
        <v>2109</v>
      </c>
      <c r="L20" s="13">
        <f t="shared" ref="L20:L22" si="5">C20-((J20/11)*26)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742.8</v>
      </c>
      <c r="E21" s="14">
        <v>9.65</v>
      </c>
      <c r="F21" s="14">
        <v>534.72</v>
      </c>
      <c r="G21" s="14">
        <v>38.49</v>
      </c>
      <c r="H21" s="13">
        <f>D21+F21+'11-10-2022'!H21</f>
        <v>13268.890000000001</v>
      </c>
      <c r="I21" s="13">
        <f>E21+G21+'11-10-2022'!I21</f>
        <v>424.75</v>
      </c>
      <c r="J21" s="13">
        <f>H21+I21</f>
        <v>13693.640000000001</v>
      </c>
      <c r="K21" s="13">
        <f>C21-J21</f>
        <v>11306.359999999999</v>
      </c>
      <c r="L21" s="13">
        <f t="shared" si="5"/>
        <v>-7366.7854545454575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D22+F22+'11-10-2022'!H22</f>
        <v>0</v>
      </c>
      <c r="I22" s="13">
        <f>E22+G22+'11-10-2022'!I22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742.8</v>
      </c>
      <c r="E23" s="10">
        <f t="shared" si="6"/>
        <v>9.65</v>
      </c>
      <c r="F23" s="10">
        <f t="shared" si="6"/>
        <v>534.72</v>
      </c>
      <c r="G23" s="10">
        <f t="shared" si="6"/>
        <v>38.49</v>
      </c>
      <c r="H23" s="10">
        <f t="shared" si="6"/>
        <v>13268.890000000001</v>
      </c>
      <c r="I23" s="10">
        <f t="shared" si="6"/>
        <v>424.75</v>
      </c>
      <c r="J23" s="10">
        <f t="shared" si="6"/>
        <v>13693.640000000001</v>
      </c>
      <c r="K23" s="10">
        <f t="shared" si="6"/>
        <v>25415.360000000001</v>
      </c>
      <c r="L23" s="10">
        <f t="shared" si="6"/>
        <v>6742.2145454545425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593.75</v>
      </c>
      <c r="E26" s="14">
        <v>7.71</v>
      </c>
      <c r="F26" s="14">
        <v>0</v>
      </c>
      <c r="G26" s="14">
        <v>0</v>
      </c>
      <c r="H26" s="13">
        <f>D26+F26+'11-10-2022'!H26</f>
        <v>4143.7800000000007</v>
      </c>
      <c r="I26" s="13">
        <f>E26+G26+'11-10-2022'!I26</f>
        <v>104.50999999999999</v>
      </c>
      <c r="J26" s="13">
        <f>H26+I26</f>
        <v>4248.2900000000009</v>
      </c>
      <c r="K26" s="13">
        <f>C26-J26</f>
        <v>10751.71</v>
      </c>
      <c r="L26" s="13">
        <f t="shared" ref="L26:L29" si="7">C26-((J26/11)*26)</f>
        <v>4958.5872727272708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D27+F27+'11-10-2022'!H27</f>
        <v>0</v>
      </c>
      <c r="I27" s="13">
        <f>E27+G27+'11-10-2022'!I27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435</v>
      </c>
      <c r="E28" s="21">
        <v>5.65</v>
      </c>
      <c r="F28" s="21">
        <v>0</v>
      </c>
      <c r="G28" s="21">
        <v>0</v>
      </c>
      <c r="H28" s="13">
        <f>D28+F28+'11-10-2022'!H28</f>
        <v>12884.75</v>
      </c>
      <c r="I28" s="13">
        <f>E28+G28+'11-10-2022'!I28</f>
        <v>218.51999999999995</v>
      </c>
      <c r="J28" s="13">
        <f>H28+I28</f>
        <v>13103.27</v>
      </c>
      <c r="K28" s="13">
        <f>C28-J28</f>
        <v>11896.73</v>
      </c>
      <c r="L28" s="13">
        <f t="shared" si="7"/>
        <v>-5971.3654545454556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D29+F29+'11-10-2022'!H29</f>
        <v>0</v>
      </c>
      <c r="I29" s="13">
        <f>E29+G29+'11-10-2022'!I29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1028.75</v>
      </c>
      <c r="E30" s="48">
        <f t="shared" si="8"/>
        <v>13.36</v>
      </c>
      <c r="F30" s="48">
        <f t="shared" si="8"/>
        <v>0</v>
      </c>
      <c r="G30" s="48">
        <f t="shared" si="8"/>
        <v>0</v>
      </c>
      <c r="H30" s="48">
        <f t="shared" si="8"/>
        <v>17028.53</v>
      </c>
      <c r="I30" s="48">
        <f t="shared" si="8"/>
        <v>323.02999999999997</v>
      </c>
      <c r="J30" s="48">
        <f t="shared" si="8"/>
        <v>17351.560000000001</v>
      </c>
      <c r="K30" s="48">
        <f t="shared" si="8"/>
        <v>34098.44</v>
      </c>
      <c r="L30" s="48">
        <f t="shared" si="8"/>
        <v>10437.221818181815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7176.47</v>
      </c>
      <c r="E33" s="41">
        <f t="shared" si="9"/>
        <v>93.23</v>
      </c>
      <c r="F33" s="41">
        <f t="shared" si="9"/>
        <v>3283.98</v>
      </c>
      <c r="G33" s="41">
        <f t="shared" si="9"/>
        <v>236.43</v>
      </c>
      <c r="H33" s="41">
        <f t="shared" si="9"/>
        <v>124947.8</v>
      </c>
      <c r="I33" s="41">
        <f t="shared" si="9"/>
        <v>3298.7599999999998</v>
      </c>
      <c r="J33" s="41">
        <f t="shared" si="9"/>
        <v>128246.56</v>
      </c>
      <c r="K33" s="41">
        <f t="shared" si="9"/>
        <v>177470.44000000003</v>
      </c>
      <c r="L33" s="41">
        <f t="shared" si="9"/>
        <v>2588.767272727292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D36+F36+'11-10-2022'!H36</f>
        <v>0</v>
      </c>
      <c r="I36" s="13">
        <f>E36+G36+'11-10-2022'!I36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C36-((J36/11)*26)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D37+F37+'11-10-2022'!H37</f>
        <v>0</v>
      </c>
      <c r="I37" s="13">
        <f>E37+G37+'11-10-2022'!I37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D38+F38+'11-10-2022'!H38</f>
        <v>0</v>
      </c>
      <c r="I38" s="13">
        <f>E38+G38+'11-10-2022'!I38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D39+F39+'11-10-2022'!H39</f>
        <v>0</v>
      </c>
      <c r="I39" s="13">
        <f>E39+G39+'11-10-2022'!I39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D40+F40+'11-10-2022'!H40</f>
        <v>0</v>
      </c>
      <c r="I40" s="13">
        <f>E40+G40+'11-10-2022'!I40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23.2</v>
      </c>
      <c r="E41" s="14">
        <v>0.3</v>
      </c>
      <c r="F41" s="14">
        <v>0</v>
      </c>
      <c r="G41" s="14">
        <v>0</v>
      </c>
      <c r="H41" s="13">
        <f>D41+F41+'11-10-2022'!H41</f>
        <v>1884.52</v>
      </c>
      <c r="I41" s="13">
        <f>E41+G41+'11-10-2022'!I41</f>
        <v>24.430000000000003</v>
      </c>
      <c r="J41" s="13">
        <f t="shared" si="10"/>
        <v>1908.95</v>
      </c>
      <c r="K41" s="13">
        <f t="shared" si="11"/>
        <v>5591.05</v>
      </c>
      <c r="L41" s="13">
        <f t="shared" si="12"/>
        <v>2987.9363636363641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D42+F42+'11-10-2022'!H42</f>
        <v>0</v>
      </c>
      <c r="I42" s="13">
        <f>E42+G42+'11-10-2022'!I42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D43+F43+'11-10-2022'!H43</f>
        <v>0</v>
      </c>
      <c r="I43" s="13">
        <f>E43+G43+'11-10-2022'!I43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D44+F44+'11-10-2022'!H44</f>
        <v>0</v>
      </c>
      <c r="I44" s="13">
        <f>E44+G44+'11-10-2022'!I44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D45+F45+'11-10-2022'!H45</f>
        <v>0</v>
      </c>
      <c r="I45" s="13">
        <f>E45+G45+'11-10-2022'!I45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441.75</v>
      </c>
      <c r="E46" s="14">
        <v>5.74</v>
      </c>
      <c r="F46" s="14">
        <v>0</v>
      </c>
      <c r="G46" s="14">
        <v>0</v>
      </c>
      <c r="H46" s="13">
        <f>D46+F46+'11-10-2022'!H46</f>
        <v>3557.5699999999997</v>
      </c>
      <c r="I46" s="13">
        <f>E46+G46+'11-10-2022'!I46</f>
        <v>46.18</v>
      </c>
      <c r="J46" s="13">
        <f t="shared" si="10"/>
        <v>3603.7499999999995</v>
      </c>
      <c r="K46" s="13">
        <f t="shared" si="11"/>
        <v>2417.3300000000004</v>
      </c>
      <c r="L46" s="13">
        <f t="shared" si="12"/>
        <v>-2496.8745454545442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D47+F47+'11-10-2022'!H47</f>
        <v>2224.5700000000002</v>
      </c>
      <c r="I47" s="13">
        <f>E47+G47+'11-10-2022'!I47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4673.5927272727267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D48+F48+'11-10-2022'!H48</f>
        <v>1085.2</v>
      </c>
      <c r="I48" s="13">
        <f>E48+G48+'11-10-2022'!I48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-903.91545454545462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f>1686.24+250.84</f>
        <v>1937.08</v>
      </c>
      <c r="D49" s="14">
        <v>0</v>
      </c>
      <c r="E49" s="14">
        <v>0</v>
      </c>
      <c r="F49" s="14">
        <v>0</v>
      </c>
      <c r="G49" s="14">
        <v>0</v>
      </c>
      <c r="H49" s="13">
        <f>D49+F49+'11-10-2022'!H49</f>
        <v>1807</v>
      </c>
      <c r="I49" s="13">
        <f>E49+G49+'11-10-2022'!I49</f>
        <v>130.08000000000001</v>
      </c>
      <c r="J49" s="13">
        <f t="shared" si="10"/>
        <v>1937.08</v>
      </c>
      <c r="K49" s="13">
        <f t="shared" si="11"/>
        <v>0</v>
      </c>
      <c r="L49" s="13">
        <f t="shared" si="12"/>
        <v>-2641.4727272727268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323.67</v>
      </c>
      <c r="E50" s="14">
        <v>4.2</v>
      </c>
      <c r="F50" s="14">
        <v>0</v>
      </c>
      <c r="G50" s="14">
        <v>0</v>
      </c>
      <c r="H50" s="13">
        <f>D50+F50+'11-10-2022'!H50</f>
        <v>3780.07</v>
      </c>
      <c r="I50" s="13">
        <f>E50+G50+'11-10-2022'!I50</f>
        <v>49.080000000000005</v>
      </c>
      <c r="J50" s="13">
        <f t="shared" si="10"/>
        <v>3829.15</v>
      </c>
      <c r="K50" s="13">
        <f t="shared" si="11"/>
        <v>5470.85</v>
      </c>
      <c r="L50" s="13">
        <f t="shared" si="12"/>
        <v>249.28181818181838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D51+F51+'11-10-2022'!H51</f>
        <v>2480</v>
      </c>
      <c r="I51" s="13">
        <f>E51+G51+'11-10-2022'!I51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861.97818181818184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D52+F52+'11-10-2022'!H52</f>
        <v>1574.72</v>
      </c>
      <c r="I52" s="13">
        <f>E52+G52+'11-10-2022'!I52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-2089.9363636363637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D53+F53+'11-10-2022'!H53</f>
        <v>0</v>
      </c>
      <c r="I53" s="13">
        <f>E53+G53+'11-10-2022'!I53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D54+F54+'11-10-2022'!H54</f>
        <v>0</v>
      </c>
      <c r="I54" s="13">
        <f>E54+G54+'11-10-2022'!I54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187.5</v>
      </c>
      <c r="G55" s="14">
        <v>13.5</v>
      </c>
      <c r="H55" s="13">
        <f>D55+F55+'11-10-2022'!H55</f>
        <v>1156.25</v>
      </c>
      <c r="I55" s="13">
        <f>E55+G55+'11-10-2022'!I55</f>
        <v>83.25</v>
      </c>
      <c r="J55" s="13">
        <f t="shared" si="10"/>
        <v>1239.5</v>
      </c>
      <c r="K55" s="13">
        <f t="shared" si="11"/>
        <v>6227.55</v>
      </c>
      <c r="L55" s="13">
        <f t="shared" si="12"/>
        <v>4537.3227272727272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61994.490000000005</v>
      </c>
      <c r="D56" s="10">
        <f t="shared" ref="D56:K56" si="13">SUM(D36:D55)</f>
        <v>788.62</v>
      </c>
      <c r="E56" s="10">
        <f t="shared" si="13"/>
        <v>10.24</v>
      </c>
      <c r="F56" s="10">
        <f t="shared" si="13"/>
        <v>187.5</v>
      </c>
      <c r="G56" s="10">
        <f t="shared" si="13"/>
        <v>13.5</v>
      </c>
      <c r="H56" s="10">
        <f t="shared" si="13"/>
        <v>19549.900000000001</v>
      </c>
      <c r="I56" s="10">
        <f t="shared" si="13"/>
        <v>521.59999999999991</v>
      </c>
      <c r="J56" s="10">
        <f t="shared" si="13"/>
        <v>20071.499999999996</v>
      </c>
      <c r="K56" s="10">
        <f t="shared" si="13"/>
        <v>41922.990000000005</v>
      </c>
      <c r="L56" s="10">
        <f>SUM(L36:L55)</f>
        <v>14552.76272727273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2116.6999999999998</v>
      </c>
      <c r="E59" s="13">
        <v>27.51</v>
      </c>
      <c r="F59" s="13">
        <v>0</v>
      </c>
      <c r="G59" s="13">
        <v>0</v>
      </c>
      <c r="H59" s="13">
        <f>D59+F59+'11-10-2022'!H59</f>
        <v>18005.510000000002</v>
      </c>
      <c r="I59" s="13">
        <f>E59+G59+'11-10-2022'!I59</f>
        <v>233.96999999999997</v>
      </c>
      <c r="J59" s="13">
        <f>H59+I59</f>
        <v>18239.480000000003</v>
      </c>
      <c r="K59" s="13">
        <f>C59-J59</f>
        <v>44343.519999999997</v>
      </c>
      <c r="L59" s="13">
        <f t="shared" ref="L59:L60" si="14">C59-((J59/11)*26)</f>
        <v>19471.501818181809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D60+F60+'11-10-2022'!H60</f>
        <v>0</v>
      </c>
      <c r="I60" s="13">
        <f>E60+G60+'11-10-2022'!I60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>SUM(D59:D60)</f>
        <v>2116.6999999999998</v>
      </c>
      <c r="E61" s="20">
        <f>SUM(E59:E60)</f>
        <v>27.51</v>
      </c>
      <c r="F61" s="20">
        <f>SUM(F59:F60)</f>
        <v>0</v>
      </c>
      <c r="G61" s="20">
        <f>SUM(G59:G60)</f>
        <v>0</v>
      </c>
      <c r="H61" s="20">
        <f t="shared" ref="H61:L61" si="15">SUM(H59:H60)</f>
        <v>18005.510000000002</v>
      </c>
      <c r="I61" s="20">
        <f t="shared" si="15"/>
        <v>233.96999999999997</v>
      </c>
      <c r="J61" s="20">
        <f t="shared" si="15"/>
        <v>18239.480000000003</v>
      </c>
      <c r="K61" s="20">
        <f t="shared" si="15"/>
        <v>45343.519999999997</v>
      </c>
      <c r="L61" s="20">
        <f t="shared" si="15"/>
        <v>20471.501818181809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D64+F64+'11-10-2022'!H64</f>
        <v>0</v>
      </c>
      <c r="I64" s="13">
        <f>E64+G64+'11-10-2022'!I64</f>
        <v>0</v>
      </c>
      <c r="J64" s="13">
        <f>H64+I64</f>
        <v>0</v>
      </c>
      <c r="K64" s="13">
        <f>C64-J64</f>
        <v>0</v>
      </c>
      <c r="L64" s="13">
        <f>C64-((J64/11)*26)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89</v>
      </c>
      <c r="B73" s="101"/>
      <c r="C73" s="101"/>
      <c r="D73" s="101"/>
      <c r="E73" s="101"/>
      <c r="F73" s="101"/>
      <c r="G73" s="79">
        <v>5500</v>
      </c>
      <c r="M73" s="102"/>
      <c r="N73" s="102"/>
      <c r="O73" s="102"/>
      <c r="P73" s="102"/>
      <c r="Q73" s="102"/>
      <c r="R73" s="102"/>
    </row>
    <row r="127" spans="13:13" x14ac:dyDescent="0.25">
      <c r="M127" s="2">
        <f>SUM(M34:M125)</f>
        <v>0</v>
      </c>
    </row>
  </sheetData>
  <mergeCells count="22">
    <mergeCell ref="A72:F72"/>
    <mergeCell ref="M72:R72"/>
    <mergeCell ref="A73:F73"/>
    <mergeCell ref="M73:R73"/>
    <mergeCell ref="A69:F69"/>
    <mergeCell ref="M69:R69"/>
    <mergeCell ref="A70:F70"/>
    <mergeCell ref="M70:R70"/>
    <mergeCell ref="A71:F71"/>
    <mergeCell ref="M71:R71"/>
    <mergeCell ref="A61:B61"/>
    <mergeCell ref="A65:B65"/>
    <mergeCell ref="A67:F67"/>
    <mergeCell ref="M67:R67"/>
    <mergeCell ref="A68:F68"/>
    <mergeCell ref="M68:R68"/>
    <mergeCell ref="A56:B56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C2A8A-B411-423E-B274-A2F20EB7A1C4}">
  <sheetPr>
    <pageSetUpPr fitToPage="1"/>
  </sheetPr>
  <dimension ref="A1:R127"/>
  <sheetViews>
    <sheetView zoomScale="160" zoomScaleNormal="160" workbookViewId="0">
      <pane ySplit="2" topLeftCell="A55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44903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D3+F3+'11-24-2022'!H3</f>
        <v>3208</v>
      </c>
      <c r="I3" s="13">
        <f>E3+G3+'11-24-2022'!I3</f>
        <v>230.93</v>
      </c>
      <c r="J3" s="13">
        <f>H3+I3</f>
        <v>3438.93</v>
      </c>
      <c r="K3" s="13">
        <f>C3-J3</f>
        <v>7361.07</v>
      </c>
      <c r="L3" s="13">
        <f>C3-((J3/12)*26)</f>
        <v>3348.9850000000006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1750</v>
      </c>
      <c r="G4" s="14">
        <v>125.99</v>
      </c>
      <c r="H4" s="13">
        <f>D4+F4+'11-24-2022'!H4</f>
        <v>7940</v>
      </c>
      <c r="I4" s="13">
        <f>E4+G4+'11-24-2022'!I4</f>
        <v>564.58000000000004</v>
      </c>
      <c r="J4" s="13">
        <f>H4+I4</f>
        <v>8504.58</v>
      </c>
      <c r="K4" s="13">
        <f>C4-J4</f>
        <v>1095.42</v>
      </c>
      <c r="L4" s="13">
        <f>C4-((J4/12)*26)</f>
        <v>-8826.59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1750</v>
      </c>
      <c r="G5" s="55">
        <f t="shared" si="0"/>
        <v>125.99</v>
      </c>
      <c r="H5" s="55">
        <f t="shared" si="0"/>
        <v>11148</v>
      </c>
      <c r="I5" s="55">
        <f t="shared" si="0"/>
        <v>795.51</v>
      </c>
      <c r="J5" s="55">
        <f t="shared" si="0"/>
        <v>11943.51</v>
      </c>
      <c r="K5" s="55">
        <f t="shared" si="0"/>
        <v>8456.49</v>
      </c>
      <c r="L5" s="55">
        <f t="shared" si="0"/>
        <v>-5477.6049999999996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D8+F8+'11-24-2022'!H8</f>
        <v>0</v>
      </c>
      <c r="I8" s="13">
        <f>E8+G8+'11-24-2022'!I8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C8-((J8/12)*26)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839.99</v>
      </c>
      <c r="E9" s="21">
        <v>10.91</v>
      </c>
      <c r="F9" s="21">
        <v>0</v>
      </c>
      <c r="G9" s="21">
        <v>0</v>
      </c>
      <c r="H9" s="13">
        <f>D9+F9+'11-24-2022'!H9</f>
        <v>9025.84</v>
      </c>
      <c r="I9" s="13">
        <f>E9+G9+'11-24-2022'!I9</f>
        <v>158.95999999999998</v>
      </c>
      <c r="J9" s="13">
        <f t="shared" si="1"/>
        <v>9184.7999999999993</v>
      </c>
      <c r="K9" s="13">
        <f t="shared" si="2"/>
        <v>15464.2</v>
      </c>
      <c r="L9" s="13">
        <f t="shared" si="3"/>
        <v>4748.6000000000022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</f>
        <v>21374</v>
      </c>
      <c r="D10" s="21">
        <v>862.83</v>
      </c>
      <c r="E10" s="21">
        <v>11.2</v>
      </c>
      <c r="F10" s="21">
        <v>1427.2</v>
      </c>
      <c r="G10" s="21">
        <v>102.75</v>
      </c>
      <c r="H10" s="13">
        <f>D10+F10+'11-24-2022'!H10</f>
        <v>21112.54</v>
      </c>
      <c r="I10" s="13">
        <f>E10+G10+'11-24-2022'!I10</f>
        <v>1035.2</v>
      </c>
      <c r="J10" s="13">
        <f t="shared" si="1"/>
        <v>22147.74</v>
      </c>
      <c r="K10" s="87">
        <f t="shared" si="2"/>
        <v>-773.7400000000016</v>
      </c>
      <c r="L10" s="13">
        <f t="shared" si="3"/>
        <v>-26612.770000000004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f>570.57+1140.82</f>
        <v>1711.3899999999999</v>
      </c>
      <c r="E11" s="21">
        <f>7.41+14.82</f>
        <v>22.23</v>
      </c>
      <c r="F11" s="21">
        <v>0</v>
      </c>
      <c r="G11" s="21">
        <v>0</v>
      </c>
      <c r="H11" s="13">
        <f>D11+F11+'11-24-2022'!H11</f>
        <v>6140.02</v>
      </c>
      <c r="I11" s="13">
        <f>E11+G11+'11-24-2022'!I11</f>
        <v>79.760000000000005</v>
      </c>
      <c r="J11" s="13">
        <f t="shared" si="1"/>
        <v>6219.7800000000007</v>
      </c>
      <c r="K11" s="13">
        <f t="shared" si="2"/>
        <v>11754.22</v>
      </c>
      <c r="L11" s="13">
        <f t="shared" si="3"/>
        <v>4497.8099999999977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994.54</v>
      </c>
      <c r="E12" s="21">
        <v>12.92</v>
      </c>
      <c r="F12" s="21">
        <v>0</v>
      </c>
      <c r="G12" s="21">
        <v>0</v>
      </c>
      <c r="H12" s="13">
        <f>D12+F12+'11-24-2022'!H12</f>
        <v>13478.529999999999</v>
      </c>
      <c r="I12" s="13">
        <f>E12+G12+'11-24-2022'!I12</f>
        <v>175.11</v>
      </c>
      <c r="J12" s="13">
        <f t="shared" si="1"/>
        <v>13653.64</v>
      </c>
      <c r="K12" s="13">
        <f t="shared" si="2"/>
        <v>10676.36</v>
      </c>
      <c r="L12" s="13">
        <f t="shared" si="3"/>
        <v>-5252.8866666666654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1928.39</v>
      </c>
      <c r="E13" s="13">
        <v>25.05</v>
      </c>
      <c r="F13" s="13">
        <v>0</v>
      </c>
      <c r="G13" s="13">
        <v>0</v>
      </c>
      <c r="H13" s="13">
        <f>D13+F13+'11-24-2022'!H13</f>
        <v>17288.489999999998</v>
      </c>
      <c r="I13" s="13">
        <f>E13+G13+'11-24-2022'!I13</f>
        <v>224.62000000000003</v>
      </c>
      <c r="J13" s="13">
        <f t="shared" si="1"/>
        <v>17513.109999999997</v>
      </c>
      <c r="K13" s="13">
        <f t="shared" si="2"/>
        <v>16486.890000000003</v>
      </c>
      <c r="L13" s="13">
        <f t="shared" si="3"/>
        <v>-3945.0716666666558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1796.21</v>
      </c>
      <c r="E14" s="13">
        <v>23.33</v>
      </c>
      <c r="F14" s="13">
        <v>0</v>
      </c>
      <c r="G14" s="13">
        <v>0</v>
      </c>
      <c r="H14" s="13">
        <f>D14+F14+'11-24-2022'!H14</f>
        <v>21147.419999999995</v>
      </c>
      <c r="I14" s="13">
        <f>E14+G14+'11-24-2022'!I14</f>
        <v>328.52</v>
      </c>
      <c r="J14" s="13">
        <f t="shared" si="1"/>
        <v>21475.939999999995</v>
      </c>
      <c r="K14" s="13">
        <f t="shared" si="2"/>
        <v>21265.060000000005</v>
      </c>
      <c r="L14" s="13">
        <f t="shared" si="3"/>
        <v>-3790.2033333333238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564.03</v>
      </c>
      <c r="E15" s="21">
        <v>7.32</v>
      </c>
      <c r="F15" s="21">
        <v>0</v>
      </c>
      <c r="G15" s="21">
        <v>0</v>
      </c>
      <c r="H15" s="13">
        <f>D15+F15+'11-24-2022'!H15</f>
        <v>5952.0499999999993</v>
      </c>
      <c r="I15" s="13">
        <f>E15+G15+'11-24-2022'!I15</f>
        <v>77.289999999999992</v>
      </c>
      <c r="J15" s="13">
        <f t="shared" si="1"/>
        <v>6029.3399999999992</v>
      </c>
      <c r="K15" s="13">
        <f t="shared" si="2"/>
        <v>18143.66</v>
      </c>
      <c r="L15" s="13">
        <f t="shared" si="3"/>
        <v>11109.430000000002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109.05</v>
      </c>
      <c r="E16" s="21">
        <v>1.4</v>
      </c>
      <c r="F16" s="21">
        <v>0</v>
      </c>
      <c r="G16" s="21">
        <v>0</v>
      </c>
      <c r="H16" s="13">
        <f>D16+F16+'11-24-2022'!H16</f>
        <v>1341.12</v>
      </c>
      <c r="I16" s="13">
        <f>E16+G16+'11-24-2022'!I16</f>
        <v>19.11</v>
      </c>
      <c r="J16" s="13">
        <f t="shared" si="1"/>
        <v>1360.2299999999998</v>
      </c>
      <c r="K16" s="13">
        <f t="shared" si="2"/>
        <v>4639.7700000000004</v>
      </c>
      <c r="L16" s="13">
        <f t="shared" si="3"/>
        <v>3052.8350000000005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198158</v>
      </c>
      <c r="D17" s="55">
        <f t="shared" ref="D17:L17" si="4">SUM(D8:D16)</f>
        <v>8806.43</v>
      </c>
      <c r="E17" s="55">
        <f t="shared" si="4"/>
        <v>114.36000000000001</v>
      </c>
      <c r="F17" s="55">
        <f t="shared" si="4"/>
        <v>1427.2</v>
      </c>
      <c r="G17" s="55">
        <f t="shared" si="4"/>
        <v>102.75</v>
      </c>
      <c r="H17" s="55">
        <f t="shared" si="4"/>
        <v>95486.01</v>
      </c>
      <c r="I17" s="55">
        <f t="shared" si="4"/>
        <v>2098.5700000000006</v>
      </c>
      <c r="J17" s="55">
        <f t="shared" si="4"/>
        <v>97584.579999999973</v>
      </c>
      <c r="K17" s="55">
        <f t="shared" si="4"/>
        <v>100573.42000000003</v>
      </c>
      <c r="L17" s="55">
        <f t="shared" si="4"/>
        <v>-13275.256666666646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D20+F20+'11-24-2022'!H20</f>
        <v>0</v>
      </c>
      <c r="I20" s="13">
        <f>E20+G20+'11-24-2022'!I20</f>
        <v>0</v>
      </c>
      <c r="J20" s="13">
        <f>H20+I20</f>
        <v>0</v>
      </c>
      <c r="K20" s="13">
        <f>C20-J20</f>
        <v>2109</v>
      </c>
      <c r="L20" s="13">
        <f t="shared" ref="L20:L22" si="5">C20-((J20/12)*26)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842.57</v>
      </c>
      <c r="E21" s="14">
        <v>10.93</v>
      </c>
      <c r="F21" s="14">
        <v>930.76</v>
      </c>
      <c r="G21" s="14">
        <v>67.010000000000005</v>
      </c>
      <c r="H21" s="13">
        <f>D21+F21+'11-24-2022'!H21</f>
        <v>15042.220000000001</v>
      </c>
      <c r="I21" s="13">
        <f>E21+G21+'11-24-2022'!I21</f>
        <v>502.69</v>
      </c>
      <c r="J21" s="13">
        <f>H21+I21</f>
        <v>15544.910000000002</v>
      </c>
      <c r="K21" s="13">
        <f>C21-J21</f>
        <v>9455.0899999999983</v>
      </c>
      <c r="L21" s="13">
        <f t="shared" si="5"/>
        <v>-8680.638333333336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D22+F22+'11-24-2022'!H22</f>
        <v>0</v>
      </c>
      <c r="I22" s="13">
        <f>E22+G22+'11-24-2022'!I22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842.57</v>
      </c>
      <c r="E23" s="10">
        <f t="shared" si="6"/>
        <v>10.93</v>
      </c>
      <c r="F23" s="10">
        <f t="shared" si="6"/>
        <v>930.76</v>
      </c>
      <c r="G23" s="10">
        <f t="shared" si="6"/>
        <v>67.010000000000005</v>
      </c>
      <c r="H23" s="10">
        <f t="shared" si="6"/>
        <v>15042.220000000001</v>
      </c>
      <c r="I23" s="10">
        <f t="shared" si="6"/>
        <v>502.69</v>
      </c>
      <c r="J23" s="10">
        <f t="shared" si="6"/>
        <v>15544.910000000002</v>
      </c>
      <c r="K23" s="10">
        <f t="shared" si="6"/>
        <v>23564.089999999997</v>
      </c>
      <c r="L23" s="10">
        <f t="shared" si="6"/>
        <v>5428.361666666664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290.63</v>
      </c>
      <c r="E26" s="14">
        <v>3.78</v>
      </c>
      <c r="F26" s="14">
        <v>0</v>
      </c>
      <c r="G26" s="14">
        <v>0</v>
      </c>
      <c r="H26" s="13">
        <f>D26+F26+'11-24-2022'!H26</f>
        <v>4434.4100000000008</v>
      </c>
      <c r="I26" s="13">
        <f>E26+G26+'11-24-2022'!I26</f>
        <v>108.28999999999999</v>
      </c>
      <c r="J26" s="13">
        <f>H26+I26</f>
        <v>4542.7000000000007</v>
      </c>
      <c r="K26" s="13">
        <f>C26-J26</f>
        <v>10457.299999999999</v>
      </c>
      <c r="L26" s="13">
        <f t="shared" ref="L26:L29" si="7">C26-((J26/12)*26)</f>
        <v>5157.4833333333318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D27+F27+'11-24-2022'!H27</f>
        <v>0</v>
      </c>
      <c r="I27" s="13">
        <f>E27+G27+'11-24-2022'!I27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660</v>
      </c>
      <c r="E28" s="21">
        <v>8.57</v>
      </c>
      <c r="F28" s="21">
        <v>0</v>
      </c>
      <c r="G28" s="21">
        <v>0</v>
      </c>
      <c r="H28" s="13">
        <f>D28+F28+'11-24-2022'!H28</f>
        <v>13544.75</v>
      </c>
      <c r="I28" s="13">
        <f>E28+G28+'11-24-2022'!I28</f>
        <v>227.08999999999995</v>
      </c>
      <c r="J28" s="13">
        <f>H28+I28</f>
        <v>13771.84</v>
      </c>
      <c r="K28" s="13">
        <f>C28-J28</f>
        <v>11228.16</v>
      </c>
      <c r="L28" s="13">
        <f t="shared" si="7"/>
        <v>-4838.9866666666676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D29+F29+'11-24-2022'!H29</f>
        <v>0</v>
      </c>
      <c r="I29" s="13">
        <f>E29+G29+'11-24-2022'!I29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950.63</v>
      </c>
      <c r="E30" s="48">
        <f t="shared" si="8"/>
        <v>12.35</v>
      </c>
      <c r="F30" s="48">
        <f t="shared" si="8"/>
        <v>0</v>
      </c>
      <c r="G30" s="48">
        <f t="shared" si="8"/>
        <v>0</v>
      </c>
      <c r="H30" s="48">
        <f t="shared" si="8"/>
        <v>17979.16</v>
      </c>
      <c r="I30" s="48">
        <f t="shared" si="8"/>
        <v>335.37999999999994</v>
      </c>
      <c r="J30" s="48">
        <f t="shared" si="8"/>
        <v>18314.54</v>
      </c>
      <c r="K30" s="48">
        <f t="shared" si="8"/>
        <v>33135.46</v>
      </c>
      <c r="L30" s="48">
        <f t="shared" si="8"/>
        <v>11768.496666666664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309117</v>
      </c>
      <c r="D33" s="41">
        <f t="shared" ref="D33:L33" si="9">D17+D23+D30+D5</f>
        <v>10599.63</v>
      </c>
      <c r="E33" s="41">
        <f t="shared" si="9"/>
        <v>137.64000000000001</v>
      </c>
      <c r="F33" s="41">
        <f t="shared" si="9"/>
        <v>4107.96</v>
      </c>
      <c r="G33" s="41">
        <f t="shared" si="9"/>
        <v>295.75</v>
      </c>
      <c r="H33" s="41">
        <f t="shared" si="9"/>
        <v>139655.39000000001</v>
      </c>
      <c r="I33" s="41">
        <f t="shared" si="9"/>
        <v>3732.1500000000005</v>
      </c>
      <c r="J33" s="41">
        <f t="shared" si="9"/>
        <v>143387.53999999998</v>
      </c>
      <c r="K33" s="41">
        <f t="shared" si="9"/>
        <v>165729.46000000002</v>
      </c>
      <c r="L33" s="41">
        <f t="shared" si="9"/>
        <v>-1556.0033333333176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128</v>
      </c>
      <c r="E36" s="77">
        <v>1.66</v>
      </c>
      <c r="F36" s="14">
        <v>0</v>
      </c>
      <c r="G36" s="14">
        <v>0</v>
      </c>
      <c r="H36" s="13">
        <f>D36+F36+'11-10-2022'!H36</f>
        <v>128</v>
      </c>
      <c r="I36" s="13">
        <f>E36+G36+'11-10-2022'!I36</f>
        <v>1.66</v>
      </c>
      <c r="J36" s="13">
        <f t="shared" ref="J36:J55" si="10">H36+I36</f>
        <v>129.66</v>
      </c>
      <c r="K36" s="87">
        <f t="shared" ref="K36:K55" si="11">C36-J36</f>
        <v>-129.66</v>
      </c>
      <c r="L36" s="13">
        <f t="shared" ref="L36:L55" si="12">C36-((J36/12)*26)</f>
        <v>-280.93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D37+F37+'11-10-2022'!H37</f>
        <v>0</v>
      </c>
      <c r="I37" s="13">
        <f>E37+G37+'11-10-2022'!I37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D38+F38+'11-10-2022'!H38</f>
        <v>0</v>
      </c>
      <c r="I38" s="13">
        <f>E38+G38+'11-10-2022'!I38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D39+F39+'11-24-2022'!H39</f>
        <v>0</v>
      </c>
      <c r="I39" s="13">
        <f>E39+G39+'11-24-2022'!I39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D40+F40+'11-24-2022'!H40</f>
        <v>0</v>
      </c>
      <c r="I40" s="13">
        <f>E40+G40+'11-24-2022'!I40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0</v>
      </c>
      <c r="E41" s="14">
        <v>0</v>
      </c>
      <c r="F41" s="14">
        <v>0</v>
      </c>
      <c r="G41" s="14">
        <v>0</v>
      </c>
      <c r="H41" s="13">
        <f>D41+F41+'11-24-2022'!H41</f>
        <v>1884.52</v>
      </c>
      <c r="I41" s="13">
        <f>E41+G41+'11-24-2022'!I41</f>
        <v>24.430000000000003</v>
      </c>
      <c r="J41" s="13">
        <f t="shared" si="10"/>
        <v>1908.95</v>
      </c>
      <c r="K41" s="13">
        <f t="shared" si="11"/>
        <v>5591.05</v>
      </c>
      <c r="L41" s="13">
        <f t="shared" si="12"/>
        <v>3363.9416666666666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D42+F42+'11-24-2022'!H42</f>
        <v>0</v>
      </c>
      <c r="I42" s="13">
        <f>E42+G42+'11-24-2022'!I42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D43+F43+'11-24-2022'!H43</f>
        <v>0</v>
      </c>
      <c r="I43" s="13">
        <f>E43+G43+'11-24-2022'!I43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D44+F44+'11-24-2022'!H44</f>
        <v>0</v>
      </c>
      <c r="I44" s="13">
        <f>E44+G44+'11-24-2022'!I44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D45+F45+'11-24-2022'!H45</f>
        <v>0</v>
      </c>
      <c r="I45" s="13">
        <f>E45+G45+'11-24-2022'!I45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170.81</v>
      </c>
      <c r="E46" s="14">
        <v>2.21</v>
      </c>
      <c r="F46" s="14">
        <v>0</v>
      </c>
      <c r="G46" s="14">
        <v>0</v>
      </c>
      <c r="H46" s="13">
        <f>D46+F46+'11-24-2022'!H46</f>
        <v>3728.3799999999997</v>
      </c>
      <c r="I46" s="13">
        <f>E46+G46+'11-24-2022'!I46</f>
        <v>48.39</v>
      </c>
      <c r="J46" s="13">
        <f t="shared" si="10"/>
        <v>3776.7699999999995</v>
      </c>
      <c r="K46" s="13">
        <f t="shared" si="11"/>
        <v>2244.3100000000004</v>
      </c>
      <c r="L46" s="13">
        <f t="shared" si="12"/>
        <v>-2161.9216666666653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D47+F47+'11-24-2022'!H47</f>
        <v>2224.5700000000002</v>
      </c>
      <c r="I47" s="13">
        <f>E47+G47+'11-24-2022'!I47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5117.46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D48+F48+'11-24-2022'!H48</f>
        <v>1085.2</v>
      </c>
      <c r="I48" s="13">
        <f>E48+G48+'11-24-2022'!I48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-687.38666666666654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f>1686.24+250.84</f>
        <v>1937.08</v>
      </c>
      <c r="D49" s="14">
        <v>0</v>
      </c>
      <c r="E49" s="14">
        <v>0</v>
      </c>
      <c r="F49" s="14">
        <v>0</v>
      </c>
      <c r="G49" s="14">
        <v>0</v>
      </c>
      <c r="H49" s="13">
        <f>D49+F49+'11-24-2022'!H49</f>
        <v>1807</v>
      </c>
      <c r="I49" s="13">
        <f>E49+G49+'11-24-2022'!I49</f>
        <v>130.08000000000001</v>
      </c>
      <c r="J49" s="13">
        <f t="shared" si="10"/>
        <v>1937.08</v>
      </c>
      <c r="K49" s="13">
        <f t="shared" si="11"/>
        <v>0</v>
      </c>
      <c r="L49" s="13">
        <f t="shared" si="12"/>
        <v>-2259.9266666666663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596.29999999999995</v>
      </c>
      <c r="E50" s="14">
        <v>7.73</v>
      </c>
      <c r="F50" s="14">
        <v>0</v>
      </c>
      <c r="G50" s="14">
        <v>0</v>
      </c>
      <c r="H50" s="13">
        <f>D50+F50+'11-24-2022'!H50</f>
        <v>4376.37</v>
      </c>
      <c r="I50" s="13">
        <f>E50+G50+'11-24-2022'!I50</f>
        <v>56.81</v>
      </c>
      <c r="J50" s="13">
        <f t="shared" si="10"/>
        <v>4433.18</v>
      </c>
      <c r="K50" s="13">
        <f t="shared" si="11"/>
        <v>4866.82</v>
      </c>
      <c r="L50" s="13">
        <f t="shared" si="12"/>
        <v>-305.22333333333336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D51+F51+'11-24-2022'!H51</f>
        <v>2480</v>
      </c>
      <c r="I51" s="13">
        <f>E51+G51+'11-24-2022'!I51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1356.8133333333335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D52+F52+'11-24-2022'!H52</f>
        <v>1574.72</v>
      </c>
      <c r="I52" s="13">
        <f>E52+G52+'11-24-2022'!I52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-1757.4416666666662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D53+F53+'11-24-2022'!H53</f>
        <v>0</v>
      </c>
      <c r="I53" s="13">
        <f>E53+G53+'11-24-2022'!I53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D54+F54+'11-24-2022'!H54</f>
        <v>0</v>
      </c>
      <c r="I54" s="13">
        <f>E54+G54+'11-24-2022'!I54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312.5</v>
      </c>
      <c r="G55" s="14">
        <v>22.5</v>
      </c>
      <c r="H55" s="13">
        <f>D55+F55+'11-24-2022'!H55</f>
        <v>1468.75</v>
      </c>
      <c r="I55" s="13">
        <f>E55+G55+'11-24-2022'!I55</f>
        <v>105.75</v>
      </c>
      <c r="J55" s="13">
        <f t="shared" si="10"/>
        <v>1574.5</v>
      </c>
      <c r="K55" s="13">
        <f t="shared" si="11"/>
        <v>5892.55</v>
      </c>
      <c r="L55" s="13">
        <f t="shared" si="12"/>
        <v>4055.6333333333332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61994.490000000005</v>
      </c>
      <c r="D56" s="10">
        <f t="shared" ref="D56:K56" si="13">SUM(D36:D55)</f>
        <v>895.1099999999999</v>
      </c>
      <c r="E56" s="10">
        <f t="shared" si="13"/>
        <v>11.600000000000001</v>
      </c>
      <c r="F56" s="10">
        <f t="shared" si="13"/>
        <v>312.5</v>
      </c>
      <c r="G56" s="10">
        <f t="shared" si="13"/>
        <v>22.5</v>
      </c>
      <c r="H56" s="10">
        <f t="shared" si="13"/>
        <v>20757.510000000002</v>
      </c>
      <c r="I56" s="10">
        <f t="shared" si="13"/>
        <v>555.70000000000005</v>
      </c>
      <c r="J56" s="10">
        <f t="shared" si="13"/>
        <v>21313.209999999995</v>
      </c>
      <c r="K56" s="10">
        <f t="shared" si="13"/>
        <v>40681.280000000013</v>
      </c>
      <c r="L56" s="10">
        <f>SUM(L36:L55)</f>
        <v>15815.868333333334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2165.92</v>
      </c>
      <c r="E59" s="13">
        <v>28.15</v>
      </c>
      <c r="F59" s="13">
        <v>0</v>
      </c>
      <c r="G59" s="13">
        <v>0</v>
      </c>
      <c r="H59" s="13">
        <f>D59+F59+'11-24-2022'!H59</f>
        <v>20171.43</v>
      </c>
      <c r="I59" s="13">
        <f>E59+G59+'11-24-2022'!I59</f>
        <v>262.11999999999995</v>
      </c>
      <c r="J59" s="13">
        <f>H59+I59</f>
        <v>20433.55</v>
      </c>
      <c r="K59" s="13">
        <f>C59-J59</f>
        <v>42149.45</v>
      </c>
      <c r="L59" s="13">
        <f t="shared" ref="L59:L60" si="14">C59-((J59/12)*26)</f>
        <v>18310.308333333334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D60+F60+'11-24-2022'!H60</f>
        <v>0</v>
      </c>
      <c r="I60" s="13">
        <f>E60+G60+'11-24-2022'!I60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>SUM(D59:D60)</f>
        <v>2165.92</v>
      </c>
      <c r="E61" s="20">
        <f>SUM(E59:E60)</f>
        <v>28.15</v>
      </c>
      <c r="F61" s="20">
        <f>SUM(F59:F60)</f>
        <v>0</v>
      </c>
      <c r="G61" s="20">
        <f>SUM(G59:G60)</f>
        <v>0</v>
      </c>
      <c r="H61" s="20">
        <f t="shared" ref="H61:L61" si="15">SUM(H59:H60)</f>
        <v>20171.43</v>
      </c>
      <c r="I61" s="20">
        <f t="shared" si="15"/>
        <v>262.11999999999995</v>
      </c>
      <c r="J61" s="20">
        <f t="shared" si="15"/>
        <v>20433.55</v>
      </c>
      <c r="K61" s="20">
        <f t="shared" si="15"/>
        <v>43149.45</v>
      </c>
      <c r="L61" s="20">
        <f t="shared" si="15"/>
        <v>19310.308333333334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D64+F64+'11-24-2022'!H64</f>
        <v>0</v>
      </c>
      <c r="I64" s="13">
        <f>E64+G64+'11-24-2022'!I64</f>
        <v>0</v>
      </c>
      <c r="J64" s="13">
        <f>H64+I64</f>
        <v>0</v>
      </c>
      <c r="K64" s="13">
        <f>C64-J64</f>
        <v>0</v>
      </c>
      <c r="L64" s="13">
        <f>C64-((J64/12)*26)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89</v>
      </c>
      <c r="B73" s="101"/>
      <c r="C73" s="101"/>
      <c r="D73" s="101"/>
      <c r="E73" s="101"/>
      <c r="F73" s="101"/>
      <c r="G73" s="79">
        <v>5500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90</v>
      </c>
      <c r="B74" s="101"/>
      <c r="C74" s="101"/>
      <c r="D74" s="101"/>
      <c r="E74" s="101"/>
      <c r="F74" s="101"/>
      <c r="G74" s="79">
        <v>3400</v>
      </c>
      <c r="M74" s="102"/>
      <c r="N74" s="102"/>
      <c r="O74" s="102"/>
      <c r="P74" s="102"/>
      <c r="Q74" s="102"/>
      <c r="R74" s="102"/>
    </row>
    <row r="127" spans="13:13" x14ac:dyDescent="0.25">
      <c r="M127" s="2">
        <f>SUM(M34:M125)</f>
        <v>0</v>
      </c>
    </row>
  </sheetData>
  <mergeCells count="24">
    <mergeCell ref="A73:F73"/>
    <mergeCell ref="M73:R73"/>
    <mergeCell ref="A69:F69"/>
    <mergeCell ref="M69:R69"/>
    <mergeCell ref="A70:F70"/>
    <mergeCell ref="M70:R70"/>
    <mergeCell ref="A71:F71"/>
    <mergeCell ref="M71:R71"/>
    <mergeCell ref="A74:F74"/>
    <mergeCell ref="M74:R74"/>
    <mergeCell ref="A56:B56"/>
    <mergeCell ref="A5:B5"/>
    <mergeCell ref="A17:B17"/>
    <mergeCell ref="A23:B23"/>
    <mergeCell ref="A30:B30"/>
    <mergeCell ref="A33:B33"/>
    <mergeCell ref="A61:B61"/>
    <mergeCell ref="A65:B65"/>
    <mergeCell ref="A67:F67"/>
    <mergeCell ref="M67:R67"/>
    <mergeCell ref="A68:F68"/>
    <mergeCell ref="M68:R68"/>
    <mergeCell ref="A72:F72"/>
    <mergeCell ref="M72:R72"/>
  </mergeCells>
  <pageMargins left="0.25" right="0" top="0.4" bottom="0" header="0.3" footer="0"/>
  <pageSetup scale="68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9120B-816A-4B2E-81E4-47B8E0812DFA}">
  <sheetPr>
    <pageSetUpPr fitToPage="1"/>
  </sheetPr>
  <dimension ref="A1:R127"/>
  <sheetViews>
    <sheetView zoomScale="160" zoomScaleNormal="160" workbookViewId="0">
      <pane ySplit="2" topLeftCell="A55" activePane="bottomLeft" state="frozen"/>
      <selection pane="bottomLeft" activeCell="K4" sqref="K4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44917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D3+F3+'12-08-2022'!H3</f>
        <v>3208</v>
      </c>
      <c r="I3" s="13">
        <f>E3+G3+'12-08-2022'!I3</f>
        <v>230.93</v>
      </c>
      <c r="J3" s="13">
        <f>H3+I3</f>
        <v>3438.93</v>
      </c>
      <c r="K3" s="13">
        <f>C3-J3</f>
        <v>7361.07</v>
      </c>
      <c r="L3" s="13">
        <f>C3-((J3/13)*26)</f>
        <v>3922.1400000000003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1600</v>
      </c>
      <c r="G4" s="14">
        <v>115.2</v>
      </c>
      <c r="H4" s="13">
        <f>D4+F4+'12-08-2022'!H4</f>
        <v>9540</v>
      </c>
      <c r="I4" s="13">
        <f>E4+G4+'12-08-2022'!I4</f>
        <v>679.78000000000009</v>
      </c>
      <c r="J4" s="13">
        <f>H4+I4</f>
        <v>10219.780000000001</v>
      </c>
      <c r="K4" s="87">
        <f>C4-J4</f>
        <v>-619.78000000000065</v>
      </c>
      <c r="L4" s="13">
        <f>C4-((J4/13)*26)</f>
        <v>-10839.560000000001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1600</v>
      </c>
      <c r="G5" s="55">
        <f t="shared" si="0"/>
        <v>115.2</v>
      </c>
      <c r="H5" s="55">
        <f t="shared" si="0"/>
        <v>12748</v>
      </c>
      <c r="I5" s="55">
        <f t="shared" si="0"/>
        <v>910.71</v>
      </c>
      <c r="J5" s="55">
        <f t="shared" si="0"/>
        <v>13658.710000000001</v>
      </c>
      <c r="K5" s="55">
        <f t="shared" si="0"/>
        <v>6741.2899999999991</v>
      </c>
      <c r="L5" s="55">
        <f t="shared" si="0"/>
        <v>-6917.420000000001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D8+F8+'12-08-2022'!H8</f>
        <v>0</v>
      </c>
      <c r="I8" s="13">
        <f>E8+G8+'12-08-2022'!I8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C8-((J8/13)*26)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505.03</v>
      </c>
      <c r="E9" s="21">
        <v>6.56</v>
      </c>
      <c r="F9" s="21">
        <v>0</v>
      </c>
      <c r="G9" s="21">
        <v>0</v>
      </c>
      <c r="H9" s="13">
        <f>D9+F9+'12-08-2022'!H9</f>
        <v>9530.8700000000008</v>
      </c>
      <c r="I9" s="13">
        <f>E9+G9+'12-08-2022'!I9</f>
        <v>165.51999999999998</v>
      </c>
      <c r="J9" s="13">
        <f t="shared" si="1"/>
        <v>9696.3900000000012</v>
      </c>
      <c r="K9" s="13">
        <f t="shared" si="2"/>
        <v>14952.609999999999</v>
      </c>
      <c r="L9" s="13">
        <f t="shared" si="3"/>
        <v>5256.2199999999975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17974+3400+12340</f>
        <v>33714</v>
      </c>
      <c r="D10" s="21">
        <v>332.09</v>
      </c>
      <c r="E10" s="21">
        <v>4.3099999999999996</v>
      </c>
      <c r="F10" s="21">
        <v>1364.76</v>
      </c>
      <c r="G10" s="21">
        <v>98.26</v>
      </c>
      <c r="H10" s="13">
        <f>D10+F10+'12-08-2022'!H10</f>
        <v>22809.39</v>
      </c>
      <c r="I10" s="13">
        <f>E10+G10+'12-08-2022'!I10</f>
        <v>1137.77</v>
      </c>
      <c r="J10" s="13">
        <f t="shared" si="1"/>
        <v>23947.16</v>
      </c>
      <c r="K10" s="13">
        <f t="shared" si="2"/>
        <v>9766.84</v>
      </c>
      <c r="L10" s="13">
        <f t="shared" si="3"/>
        <v>-14180.32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808.99</v>
      </c>
      <c r="E11" s="21">
        <v>10.51</v>
      </c>
      <c r="F11" s="21">
        <v>0</v>
      </c>
      <c r="G11" s="21">
        <v>0</v>
      </c>
      <c r="H11" s="13">
        <f>D11+F11+'12-08-2022'!H11</f>
        <v>6949.01</v>
      </c>
      <c r="I11" s="13">
        <f>E11+G11+'12-08-2022'!I11</f>
        <v>90.27000000000001</v>
      </c>
      <c r="J11" s="13">
        <f t="shared" si="1"/>
        <v>7039.2800000000007</v>
      </c>
      <c r="K11" s="13">
        <f t="shared" si="2"/>
        <v>10934.72</v>
      </c>
      <c r="L11" s="13">
        <f t="shared" si="3"/>
        <v>3895.4399999999987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1007.31</v>
      </c>
      <c r="E12" s="21">
        <v>13.09</v>
      </c>
      <c r="F12" s="21">
        <v>0</v>
      </c>
      <c r="G12" s="21">
        <v>0</v>
      </c>
      <c r="H12" s="13">
        <f>D12+F12+'12-08-2022'!H12</f>
        <v>14485.839999999998</v>
      </c>
      <c r="I12" s="13">
        <f>E12+G12+'12-08-2022'!I12</f>
        <v>188.20000000000002</v>
      </c>
      <c r="J12" s="13">
        <f t="shared" si="1"/>
        <v>14674.039999999999</v>
      </c>
      <c r="K12" s="13">
        <f t="shared" si="2"/>
        <v>9655.9600000000009</v>
      </c>
      <c r="L12" s="13">
        <f t="shared" si="3"/>
        <v>-5018.0799999999945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1313.97</v>
      </c>
      <c r="E13" s="13">
        <v>17.079999999999998</v>
      </c>
      <c r="F13" s="13">
        <v>0</v>
      </c>
      <c r="G13" s="13">
        <v>0</v>
      </c>
      <c r="H13" s="13">
        <f>D13+F13+'12-08-2022'!H13</f>
        <v>18602.46</v>
      </c>
      <c r="I13" s="13">
        <f>E13+G13+'12-08-2022'!I13</f>
        <v>241.70000000000005</v>
      </c>
      <c r="J13" s="13">
        <f t="shared" si="1"/>
        <v>18844.16</v>
      </c>
      <c r="K13" s="13">
        <f t="shared" si="2"/>
        <v>15155.84</v>
      </c>
      <c r="L13" s="13">
        <f t="shared" si="3"/>
        <v>-3688.3199999999997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f>42741+5000</f>
        <v>47741</v>
      </c>
      <c r="D14" s="13">
        <v>811.47</v>
      </c>
      <c r="E14" s="13">
        <v>10.54</v>
      </c>
      <c r="F14" s="13">
        <v>0</v>
      </c>
      <c r="G14" s="13">
        <v>0</v>
      </c>
      <c r="H14" s="13">
        <f>D14+F14+'12-08-2022'!H14</f>
        <v>21958.889999999996</v>
      </c>
      <c r="I14" s="13">
        <f>E14+G14+'12-08-2022'!I14</f>
        <v>339.06</v>
      </c>
      <c r="J14" s="13">
        <f t="shared" si="1"/>
        <v>22297.949999999997</v>
      </c>
      <c r="K14" s="13">
        <f t="shared" si="2"/>
        <v>25443.050000000003</v>
      </c>
      <c r="L14" s="13">
        <f t="shared" si="3"/>
        <v>3145.1000000000058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191.35</v>
      </c>
      <c r="E15" s="21">
        <v>2.48</v>
      </c>
      <c r="F15" s="21">
        <v>0</v>
      </c>
      <c r="G15" s="21">
        <v>0</v>
      </c>
      <c r="H15" s="13">
        <f>D15+F15+'12-08-2022'!H15</f>
        <v>6143.4</v>
      </c>
      <c r="I15" s="13">
        <f>E15+G15+'12-08-2022'!I15</f>
        <v>79.77</v>
      </c>
      <c r="J15" s="13">
        <f t="shared" si="1"/>
        <v>6223.17</v>
      </c>
      <c r="K15" s="13">
        <f t="shared" si="2"/>
        <v>17949.830000000002</v>
      </c>
      <c r="L15" s="13">
        <f t="shared" si="3"/>
        <v>11726.66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35.79</v>
      </c>
      <c r="E16" s="21">
        <v>0.46</v>
      </c>
      <c r="F16" s="21">
        <v>0</v>
      </c>
      <c r="G16" s="21">
        <v>0</v>
      </c>
      <c r="H16" s="13">
        <f>D16+F16+'12-08-2022'!H16</f>
        <v>1376.9099999999999</v>
      </c>
      <c r="I16" s="13">
        <f>E16+G16+'12-08-2022'!I16</f>
        <v>19.57</v>
      </c>
      <c r="J16" s="13">
        <f t="shared" si="1"/>
        <v>1396.4799999999998</v>
      </c>
      <c r="K16" s="13">
        <f t="shared" si="2"/>
        <v>4603.5200000000004</v>
      </c>
      <c r="L16" s="13">
        <f t="shared" si="3"/>
        <v>3207.0400000000004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215498</v>
      </c>
      <c r="D17" s="55">
        <f t="shared" ref="D17:L17" si="4">SUM(D8:D16)</f>
        <v>5006.0000000000009</v>
      </c>
      <c r="E17" s="55">
        <f t="shared" si="4"/>
        <v>65.029999999999987</v>
      </c>
      <c r="F17" s="55">
        <f t="shared" si="4"/>
        <v>1364.76</v>
      </c>
      <c r="G17" s="55">
        <f t="shared" si="4"/>
        <v>98.26</v>
      </c>
      <c r="H17" s="55">
        <f t="shared" si="4"/>
        <v>101856.77</v>
      </c>
      <c r="I17" s="55">
        <f t="shared" si="4"/>
        <v>2261.86</v>
      </c>
      <c r="J17" s="55">
        <f t="shared" si="4"/>
        <v>104118.62999999999</v>
      </c>
      <c r="K17" s="55">
        <f t="shared" si="4"/>
        <v>111379.37000000001</v>
      </c>
      <c r="L17" s="55">
        <f t="shared" si="4"/>
        <v>7260.7400000000089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D20+F20+'12-08-2022'!H20</f>
        <v>0</v>
      </c>
      <c r="I20" s="13">
        <f>E20+G20+'12-08-2022'!I20</f>
        <v>0</v>
      </c>
      <c r="J20" s="13">
        <f>H20+I20</f>
        <v>0</v>
      </c>
      <c r="K20" s="13">
        <f>C20-J20</f>
        <v>2109</v>
      </c>
      <c r="L20" s="13">
        <f t="shared" ref="L20:L22" si="5">C20-((J20/13)*26)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728.7</v>
      </c>
      <c r="E21" s="14">
        <v>9.4700000000000006</v>
      </c>
      <c r="F21" s="14">
        <v>1366.36</v>
      </c>
      <c r="G21" s="14">
        <v>98.37</v>
      </c>
      <c r="H21" s="13">
        <f>D21+F21+'12-08-2022'!H21</f>
        <v>17137.280000000002</v>
      </c>
      <c r="I21" s="13">
        <f>E21+G21+'12-08-2022'!I21</f>
        <v>610.53</v>
      </c>
      <c r="J21" s="13">
        <f>H21+I21</f>
        <v>17747.810000000001</v>
      </c>
      <c r="K21" s="13">
        <f>C21-J21</f>
        <v>7252.1899999999987</v>
      </c>
      <c r="L21" s="13">
        <f t="shared" si="5"/>
        <v>-10495.620000000003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D22+F22+'12-08-2022'!H22</f>
        <v>0</v>
      </c>
      <c r="I22" s="13">
        <f>E22+G22+'12-08-2022'!I22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728.7</v>
      </c>
      <c r="E23" s="10">
        <f t="shared" si="6"/>
        <v>9.4700000000000006</v>
      </c>
      <c r="F23" s="10">
        <f t="shared" si="6"/>
        <v>1366.36</v>
      </c>
      <c r="G23" s="10">
        <f t="shared" si="6"/>
        <v>98.37</v>
      </c>
      <c r="H23" s="10">
        <f t="shared" si="6"/>
        <v>17137.280000000002</v>
      </c>
      <c r="I23" s="10">
        <f t="shared" si="6"/>
        <v>610.53</v>
      </c>
      <c r="J23" s="10">
        <f t="shared" si="6"/>
        <v>17747.810000000001</v>
      </c>
      <c r="K23" s="10">
        <f t="shared" si="6"/>
        <v>21361.19</v>
      </c>
      <c r="L23" s="10">
        <f t="shared" si="6"/>
        <v>3613.3799999999974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262.5</v>
      </c>
      <c r="E26" s="14">
        <v>3.41</v>
      </c>
      <c r="F26" s="14">
        <v>0</v>
      </c>
      <c r="G26" s="14">
        <v>0</v>
      </c>
      <c r="H26" s="13">
        <f>D26+F26+'12-08-2022'!H26</f>
        <v>4696.9100000000008</v>
      </c>
      <c r="I26" s="13">
        <f>E26+G26+'12-08-2022'!I26</f>
        <v>111.69999999999999</v>
      </c>
      <c r="J26" s="13">
        <f>H26+I26</f>
        <v>4808.6100000000006</v>
      </c>
      <c r="K26" s="13">
        <f>C26-J26</f>
        <v>10191.39</v>
      </c>
      <c r="L26" s="13">
        <f t="shared" ref="L26:L29" si="7">C26-((J26/13)*26)</f>
        <v>5382.7799999999988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D27+F27+'12-08-2022'!H27</f>
        <v>0</v>
      </c>
      <c r="I27" s="13">
        <f>E27+G27+'12-08-2022'!I27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348.75</v>
      </c>
      <c r="E28" s="21">
        <v>8.43</v>
      </c>
      <c r="F28" s="21">
        <v>0</v>
      </c>
      <c r="G28" s="21">
        <v>0</v>
      </c>
      <c r="H28" s="13">
        <f>D28+F28+'12-08-2022'!H28</f>
        <v>13893.5</v>
      </c>
      <c r="I28" s="13">
        <f>E28+G28+'12-08-2022'!I28</f>
        <v>235.51999999999995</v>
      </c>
      <c r="J28" s="13">
        <f>H28+I28</f>
        <v>14129.02</v>
      </c>
      <c r="K28" s="13">
        <f>C28-J28</f>
        <v>10870.98</v>
      </c>
      <c r="L28" s="13">
        <f t="shared" si="7"/>
        <v>-3258.0400000000009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D29+F29+'12-08-2022'!H29</f>
        <v>0</v>
      </c>
      <c r="I29" s="13">
        <f>E29+G29+'12-08-2022'!I29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611.25</v>
      </c>
      <c r="E30" s="48">
        <f t="shared" si="8"/>
        <v>11.84</v>
      </c>
      <c r="F30" s="48">
        <f t="shared" si="8"/>
        <v>0</v>
      </c>
      <c r="G30" s="48">
        <f t="shared" si="8"/>
        <v>0</v>
      </c>
      <c r="H30" s="48">
        <f t="shared" si="8"/>
        <v>18590.41</v>
      </c>
      <c r="I30" s="48">
        <f t="shared" si="8"/>
        <v>347.21999999999991</v>
      </c>
      <c r="J30" s="48">
        <f t="shared" si="8"/>
        <v>18937.63</v>
      </c>
      <c r="K30" s="48">
        <f t="shared" si="8"/>
        <v>32512.37</v>
      </c>
      <c r="L30" s="48">
        <f t="shared" si="8"/>
        <v>13574.739999999998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326457</v>
      </c>
      <c r="D33" s="41">
        <f t="shared" ref="D33:L33" si="9">D17+D23+D30+D5</f>
        <v>6345.9500000000007</v>
      </c>
      <c r="E33" s="41">
        <f t="shared" si="9"/>
        <v>86.339999999999989</v>
      </c>
      <c r="F33" s="41">
        <f t="shared" si="9"/>
        <v>4331.12</v>
      </c>
      <c r="G33" s="41">
        <f t="shared" si="9"/>
        <v>311.83</v>
      </c>
      <c r="H33" s="41">
        <f t="shared" si="9"/>
        <v>150332.46</v>
      </c>
      <c r="I33" s="41">
        <f t="shared" si="9"/>
        <v>4130.32</v>
      </c>
      <c r="J33" s="41">
        <f t="shared" si="9"/>
        <v>154462.77999999997</v>
      </c>
      <c r="K33" s="41">
        <f t="shared" si="9"/>
        <v>171994.22</v>
      </c>
      <c r="L33" s="41">
        <f t="shared" si="9"/>
        <v>17531.440000000002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-128</v>
      </c>
      <c r="E36" s="77">
        <v>-1.66</v>
      </c>
      <c r="F36" s="14">
        <v>0</v>
      </c>
      <c r="G36" s="14">
        <v>0</v>
      </c>
      <c r="H36" s="13">
        <f>D36+F36+'12-08-2022'!H36</f>
        <v>0</v>
      </c>
      <c r="I36" s="13">
        <f>E36+G36+'12-08-2022'!I36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C36-((J36/13)*26)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f>128+755.25</f>
        <v>883.25</v>
      </c>
      <c r="E37" s="77">
        <f>1.66+9.81</f>
        <v>11.47</v>
      </c>
      <c r="F37" s="77">
        <v>0</v>
      </c>
      <c r="G37" s="77">
        <v>0</v>
      </c>
      <c r="H37" s="13">
        <f>D37+F37+'12-08-2022'!H37</f>
        <v>883.25</v>
      </c>
      <c r="I37" s="13">
        <f>E37+G37+'12-08-2022'!I37</f>
        <v>11.47</v>
      </c>
      <c r="J37" s="13">
        <f t="shared" si="10"/>
        <v>894.72</v>
      </c>
      <c r="K37" s="87">
        <f t="shared" si="11"/>
        <v>-894.72</v>
      </c>
      <c r="L37" s="13">
        <f t="shared" si="12"/>
        <v>-1789.44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D38+F38+'12-08-2022'!H38</f>
        <v>0</v>
      </c>
      <c r="I38" s="13">
        <f>E38+G38+'12-08-2022'!I38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D39+F39+'12-08-2022'!H39</f>
        <v>0</v>
      </c>
      <c r="I39" s="13">
        <f>E39+G39+'12-08-2022'!I39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D40+F40+'12-08-2022'!H40</f>
        <v>0</v>
      </c>
      <c r="I40" s="13">
        <f>E40+G40+'12-08-2022'!I40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0</v>
      </c>
      <c r="E41" s="14">
        <v>0</v>
      </c>
      <c r="F41" s="14">
        <v>0</v>
      </c>
      <c r="G41" s="14">
        <v>0</v>
      </c>
      <c r="H41" s="13">
        <f>D41+F41+'12-08-2022'!H41</f>
        <v>1884.52</v>
      </c>
      <c r="I41" s="13">
        <f>E41+G41+'12-08-2022'!I41</f>
        <v>24.430000000000003</v>
      </c>
      <c r="J41" s="13">
        <f t="shared" si="10"/>
        <v>1908.95</v>
      </c>
      <c r="K41" s="13">
        <f t="shared" si="11"/>
        <v>5591.05</v>
      </c>
      <c r="L41" s="13">
        <f t="shared" si="12"/>
        <v>3682.1000000000004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D42+F42+'12-08-2022'!H42</f>
        <v>0</v>
      </c>
      <c r="I42" s="13">
        <f>E42+G42+'12-08-2022'!I42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D43+F43+'12-08-2022'!H43</f>
        <v>0</v>
      </c>
      <c r="I43" s="13">
        <f>E43+G43+'12-08-2022'!I43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D44+F44+'12-08-2022'!H44</f>
        <v>0</v>
      </c>
      <c r="I44" s="13">
        <f>E44+G44+'12-08-2022'!I44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D45+F45+'12-08-2022'!H45</f>
        <v>0</v>
      </c>
      <c r="I45" s="13">
        <f>E45+G45+'12-08-2022'!I45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506.54</v>
      </c>
      <c r="E46" s="14">
        <v>6.58</v>
      </c>
      <c r="F46" s="14">
        <v>0</v>
      </c>
      <c r="G46" s="14">
        <v>0</v>
      </c>
      <c r="H46" s="13">
        <f>D46+F46+'12-08-2022'!H46</f>
        <v>4234.92</v>
      </c>
      <c r="I46" s="13">
        <f>E46+G46+'12-08-2022'!I46</f>
        <v>54.97</v>
      </c>
      <c r="J46" s="13">
        <f t="shared" si="10"/>
        <v>4289.8900000000003</v>
      </c>
      <c r="K46" s="13">
        <f t="shared" si="11"/>
        <v>1731.1899999999996</v>
      </c>
      <c r="L46" s="13">
        <f t="shared" si="12"/>
        <v>-2558.7000000000007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D47+F47+'12-08-2022'!H47</f>
        <v>2224.5700000000002</v>
      </c>
      <c r="I47" s="13">
        <f>E47+G47+'12-08-2022'!I47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5493.04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D48+F48+'12-08-2022'!H48</f>
        <v>1085.2</v>
      </c>
      <c r="I48" s="13">
        <f>E48+G48+'12-08-2022'!I48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-504.16999999999985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f>1686.24+250.84</f>
        <v>1937.08</v>
      </c>
      <c r="D49" s="14">
        <v>0</v>
      </c>
      <c r="E49" s="14">
        <v>0</v>
      </c>
      <c r="F49" s="14">
        <v>0</v>
      </c>
      <c r="G49" s="14">
        <v>0</v>
      </c>
      <c r="H49" s="13">
        <f>D49+F49+'12-08-2022'!H49</f>
        <v>1807</v>
      </c>
      <c r="I49" s="13">
        <f>E49+G49+'12-08-2022'!I49</f>
        <v>130.08000000000001</v>
      </c>
      <c r="J49" s="13">
        <f t="shared" si="10"/>
        <v>1937.08</v>
      </c>
      <c r="K49" s="13">
        <f t="shared" si="11"/>
        <v>0</v>
      </c>
      <c r="L49" s="13">
        <f t="shared" si="12"/>
        <v>-1937.08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404.84</v>
      </c>
      <c r="E50" s="14">
        <v>5.26</v>
      </c>
      <c r="F50" s="14">
        <v>0</v>
      </c>
      <c r="G50" s="14">
        <v>0</v>
      </c>
      <c r="H50" s="13">
        <f>D50+F50+'12-08-2022'!H50</f>
        <v>4781.21</v>
      </c>
      <c r="I50" s="13">
        <f>E50+G50+'12-08-2022'!I50</f>
        <v>62.07</v>
      </c>
      <c r="J50" s="13">
        <f t="shared" si="10"/>
        <v>4843.28</v>
      </c>
      <c r="K50" s="13">
        <f t="shared" si="11"/>
        <v>4456.72</v>
      </c>
      <c r="L50" s="13">
        <f t="shared" si="12"/>
        <v>-386.55999999999949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D51+F51+'12-08-2022'!H51</f>
        <v>2480</v>
      </c>
      <c r="I51" s="13">
        <f>E51+G51+'12-08-2022'!I51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1775.5200000000004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D52+F52+'12-08-2022'!H52</f>
        <v>1574.72</v>
      </c>
      <c r="I52" s="13">
        <f>E52+G52+'12-08-2022'!I52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-1476.1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D53+F53+'12-08-2022'!H53</f>
        <v>0</v>
      </c>
      <c r="I53" s="13">
        <f>E53+G53+'12-08-2022'!I53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D54+F54+'12-08-2022'!H54</f>
        <v>0</v>
      </c>
      <c r="I54" s="13">
        <f>E54+G54+'12-08-2022'!I54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187.5</v>
      </c>
      <c r="G55" s="14">
        <v>13.5</v>
      </c>
      <c r="H55" s="13">
        <f>D55+F55+'12-08-2022'!H55</f>
        <v>1656.25</v>
      </c>
      <c r="I55" s="13">
        <f>E55+G55+'12-08-2022'!I55</f>
        <v>119.25</v>
      </c>
      <c r="J55" s="13">
        <f t="shared" si="10"/>
        <v>1775.5</v>
      </c>
      <c r="K55" s="13">
        <f t="shared" si="11"/>
        <v>5691.55</v>
      </c>
      <c r="L55" s="13">
        <f t="shared" si="12"/>
        <v>3916.0500000000006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61994.490000000005</v>
      </c>
      <c r="D56" s="10">
        <f t="shared" ref="D56:K56" si="13">SUM(D36:D55)</f>
        <v>1666.6299999999999</v>
      </c>
      <c r="E56" s="10">
        <f t="shared" si="13"/>
        <v>21.65</v>
      </c>
      <c r="F56" s="10">
        <f t="shared" si="13"/>
        <v>187.5</v>
      </c>
      <c r="G56" s="10">
        <f t="shared" si="13"/>
        <v>13.5</v>
      </c>
      <c r="H56" s="10">
        <f t="shared" si="13"/>
        <v>22611.640000000003</v>
      </c>
      <c r="I56" s="10">
        <f t="shared" si="13"/>
        <v>590.85</v>
      </c>
      <c r="J56" s="10">
        <f t="shared" si="13"/>
        <v>23202.49</v>
      </c>
      <c r="K56" s="10">
        <f t="shared" si="13"/>
        <v>38792</v>
      </c>
      <c r="L56" s="10">
        <f>SUM(L36:L55)</f>
        <v>15589.510000000002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1142.99</v>
      </c>
      <c r="E59" s="13">
        <v>14.85</v>
      </c>
      <c r="F59" s="13">
        <v>0</v>
      </c>
      <c r="G59" s="13">
        <v>0</v>
      </c>
      <c r="H59" s="13">
        <f>D59+F59+'12-08-2022'!H59</f>
        <v>21314.420000000002</v>
      </c>
      <c r="I59" s="13">
        <f>E59+G59+'12-08-2022'!I59</f>
        <v>276.96999999999997</v>
      </c>
      <c r="J59" s="13">
        <f>H59+I59</f>
        <v>21591.390000000003</v>
      </c>
      <c r="K59" s="13">
        <f>C59-J59</f>
        <v>40991.61</v>
      </c>
      <c r="L59" s="13">
        <f t="shared" ref="L59:L60" si="14">C59-((J59/13)*26)</f>
        <v>19400.219999999994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D60+F60+'12-08-2022'!H60</f>
        <v>0</v>
      </c>
      <c r="I60" s="13">
        <f>E60+G60+'12-08-2022'!I60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>SUM(D59:D60)</f>
        <v>1142.99</v>
      </c>
      <c r="E61" s="20">
        <f>SUM(E59:E60)</f>
        <v>14.85</v>
      </c>
      <c r="F61" s="20">
        <f>SUM(F59:F60)</f>
        <v>0</v>
      </c>
      <c r="G61" s="20">
        <f>SUM(G59:G60)</f>
        <v>0</v>
      </c>
      <c r="H61" s="20">
        <f t="shared" ref="H61:L61" si="15">SUM(H59:H60)</f>
        <v>21314.420000000002</v>
      </c>
      <c r="I61" s="20">
        <f t="shared" si="15"/>
        <v>276.96999999999997</v>
      </c>
      <c r="J61" s="20">
        <f t="shared" si="15"/>
        <v>21591.390000000003</v>
      </c>
      <c r="K61" s="20">
        <f t="shared" si="15"/>
        <v>41991.61</v>
      </c>
      <c r="L61" s="20">
        <f t="shared" si="15"/>
        <v>20400.219999999994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D64+F64+'12-08-2022'!H64</f>
        <v>0</v>
      </c>
      <c r="I64" s="13">
        <f>E64+G64+'12-08-2022'!I64</f>
        <v>0</v>
      </c>
      <c r="J64" s="13">
        <f>H64+I64</f>
        <v>0</v>
      </c>
      <c r="K64" s="13">
        <f>C64-J64</f>
        <v>0</v>
      </c>
      <c r="L64" s="13">
        <f>C64-((J64/13)*26)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89</v>
      </c>
      <c r="B73" s="101"/>
      <c r="C73" s="101"/>
      <c r="D73" s="101"/>
      <c r="E73" s="101"/>
      <c r="F73" s="101"/>
      <c r="G73" s="79">
        <v>5500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92</v>
      </c>
      <c r="B74" s="101"/>
      <c r="C74" s="101"/>
      <c r="D74" s="101"/>
      <c r="E74" s="101"/>
      <c r="F74" s="101"/>
      <c r="G74" s="79">
        <v>3400</v>
      </c>
      <c r="M74" s="102"/>
      <c r="N74" s="102"/>
      <c r="O74" s="102"/>
      <c r="P74" s="102"/>
      <c r="Q74" s="102"/>
      <c r="R74" s="102"/>
    </row>
    <row r="75" spans="1:18" ht="10.5" customHeight="1" x14ac:dyDescent="0.25">
      <c r="A75" s="101" t="s">
        <v>91</v>
      </c>
      <c r="B75" s="101"/>
      <c r="C75" s="101"/>
      <c r="D75" s="101"/>
      <c r="E75" s="101"/>
      <c r="F75" s="101"/>
      <c r="G75" s="79">
        <v>5000</v>
      </c>
      <c r="M75" s="102"/>
      <c r="N75" s="102"/>
      <c r="O75" s="102"/>
      <c r="P75" s="102"/>
      <c r="Q75" s="102"/>
      <c r="R75" s="102"/>
    </row>
    <row r="76" spans="1:18" ht="10.5" customHeight="1" x14ac:dyDescent="0.25">
      <c r="A76" s="101" t="s">
        <v>93</v>
      </c>
      <c r="B76" s="101"/>
      <c r="C76" s="101"/>
      <c r="D76" s="101"/>
      <c r="E76" s="101"/>
      <c r="F76" s="101"/>
      <c r="G76" s="79">
        <v>12340</v>
      </c>
      <c r="M76" s="102"/>
      <c r="N76" s="102"/>
      <c r="O76" s="102"/>
      <c r="P76" s="102"/>
      <c r="Q76" s="102"/>
      <c r="R76" s="102"/>
    </row>
    <row r="127" spans="13:13" x14ac:dyDescent="0.25">
      <c r="M127" s="2">
        <f>SUM(M34:M125)</f>
        <v>0</v>
      </c>
    </row>
  </sheetData>
  <mergeCells count="28">
    <mergeCell ref="A70:F70"/>
    <mergeCell ref="M70:R70"/>
    <mergeCell ref="A71:F71"/>
    <mergeCell ref="M71:R71"/>
    <mergeCell ref="A75:F75"/>
    <mergeCell ref="M75:R75"/>
    <mergeCell ref="A72:F72"/>
    <mergeCell ref="M72:R72"/>
    <mergeCell ref="A73:F73"/>
    <mergeCell ref="M73:R73"/>
    <mergeCell ref="A74:F74"/>
    <mergeCell ref="M74:R74"/>
    <mergeCell ref="A76:F76"/>
    <mergeCell ref="M76:R76"/>
    <mergeCell ref="A56:B56"/>
    <mergeCell ref="A5:B5"/>
    <mergeCell ref="A17:B17"/>
    <mergeCell ref="A23:B23"/>
    <mergeCell ref="A30:B30"/>
    <mergeCell ref="A33:B33"/>
    <mergeCell ref="A61:B61"/>
    <mergeCell ref="A65:B65"/>
    <mergeCell ref="A67:F67"/>
    <mergeCell ref="M67:R67"/>
    <mergeCell ref="A68:F68"/>
    <mergeCell ref="M68:R68"/>
    <mergeCell ref="A69:F69"/>
    <mergeCell ref="M69:R69"/>
  </mergeCells>
  <pageMargins left="0.25" right="0" top="0.4" bottom="0" header="0.3" footer="0"/>
  <pageSetup scale="68" fitToWidth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70AA6-F0CF-499F-B03E-D6D4F453A02F}">
  <sheetPr>
    <pageSetUpPr fitToPage="1"/>
  </sheetPr>
  <dimension ref="A1:R127"/>
  <sheetViews>
    <sheetView zoomScale="160" zoomScaleNormal="160" workbookViewId="0">
      <pane ySplit="2" topLeftCell="A51" activePane="bottomLeft" state="frozen"/>
      <selection pane="bottomLeft" activeCell="K4" sqref="K4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8.140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44931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D3+F3+'12-22-2022'!H3</f>
        <v>3208</v>
      </c>
      <c r="I3" s="13">
        <f>E3+G3+'12-22-2022'!I3</f>
        <v>230.93</v>
      </c>
      <c r="J3" s="13">
        <f>H3+I3</f>
        <v>3438.93</v>
      </c>
      <c r="K3" s="13">
        <f>C3-J3</f>
        <v>7361.07</v>
      </c>
      <c r="L3" s="13">
        <f>C3-((J3/14)*26)</f>
        <v>4413.4157142857139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1600</v>
      </c>
      <c r="G4" s="14">
        <v>115.2</v>
      </c>
      <c r="H4" s="13">
        <f>D4+F4+'12-22-2022'!H4</f>
        <v>11140</v>
      </c>
      <c r="I4" s="13">
        <f>E4+G4+'12-22-2022'!I4</f>
        <v>794.98000000000013</v>
      </c>
      <c r="J4" s="13">
        <f>H4+I4</f>
        <v>11934.98</v>
      </c>
      <c r="K4" s="87">
        <f>C4-J4</f>
        <v>-2334.9799999999996</v>
      </c>
      <c r="L4" s="13">
        <f>C4-((J4/14)*26)</f>
        <v>-12564.962857142855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1600</v>
      </c>
      <c r="G5" s="55">
        <f t="shared" si="0"/>
        <v>115.2</v>
      </c>
      <c r="H5" s="55">
        <f t="shared" si="0"/>
        <v>14348</v>
      </c>
      <c r="I5" s="55">
        <f t="shared" si="0"/>
        <v>1025.9100000000001</v>
      </c>
      <c r="J5" s="55">
        <f t="shared" si="0"/>
        <v>15373.91</v>
      </c>
      <c r="K5" s="55">
        <f t="shared" si="0"/>
        <v>5026.09</v>
      </c>
      <c r="L5" s="55">
        <f t="shared" si="0"/>
        <v>-8151.5471428571409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D8+F8+'12-22-2022'!H8</f>
        <v>0</v>
      </c>
      <c r="I8" s="13">
        <f>E8+G8+'12-22-2022'!I8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C8-((J8/14)*26)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102</v>
      </c>
      <c r="E9" s="21">
        <v>1.32</v>
      </c>
      <c r="F9" s="21">
        <v>360</v>
      </c>
      <c r="G9" s="21">
        <v>25.92</v>
      </c>
      <c r="H9" s="13">
        <f>D9+F9+'12-22-2022'!H9</f>
        <v>9992.8700000000008</v>
      </c>
      <c r="I9" s="13">
        <f>E9+G9+'12-22-2022'!I9</f>
        <v>192.76</v>
      </c>
      <c r="J9" s="13">
        <f t="shared" si="1"/>
        <v>10185.630000000001</v>
      </c>
      <c r="K9" s="13">
        <f t="shared" si="2"/>
        <v>14463.369999999999</v>
      </c>
      <c r="L9" s="13">
        <f t="shared" si="3"/>
        <v>5732.8299999999981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17974+3400+12340</f>
        <v>33714</v>
      </c>
      <c r="D10" s="21">
        <v>0</v>
      </c>
      <c r="E10" s="21">
        <v>0</v>
      </c>
      <c r="F10" s="21">
        <v>124.88</v>
      </c>
      <c r="G10" s="21">
        <v>8.99</v>
      </c>
      <c r="H10" s="13">
        <f>D10+F10+'12-22-2022'!H10</f>
        <v>22934.27</v>
      </c>
      <c r="I10" s="13">
        <f>E10+G10+'12-22-2022'!I10</f>
        <v>1146.76</v>
      </c>
      <c r="J10" s="13">
        <f t="shared" si="1"/>
        <v>24081.03</v>
      </c>
      <c r="K10" s="13">
        <f t="shared" si="2"/>
        <v>9632.9700000000012</v>
      </c>
      <c r="L10" s="13">
        <f t="shared" si="3"/>
        <v>-11007.912857142852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164.15</v>
      </c>
      <c r="E11" s="21">
        <v>2.12</v>
      </c>
      <c r="F11" s="21">
        <v>0</v>
      </c>
      <c r="G11" s="21">
        <v>0</v>
      </c>
      <c r="H11" s="13">
        <f>D11+F11+'12-22-2022'!H11</f>
        <v>7113.16</v>
      </c>
      <c r="I11" s="13">
        <f>E11+G11+'12-22-2022'!I11</f>
        <v>92.390000000000015</v>
      </c>
      <c r="J11" s="13">
        <f t="shared" si="1"/>
        <v>7205.55</v>
      </c>
      <c r="K11" s="13">
        <f t="shared" si="2"/>
        <v>10768.45</v>
      </c>
      <c r="L11" s="13">
        <f t="shared" si="3"/>
        <v>4592.2642857142873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617.20000000000005</v>
      </c>
      <c r="E12" s="21">
        <v>8.02</v>
      </c>
      <c r="F12" s="21">
        <v>0</v>
      </c>
      <c r="G12" s="21">
        <v>0</v>
      </c>
      <c r="H12" s="13">
        <f>D12+F12+'12-22-2022'!H12</f>
        <v>15103.039999999999</v>
      </c>
      <c r="I12" s="13">
        <f>E12+G12+'12-22-2022'!I12</f>
        <v>196.22000000000003</v>
      </c>
      <c r="J12" s="13">
        <f t="shared" si="1"/>
        <v>15299.259999999998</v>
      </c>
      <c r="K12" s="13">
        <f t="shared" si="2"/>
        <v>9030.7400000000016</v>
      </c>
      <c r="L12" s="13">
        <f t="shared" si="3"/>
        <v>-4082.9114285714277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90.77</v>
      </c>
      <c r="E13" s="13">
        <v>1.17</v>
      </c>
      <c r="F13" s="13">
        <v>0</v>
      </c>
      <c r="G13" s="13">
        <v>0</v>
      </c>
      <c r="H13" s="13">
        <f>D13+F13+'12-22-2022'!H13</f>
        <v>18693.23</v>
      </c>
      <c r="I13" s="13">
        <f>E13+G13+'12-22-2022'!I13</f>
        <v>242.87000000000003</v>
      </c>
      <c r="J13" s="13">
        <f t="shared" si="1"/>
        <v>18936.099999999999</v>
      </c>
      <c r="K13" s="13">
        <f t="shared" si="2"/>
        <v>15063.900000000001</v>
      </c>
      <c r="L13" s="13">
        <f t="shared" si="3"/>
        <v>-1167.0428571428565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f>42741+5000</f>
        <v>47741</v>
      </c>
      <c r="D14" s="14">
        <v>0</v>
      </c>
      <c r="E14" s="14">
        <v>0</v>
      </c>
      <c r="F14" s="14">
        <v>0</v>
      </c>
      <c r="G14" s="14">
        <v>0</v>
      </c>
      <c r="H14" s="13">
        <f>D14+F14+'12-22-2022'!H14</f>
        <v>21958.889999999996</v>
      </c>
      <c r="I14" s="13">
        <f>E14+G14+'12-22-2022'!I14</f>
        <v>339.06</v>
      </c>
      <c r="J14" s="13">
        <f t="shared" si="1"/>
        <v>22297.949999999997</v>
      </c>
      <c r="K14" s="13">
        <f t="shared" si="2"/>
        <v>25443.050000000003</v>
      </c>
      <c r="L14" s="13">
        <f t="shared" si="3"/>
        <v>6330.5214285714319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177.9</v>
      </c>
      <c r="E15" s="21">
        <v>2.31</v>
      </c>
      <c r="F15" s="21">
        <v>0</v>
      </c>
      <c r="G15" s="21">
        <v>0</v>
      </c>
      <c r="H15" s="13">
        <f>D15+F15+'12-22-2022'!H15</f>
        <v>6321.2999999999993</v>
      </c>
      <c r="I15" s="13">
        <f>E15+G15+'12-22-2022'!I15</f>
        <v>82.08</v>
      </c>
      <c r="J15" s="13">
        <f t="shared" si="1"/>
        <v>6403.3799999999992</v>
      </c>
      <c r="K15" s="13">
        <f t="shared" si="2"/>
        <v>17769.620000000003</v>
      </c>
      <c r="L15" s="13">
        <f t="shared" si="3"/>
        <v>12281.008571428572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14">
        <v>0</v>
      </c>
      <c r="E16" s="14">
        <v>0</v>
      </c>
      <c r="F16" s="14">
        <v>0</v>
      </c>
      <c r="G16" s="14">
        <v>0</v>
      </c>
      <c r="H16" s="13">
        <f>D16+F16+'12-22-2022'!H16</f>
        <v>1376.9099999999999</v>
      </c>
      <c r="I16" s="13">
        <f>E16+G16+'12-22-2022'!I16</f>
        <v>19.57</v>
      </c>
      <c r="J16" s="13">
        <f t="shared" si="1"/>
        <v>1396.4799999999998</v>
      </c>
      <c r="K16" s="13">
        <f t="shared" si="2"/>
        <v>4603.5200000000004</v>
      </c>
      <c r="L16" s="13">
        <f t="shared" si="3"/>
        <v>3406.5371428571434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215498</v>
      </c>
      <c r="D17" s="55">
        <f t="shared" ref="D17:L17" si="4">SUM(D8:D16)</f>
        <v>1152.02</v>
      </c>
      <c r="E17" s="55">
        <f t="shared" si="4"/>
        <v>14.940000000000001</v>
      </c>
      <c r="F17" s="55">
        <f t="shared" si="4"/>
        <v>484.88</v>
      </c>
      <c r="G17" s="55">
        <f t="shared" si="4"/>
        <v>34.910000000000004</v>
      </c>
      <c r="H17" s="55">
        <f t="shared" si="4"/>
        <v>103493.67000000001</v>
      </c>
      <c r="I17" s="55">
        <f t="shared" si="4"/>
        <v>2311.7100000000005</v>
      </c>
      <c r="J17" s="55">
        <f t="shared" si="4"/>
        <v>105805.38</v>
      </c>
      <c r="K17" s="55">
        <f t="shared" si="4"/>
        <v>109692.62000000001</v>
      </c>
      <c r="L17" s="55">
        <f t="shared" si="4"/>
        <v>19002.294285714299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D20+F20+'12-22-2022'!H20</f>
        <v>0</v>
      </c>
      <c r="I20" s="13">
        <f>E20+G20+'12-22-2022'!I20</f>
        <v>0</v>
      </c>
      <c r="J20" s="13">
        <f>H20+I20</f>
        <v>0</v>
      </c>
      <c r="K20" s="13">
        <f>C20-J20</f>
        <v>2109</v>
      </c>
      <c r="L20" s="13">
        <f t="shared" ref="L20:L22" si="5">C20-((J20/14)*26)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69.84</v>
      </c>
      <c r="E21" s="14">
        <v>0.9</v>
      </c>
      <c r="F21" s="14">
        <v>217.8</v>
      </c>
      <c r="G21" s="14">
        <v>15.67</v>
      </c>
      <c r="H21" s="13">
        <f>D21+F21+'12-22-2022'!H21</f>
        <v>17424.920000000002</v>
      </c>
      <c r="I21" s="13">
        <f>E21+G21+'12-22-2022'!I21</f>
        <v>627.1</v>
      </c>
      <c r="J21" s="13">
        <f>H21+I21</f>
        <v>18052.02</v>
      </c>
      <c r="K21" s="13">
        <f>C21-J21</f>
        <v>6947.98</v>
      </c>
      <c r="L21" s="13">
        <f t="shared" si="5"/>
        <v>-8525.18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D22+F22+'12-22-2022'!H22</f>
        <v>0</v>
      </c>
      <c r="I22" s="13">
        <f>E22+G22+'12-22-2022'!I22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69.84</v>
      </c>
      <c r="E23" s="10">
        <f t="shared" si="6"/>
        <v>0.9</v>
      </c>
      <c r="F23" s="10">
        <f t="shared" si="6"/>
        <v>217.8</v>
      </c>
      <c r="G23" s="10">
        <f t="shared" si="6"/>
        <v>15.67</v>
      </c>
      <c r="H23" s="10">
        <f t="shared" si="6"/>
        <v>17424.920000000002</v>
      </c>
      <c r="I23" s="10">
        <f t="shared" si="6"/>
        <v>627.1</v>
      </c>
      <c r="J23" s="10">
        <f t="shared" si="6"/>
        <v>18052.02</v>
      </c>
      <c r="K23" s="10">
        <f t="shared" si="6"/>
        <v>21056.98</v>
      </c>
      <c r="L23" s="10">
        <f t="shared" si="6"/>
        <v>5583.82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0</v>
      </c>
      <c r="E26" s="14">
        <v>0</v>
      </c>
      <c r="F26" s="14">
        <v>0</v>
      </c>
      <c r="G26" s="14">
        <v>0</v>
      </c>
      <c r="H26" s="13">
        <f>D26+F26+'12-22-2022'!H26</f>
        <v>4696.9100000000008</v>
      </c>
      <c r="I26" s="13">
        <f>E26+G26+'12-22-2022'!I26</f>
        <v>111.69999999999999</v>
      </c>
      <c r="J26" s="13">
        <f>H26+I26</f>
        <v>4808.6100000000006</v>
      </c>
      <c r="K26" s="13">
        <f>C26-J26</f>
        <v>10191.39</v>
      </c>
      <c r="L26" s="13">
        <f t="shared" ref="L26:L29" si="7">C26-((J26/14)*26)</f>
        <v>6069.7242857142846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D27+F27+'12-22-2022'!H27</f>
        <v>0</v>
      </c>
      <c r="I27" s="13">
        <f>E27+G27+'12-22-2022'!I27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150</v>
      </c>
      <c r="E28" s="21">
        <v>1.95</v>
      </c>
      <c r="F28" s="21">
        <v>0</v>
      </c>
      <c r="G28" s="21">
        <v>0</v>
      </c>
      <c r="H28" s="13">
        <f>D28+F28+'12-22-2022'!H28</f>
        <v>14043.5</v>
      </c>
      <c r="I28" s="13">
        <f>E28+G28+'12-22-2022'!I28</f>
        <v>237.46999999999994</v>
      </c>
      <c r="J28" s="13">
        <f>H28+I28</f>
        <v>14280.97</v>
      </c>
      <c r="K28" s="13">
        <f>C28-J28</f>
        <v>10719.03</v>
      </c>
      <c r="L28" s="13">
        <f t="shared" si="7"/>
        <v>-1521.8014285714271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D29+F29+'12-22-2022'!H29</f>
        <v>0</v>
      </c>
      <c r="I29" s="13">
        <f>E29+G29+'12-22-2022'!I29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150</v>
      </c>
      <c r="E30" s="48">
        <f t="shared" si="8"/>
        <v>1.95</v>
      </c>
      <c r="F30" s="48">
        <f t="shared" si="8"/>
        <v>0</v>
      </c>
      <c r="G30" s="48">
        <f t="shared" si="8"/>
        <v>0</v>
      </c>
      <c r="H30" s="48">
        <f t="shared" si="8"/>
        <v>18740.41</v>
      </c>
      <c r="I30" s="48">
        <f t="shared" si="8"/>
        <v>349.16999999999996</v>
      </c>
      <c r="J30" s="48">
        <f t="shared" si="8"/>
        <v>19089.580000000002</v>
      </c>
      <c r="K30" s="48">
        <f t="shared" si="8"/>
        <v>32360.42</v>
      </c>
      <c r="L30" s="48">
        <f t="shared" si="8"/>
        <v>15997.922857142858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326457</v>
      </c>
      <c r="D33" s="41">
        <f t="shared" ref="D33:L33" si="9">D17+D23+D30+D5</f>
        <v>1371.86</v>
      </c>
      <c r="E33" s="41">
        <f t="shared" si="9"/>
        <v>17.790000000000003</v>
      </c>
      <c r="F33" s="41">
        <f t="shared" si="9"/>
        <v>2302.6800000000003</v>
      </c>
      <c r="G33" s="41">
        <f t="shared" si="9"/>
        <v>165.78</v>
      </c>
      <c r="H33" s="41">
        <f t="shared" si="9"/>
        <v>154007</v>
      </c>
      <c r="I33" s="41">
        <f t="shared" si="9"/>
        <v>4313.8900000000003</v>
      </c>
      <c r="J33" s="41">
        <f t="shared" si="9"/>
        <v>158320.89000000001</v>
      </c>
      <c r="K33" s="41">
        <f t="shared" si="9"/>
        <v>168136.11000000002</v>
      </c>
      <c r="L33" s="41">
        <f t="shared" si="9"/>
        <v>32432.490000000013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14">
        <v>0</v>
      </c>
      <c r="E36" s="14">
        <v>0</v>
      </c>
      <c r="F36" s="14">
        <v>0</v>
      </c>
      <c r="G36" s="14">
        <v>0</v>
      </c>
      <c r="H36" s="13">
        <f>D36+F36+'12-22-2022'!H36</f>
        <v>0</v>
      </c>
      <c r="I36" s="13">
        <f>E36+G36+'12-22-2022'!I36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C36-((J36/14)*26)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444</v>
      </c>
      <c r="E37" s="77">
        <v>576</v>
      </c>
      <c r="F37" s="77">
        <v>0</v>
      </c>
      <c r="G37" s="77">
        <v>0</v>
      </c>
      <c r="H37" s="13">
        <f>D37+F37+'12-22-2022'!H37</f>
        <v>1327.25</v>
      </c>
      <c r="I37" s="13">
        <f>E37+G37+'12-22-2022'!I37</f>
        <v>587.47</v>
      </c>
      <c r="J37" s="13">
        <f t="shared" si="10"/>
        <v>1914.72</v>
      </c>
      <c r="K37" s="87">
        <f t="shared" si="11"/>
        <v>-1914.72</v>
      </c>
      <c r="L37" s="13">
        <f t="shared" si="12"/>
        <v>-3555.9085714285716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D38+F38+'12-22-2022'!H38</f>
        <v>0</v>
      </c>
      <c r="I38" s="13">
        <f>E38+G38+'12-22-2022'!I38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D39+F39+'12-22-2022'!H39</f>
        <v>0</v>
      </c>
      <c r="I39" s="13">
        <f>E39+G39+'12-22-2022'!I39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D40+F40+'12-22-2022'!H40</f>
        <v>0</v>
      </c>
      <c r="I40" s="13">
        <f>E40+G40+'12-22-2022'!I40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0</v>
      </c>
      <c r="E41" s="14">
        <v>0</v>
      </c>
      <c r="F41" s="14">
        <v>0</v>
      </c>
      <c r="G41" s="14">
        <v>0</v>
      </c>
      <c r="H41" s="13">
        <f>D41+F41+'12-22-2022'!H41</f>
        <v>1884.52</v>
      </c>
      <c r="I41" s="13">
        <f>E41+G41+'12-22-2022'!I41</f>
        <v>24.430000000000003</v>
      </c>
      <c r="J41" s="13">
        <f t="shared" si="10"/>
        <v>1908.95</v>
      </c>
      <c r="K41" s="13">
        <f t="shared" si="11"/>
        <v>5591.05</v>
      </c>
      <c r="L41" s="13">
        <f t="shared" si="12"/>
        <v>3954.8071428571429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D42+F42+'12-22-2022'!H42</f>
        <v>0</v>
      </c>
      <c r="I42" s="13">
        <f>E42+G42+'12-22-2022'!I42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D43+F43+'12-22-2022'!H43</f>
        <v>0</v>
      </c>
      <c r="I43" s="13">
        <f>E43+G43+'12-22-2022'!I43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D44+F44+'12-22-2022'!H44</f>
        <v>0</v>
      </c>
      <c r="I44" s="13">
        <f>E44+G44+'12-22-2022'!I44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D45+F45+'12-22-2022'!H45</f>
        <v>0</v>
      </c>
      <c r="I45" s="13">
        <f>E45+G45+'12-22-2022'!I45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0</v>
      </c>
      <c r="E46" s="14">
        <v>0</v>
      </c>
      <c r="F46" s="14">
        <v>0</v>
      </c>
      <c r="G46" s="14">
        <v>0</v>
      </c>
      <c r="H46" s="13">
        <f>D46+F46+'12-22-2022'!H46</f>
        <v>4234.92</v>
      </c>
      <c r="I46" s="13">
        <f>E46+G46+'12-22-2022'!I46</f>
        <v>54.97</v>
      </c>
      <c r="J46" s="13">
        <f t="shared" si="10"/>
        <v>4289.8900000000003</v>
      </c>
      <c r="K46" s="13">
        <f t="shared" si="11"/>
        <v>1731.1899999999996</v>
      </c>
      <c r="L46" s="13">
        <f t="shared" si="12"/>
        <v>-1945.8585714285728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D47+F47+'12-22-2022'!H47</f>
        <v>2224.5700000000002</v>
      </c>
      <c r="I47" s="13">
        <f>E47+G47+'12-22-2022'!I47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5814.965714285715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D48+F48+'12-22-2022'!H48</f>
        <v>1085.2</v>
      </c>
      <c r="I48" s="13">
        <f>E48+G48+'12-22-2022'!I48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-347.12714285714287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f>1686.24+250.84</f>
        <v>1937.08</v>
      </c>
      <c r="D49" s="14">
        <v>0</v>
      </c>
      <c r="E49" s="14">
        <v>0</v>
      </c>
      <c r="F49" s="14">
        <v>0</v>
      </c>
      <c r="G49" s="14">
        <v>0</v>
      </c>
      <c r="H49" s="13">
        <f>D49+F49+'12-22-2022'!H49</f>
        <v>1807</v>
      </c>
      <c r="I49" s="13">
        <f>E49+G49+'12-22-2022'!I49</f>
        <v>130.08000000000001</v>
      </c>
      <c r="J49" s="13">
        <f t="shared" si="10"/>
        <v>1937.08</v>
      </c>
      <c r="K49" s="13">
        <f t="shared" si="11"/>
        <v>0</v>
      </c>
      <c r="L49" s="13">
        <f t="shared" si="12"/>
        <v>-1660.3542857142857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0</v>
      </c>
      <c r="E50" s="14">
        <v>0</v>
      </c>
      <c r="F50" s="14">
        <v>0</v>
      </c>
      <c r="G50" s="14">
        <v>0</v>
      </c>
      <c r="H50" s="13">
        <f>D50+F50+'12-22-2022'!H50</f>
        <v>4781.21</v>
      </c>
      <c r="I50" s="13">
        <f>E50+G50+'12-22-2022'!I50</f>
        <v>62.07</v>
      </c>
      <c r="J50" s="13">
        <f t="shared" si="10"/>
        <v>4843.28</v>
      </c>
      <c r="K50" s="13">
        <f t="shared" si="11"/>
        <v>4456.72</v>
      </c>
      <c r="L50" s="13">
        <f t="shared" si="12"/>
        <v>305.33714285714268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D51+F51+'12-22-2022'!H51</f>
        <v>2480</v>
      </c>
      <c r="I51" s="13">
        <f>E51+G51+'12-22-2022'!I51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2134.4114285714286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D52+F52+'12-22-2022'!H52</f>
        <v>1574.72</v>
      </c>
      <c r="I52" s="13">
        <f>E52+G52+'12-22-2022'!I52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-1234.9500000000003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D53+F53+'12-22-2022'!H53</f>
        <v>0</v>
      </c>
      <c r="I53" s="13">
        <f>E53+G53+'12-22-2022'!I53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D54+F54+'12-22-2022'!H54</f>
        <v>0</v>
      </c>
      <c r="I54" s="13">
        <f>E54+G54+'12-22-2022'!I54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125</v>
      </c>
      <c r="G55" s="14">
        <v>9</v>
      </c>
      <c r="H55" s="13">
        <f>D55+F55+'12-22-2022'!H55</f>
        <v>1781.25</v>
      </c>
      <c r="I55" s="13">
        <f>E55+G55+'12-22-2022'!I55</f>
        <v>128.25</v>
      </c>
      <c r="J55" s="13">
        <f t="shared" si="10"/>
        <v>1909.5</v>
      </c>
      <c r="K55" s="13">
        <f t="shared" si="11"/>
        <v>5557.55</v>
      </c>
      <c r="L55" s="13">
        <f t="shared" si="12"/>
        <v>3920.8357142857144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61994.490000000005</v>
      </c>
      <c r="D56" s="10">
        <f t="shared" ref="D56:K56" si="13">SUM(D36:D55)</f>
        <v>444</v>
      </c>
      <c r="E56" s="10">
        <f t="shared" si="13"/>
        <v>576</v>
      </c>
      <c r="F56" s="10">
        <f t="shared" si="13"/>
        <v>125</v>
      </c>
      <c r="G56" s="10">
        <f t="shared" si="13"/>
        <v>9</v>
      </c>
      <c r="H56" s="10">
        <f t="shared" si="13"/>
        <v>23180.640000000003</v>
      </c>
      <c r="I56" s="10">
        <f t="shared" si="13"/>
        <v>1175.8500000000001</v>
      </c>
      <c r="J56" s="10">
        <f t="shared" si="13"/>
        <v>24356.49</v>
      </c>
      <c r="K56" s="10">
        <f t="shared" si="13"/>
        <v>37638</v>
      </c>
      <c r="L56" s="10">
        <f>SUM(L36:L55)</f>
        <v>16761.008571428571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101.75</v>
      </c>
      <c r="E59" s="13">
        <v>1.31</v>
      </c>
      <c r="F59" s="13">
        <v>0</v>
      </c>
      <c r="G59" s="13">
        <v>0</v>
      </c>
      <c r="H59" s="13">
        <f>D59+F59+'12-22-2022'!H59</f>
        <v>21416.170000000002</v>
      </c>
      <c r="I59" s="13">
        <f>E59+G59+'12-22-2022'!I59</f>
        <v>278.27999999999997</v>
      </c>
      <c r="J59" s="13">
        <f>H59+I59</f>
        <v>21694.45</v>
      </c>
      <c r="K59" s="13">
        <f>C59-J59</f>
        <v>40888.550000000003</v>
      </c>
      <c r="L59" s="13">
        <f t="shared" ref="L59:L60" si="14">C59-((J59/14)*26)</f>
        <v>22293.307142857142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D60+F60+'12-22-2022'!H60</f>
        <v>0</v>
      </c>
      <c r="I60" s="13">
        <f>E60+G60+'12-22-2022'!I60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>SUM(D59:D60)</f>
        <v>101.75</v>
      </c>
      <c r="E61" s="20">
        <f>SUM(E59:E60)</f>
        <v>1.31</v>
      </c>
      <c r="F61" s="20">
        <f>SUM(F59:F60)</f>
        <v>0</v>
      </c>
      <c r="G61" s="20">
        <f>SUM(G59:G60)</f>
        <v>0</v>
      </c>
      <c r="H61" s="20">
        <f t="shared" ref="H61:L61" si="15">SUM(H59:H60)</f>
        <v>21416.170000000002</v>
      </c>
      <c r="I61" s="20">
        <f t="shared" si="15"/>
        <v>278.27999999999997</v>
      </c>
      <c r="J61" s="20">
        <f t="shared" si="15"/>
        <v>21694.45</v>
      </c>
      <c r="K61" s="20">
        <f t="shared" si="15"/>
        <v>41888.550000000003</v>
      </c>
      <c r="L61" s="20">
        <f t="shared" si="15"/>
        <v>23293.307142857142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D64+F64+'12-22-2022'!H64</f>
        <v>0</v>
      </c>
      <c r="I64" s="13">
        <f>E64+G64+'12-22-2022'!I64</f>
        <v>0</v>
      </c>
      <c r="J64" s="13">
        <f>H64+I64</f>
        <v>0</v>
      </c>
      <c r="K64" s="13">
        <f>C64-J64</f>
        <v>0</v>
      </c>
      <c r="L64" s="13">
        <f>C64-((J64/13)*26)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89</v>
      </c>
      <c r="B73" s="101"/>
      <c r="C73" s="101"/>
      <c r="D73" s="101"/>
      <c r="E73" s="101"/>
      <c r="F73" s="101"/>
      <c r="G73" s="79">
        <v>5500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92</v>
      </c>
      <c r="B74" s="101"/>
      <c r="C74" s="101"/>
      <c r="D74" s="101"/>
      <c r="E74" s="101"/>
      <c r="F74" s="101"/>
      <c r="G74" s="79">
        <v>3400</v>
      </c>
      <c r="M74" s="102"/>
      <c r="N74" s="102"/>
      <c r="O74" s="102"/>
      <c r="P74" s="102"/>
      <c r="Q74" s="102"/>
      <c r="R74" s="102"/>
    </row>
    <row r="75" spans="1:18" ht="10.5" customHeight="1" x14ac:dyDescent="0.25">
      <c r="A75" s="101" t="s">
        <v>91</v>
      </c>
      <c r="B75" s="101"/>
      <c r="C75" s="101"/>
      <c r="D75" s="101"/>
      <c r="E75" s="101"/>
      <c r="F75" s="101"/>
      <c r="G75" s="79">
        <v>5000</v>
      </c>
      <c r="M75" s="102"/>
      <c r="N75" s="102"/>
      <c r="O75" s="102"/>
      <c r="P75" s="102"/>
      <c r="Q75" s="102"/>
      <c r="R75" s="102"/>
    </row>
    <row r="76" spans="1:18" ht="10.5" customHeight="1" x14ac:dyDescent="0.25">
      <c r="A76" s="101" t="s">
        <v>93</v>
      </c>
      <c r="B76" s="101"/>
      <c r="C76" s="101"/>
      <c r="D76" s="101"/>
      <c r="E76" s="101"/>
      <c r="F76" s="101"/>
      <c r="G76" s="79">
        <v>12340</v>
      </c>
      <c r="M76" s="102"/>
      <c r="N76" s="102"/>
      <c r="O76" s="102"/>
      <c r="P76" s="102"/>
      <c r="Q76" s="102"/>
      <c r="R76" s="102"/>
    </row>
    <row r="127" spans="13:13" x14ac:dyDescent="0.25">
      <c r="M127" s="2">
        <f>SUM(M34:M125)</f>
        <v>0</v>
      </c>
    </row>
  </sheetData>
  <mergeCells count="28">
    <mergeCell ref="A75:F75"/>
    <mergeCell ref="M75:R75"/>
    <mergeCell ref="A76:F76"/>
    <mergeCell ref="M76:R76"/>
    <mergeCell ref="A72:F72"/>
    <mergeCell ref="M72:R72"/>
    <mergeCell ref="A73:F73"/>
    <mergeCell ref="M73:R73"/>
    <mergeCell ref="A74:F74"/>
    <mergeCell ref="M74:R74"/>
    <mergeCell ref="A69:F69"/>
    <mergeCell ref="M69:R69"/>
    <mergeCell ref="A70:F70"/>
    <mergeCell ref="M70:R70"/>
    <mergeCell ref="A71:F71"/>
    <mergeCell ref="M71:R71"/>
    <mergeCell ref="A61:B61"/>
    <mergeCell ref="A65:B65"/>
    <mergeCell ref="A67:F67"/>
    <mergeCell ref="M67:R67"/>
    <mergeCell ref="A68:F68"/>
    <mergeCell ref="M68:R68"/>
    <mergeCell ref="A56:B56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3E6E-8335-4D57-9F00-9A4A27434148}">
  <sheetPr>
    <pageSetUpPr fitToPage="1"/>
  </sheetPr>
  <dimension ref="A1:R128"/>
  <sheetViews>
    <sheetView zoomScale="160" zoomScaleNormal="160" workbookViewId="0">
      <pane ySplit="2" topLeftCell="A3" activePane="bottomLeft" state="frozen"/>
      <selection pane="bottomLeft" activeCell="K4" sqref="K4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8.140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44945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D3+F3+'01-05-2023'!H3</f>
        <v>3208</v>
      </c>
      <c r="I3" s="13">
        <f>E3+G3+'01-05-2023'!I3</f>
        <v>230.93</v>
      </c>
      <c r="J3" s="13">
        <f>H3+I3</f>
        <v>3438.93</v>
      </c>
      <c r="K3" s="13">
        <f>C3-J3</f>
        <v>7361.07</v>
      </c>
      <c r="L3" s="13">
        <f>C3-((J3/15)*26)</f>
        <v>4839.1880000000001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1590</v>
      </c>
      <c r="G4" s="14">
        <v>114.48</v>
      </c>
      <c r="H4" s="13">
        <f>D4+F4+'01-05-2023'!H4</f>
        <v>12730</v>
      </c>
      <c r="I4" s="13">
        <f>E4+G4+'01-05-2023'!I4</f>
        <v>909.46000000000015</v>
      </c>
      <c r="J4" s="13">
        <f>H4+I4</f>
        <v>13639.460000000001</v>
      </c>
      <c r="K4" s="87">
        <f>C4-J4</f>
        <v>-4039.4600000000009</v>
      </c>
      <c r="L4" s="13">
        <f>C4-((J4/15)*26)</f>
        <v>-14041.73066666667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1590</v>
      </c>
      <c r="G5" s="55">
        <f t="shared" si="0"/>
        <v>114.48</v>
      </c>
      <c r="H5" s="55">
        <f t="shared" si="0"/>
        <v>15938</v>
      </c>
      <c r="I5" s="55">
        <f t="shared" si="0"/>
        <v>1140.3900000000001</v>
      </c>
      <c r="J5" s="55">
        <f t="shared" si="0"/>
        <v>17078.39</v>
      </c>
      <c r="K5" s="55">
        <f t="shared" si="0"/>
        <v>3321.6099999999988</v>
      </c>
      <c r="L5" s="55">
        <f t="shared" si="0"/>
        <v>-9202.5426666666699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D8+F8+'01-05-2023'!H8</f>
        <v>0</v>
      </c>
      <c r="I8" s="13">
        <f>E8+G8+'01-05-2023'!I8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C8-((J8/15)*26)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895.25</v>
      </c>
      <c r="E9" s="21">
        <v>11.63</v>
      </c>
      <c r="F9" s="21">
        <v>0</v>
      </c>
      <c r="G9" s="21">
        <v>0</v>
      </c>
      <c r="H9" s="13">
        <f>D9+F9+'01-05-2023'!H9</f>
        <v>10888.12</v>
      </c>
      <c r="I9" s="13">
        <f>E9+G9+'01-05-2023'!I9</f>
        <v>204.39</v>
      </c>
      <c r="J9" s="13">
        <f t="shared" si="1"/>
        <v>11092.51</v>
      </c>
      <c r="K9" s="13">
        <f t="shared" si="2"/>
        <v>13556.49</v>
      </c>
      <c r="L9" s="13">
        <f t="shared" si="3"/>
        <v>5421.9826666666668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17974+3400+12340</f>
        <v>33714</v>
      </c>
      <c r="D10" s="21">
        <v>577.17999999999995</v>
      </c>
      <c r="E10" s="21">
        <v>7.5</v>
      </c>
      <c r="F10" s="21">
        <v>428.16</v>
      </c>
      <c r="G10" s="21">
        <v>30.82</v>
      </c>
      <c r="H10" s="13">
        <f>D10+F10+'01-05-2023'!H10</f>
        <v>23939.61</v>
      </c>
      <c r="I10" s="13">
        <f>E10+G10+'01-05-2023'!I10</f>
        <v>1185.08</v>
      </c>
      <c r="J10" s="13">
        <f t="shared" si="1"/>
        <v>25124.690000000002</v>
      </c>
      <c r="K10" s="13">
        <f t="shared" si="2"/>
        <v>8589.3099999999977</v>
      </c>
      <c r="L10" s="13">
        <f t="shared" si="3"/>
        <v>-9835.4626666666663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379.62</v>
      </c>
      <c r="E11" s="21">
        <v>4.93</v>
      </c>
      <c r="F11" s="21">
        <v>0</v>
      </c>
      <c r="G11" s="21">
        <v>0</v>
      </c>
      <c r="H11" s="13">
        <f>D11+F11+'01-05-2023'!H11</f>
        <v>7492.78</v>
      </c>
      <c r="I11" s="13">
        <f>E11+G11+'01-05-2023'!I11</f>
        <v>97.320000000000022</v>
      </c>
      <c r="J11" s="13">
        <f t="shared" si="1"/>
        <v>7590.0999999999995</v>
      </c>
      <c r="K11" s="13">
        <f t="shared" si="2"/>
        <v>10383.900000000001</v>
      </c>
      <c r="L11" s="13">
        <f t="shared" si="3"/>
        <v>4817.8266666666677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1039.02</v>
      </c>
      <c r="E12" s="21">
        <v>13.5</v>
      </c>
      <c r="F12" s="21">
        <v>0</v>
      </c>
      <c r="G12" s="21">
        <v>0</v>
      </c>
      <c r="H12" s="13">
        <f>D12+F12+'01-05-2023'!H12</f>
        <v>16142.06</v>
      </c>
      <c r="I12" s="13">
        <f>E12+G12+'01-05-2023'!I12</f>
        <v>209.72000000000003</v>
      </c>
      <c r="J12" s="13">
        <f t="shared" si="1"/>
        <v>16351.779999999999</v>
      </c>
      <c r="K12" s="13">
        <f t="shared" si="2"/>
        <v>7978.2200000000012</v>
      </c>
      <c r="L12" s="13">
        <f t="shared" si="3"/>
        <v>-4013.0853333333289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1487.33</v>
      </c>
      <c r="E13" s="13">
        <v>19.32</v>
      </c>
      <c r="F13" s="13">
        <v>0</v>
      </c>
      <c r="G13" s="13">
        <v>0</v>
      </c>
      <c r="H13" s="13">
        <f>D13+F13+'01-05-2023'!H13</f>
        <v>20180.559999999998</v>
      </c>
      <c r="I13" s="13">
        <f>E13+G13+'01-05-2023'!I13</f>
        <v>262.19000000000005</v>
      </c>
      <c r="J13" s="13">
        <f t="shared" si="1"/>
        <v>20442.749999999996</v>
      </c>
      <c r="K13" s="13">
        <f t="shared" si="2"/>
        <v>13557.250000000004</v>
      </c>
      <c r="L13" s="13">
        <f t="shared" si="3"/>
        <v>-1434.0999999999913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f>42741+5000</f>
        <v>47741</v>
      </c>
      <c r="D14" s="14">
        <f>35.91+1557.92</f>
        <v>1593.8300000000002</v>
      </c>
      <c r="E14" s="14">
        <f>0.46+202.25</f>
        <v>202.71</v>
      </c>
      <c r="F14" s="14">
        <v>0</v>
      </c>
      <c r="G14" s="14">
        <v>0</v>
      </c>
      <c r="H14" s="13">
        <f>D14+F14+'01-05-2023'!H14</f>
        <v>23552.719999999998</v>
      </c>
      <c r="I14" s="13">
        <f>E14+G14+'01-05-2023'!I14</f>
        <v>541.77</v>
      </c>
      <c r="J14" s="13">
        <f t="shared" si="1"/>
        <v>24094.489999999998</v>
      </c>
      <c r="K14" s="13">
        <f t="shared" si="2"/>
        <v>23646.510000000002</v>
      </c>
      <c r="L14" s="13">
        <f t="shared" si="3"/>
        <v>5977.2173333333412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261.89999999999998</v>
      </c>
      <c r="E15" s="21">
        <v>3.4</v>
      </c>
      <c r="F15" s="21">
        <v>0</v>
      </c>
      <c r="G15" s="21">
        <v>0</v>
      </c>
      <c r="H15" s="13">
        <f>D15+F15+'01-05-2023'!H15</f>
        <v>6583.1999999999989</v>
      </c>
      <c r="I15" s="13">
        <f>E15+G15+'01-05-2023'!I15</f>
        <v>85.48</v>
      </c>
      <c r="J15" s="13">
        <f t="shared" si="1"/>
        <v>6668.6799999999985</v>
      </c>
      <c r="K15" s="13">
        <f t="shared" si="2"/>
        <v>17504.32</v>
      </c>
      <c r="L15" s="13">
        <f t="shared" si="3"/>
        <v>12613.95466666667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14">
        <v>112.46</v>
      </c>
      <c r="E16" s="14">
        <v>1.46</v>
      </c>
      <c r="F16" s="14">
        <v>0</v>
      </c>
      <c r="G16" s="14">
        <v>0</v>
      </c>
      <c r="H16" s="13">
        <f>D16+F16+'01-05-2023'!H16</f>
        <v>1489.37</v>
      </c>
      <c r="I16" s="13">
        <f>E16+G16+'01-05-2023'!I16</f>
        <v>21.03</v>
      </c>
      <c r="J16" s="13">
        <f t="shared" si="1"/>
        <v>1510.3999999999999</v>
      </c>
      <c r="K16" s="13">
        <f t="shared" si="2"/>
        <v>4489.6000000000004</v>
      </c>
      <c r="L16" s="13">
        <f t="shared" si="3"/>
        <v>3381.9733333333334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215498</v>
      </c>
      <c r="D17" s="55">
        <f t="shared" ref="D17:L17" si="4">SUM(D8:D16)</f>
        <v>6346.5899999999992</v>
      </c>
      <c r="E17" s="55">
        <f t="shared" si="4"/>
        <v>264.45</v>
      </c>
      <c r="F17" s="55">
        <f t="shared" si="4"/>
        <v>428.16</v>
      </c>
      <c r="G17" s="55">
        <f t="shared" si="4"/>
        <v>30.82</v>
      </c>
      <c r="H17" s="55">
        <f t="shared" si="4"/>
        <v>110268.42</v>
      </c>
      <c r="I17" s="55">
        <f t="shared" si="4"/>
        <v>2606.98</v>
      </c>
      <c r="J17" s="55">
        <f t="shared" si="4"/>
        <v>112875.4</v>
      </c>
      <c r="K17" s="55">
        <f t="shared" si="4"/>
        <v>102622.6</v>
      </c>
      <c r="L17" s="55">
        <f t="shared" si="4"/>
        <v>19847.306666666693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D20+F20+'01-05-2023'!H20</f>
        <v>0</v>
      </c>
      <c r="I20" s="13">
        <f>E20+G20+'01-05-2023'!I20</f>
        <v>0</v>
      </c>
      <c r="J20" s="13">
        <f>H20+I20</f>
        <v>0</v>
      </c>
      <c r="K20" s="13">
        <f>C20-J20</f>
        <v>2109</v>
      </c>
      <c r="L20" s="13">
        <f t="shared" ref="L20:L22" si="5">C20-((J20/15)*26)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545.05999999999995</v>
      </c>
      <c r="E21" s="14">
        <v>7.08</v>
      </c>
      <c r="F21" s="14">
        <v>975.89</v>
      </c>
      <c r="G21" s="14">
        <v>70.260000000000005</v>
      </c>
      <c r="H21" s="13">
        <f>D21+F21+'01-05-2023'!H21</f>
        <v>18945.870000000003</v>
      </c>
      <c r="I21" s="13">
        <f>E21+G21+'01-05-2023'!I21</f>
        <v>704.44</v>
      </c>
      <c r="J21" s="13">
        <f>H21+I21</f>
        <v>19650.310000000001</v>
      </c>
      <c r="K21" s="13">
        <f>C21-J21</f>
        <v>5349.6899999999987</v>
      </c>
      <c r="L21" s="13">
        <f t="shared" si="5"/>
        <v>-9060.5373333333337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D22+F22+'01-05-2023'!H22</f>
        <v>0</v>
      </c>
      <c r="I22" s="13">
        <f>E22+G22+'01-05-2023'!I22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545.05999999999995</v>
      </c>
      <c r="E23" s="10">
        <f t="shared" si="6"/>
        <v>7.08</v>
      </c>
      <c r="F23" s="10">
        <f t="shared" si="6"/>
        <v>975.89</v>
      </c>
      <c r="G23" s="10">
        <f t="shared" si="6"/>
        <v>70.260000000000005</v>
      </c>
      <c r="H23" s="10">
        <f t="shared" si="6"/>
        <v>18945.870000000003</v>
      </c>
      <c r="I23" s="10">
        <f t="shared" si="6"/>
        <v>704.44</v>
      </c>
      <c r="J23" s="10">
        <f t="shared" si="6"/>
        <v>19650.310000000001</v>
      </c>
      <c r="K23" s="10">
        <f t="shared" si="6"/>
        <v>19458.689999999999</v>
      </c>
      <c r="L23" s="10">
        <f t="shared" si="6"/>
        <v>5048.4626666666663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303.13</v>
      </c>
      <c r="E26" s="14">
        <v>3.94</v>
      </c>
      <c r="F26" s="14">
        <v>0</v>
      </c>
      <c r="G26" s="14">
        <v>0</v>
      </c>
      <c r="H26" s="13">
        <f>D26+F26+'01-05-2023'!H26</f>
        <v>5000.0400000000009</v>
      </c>
      <c r="I26" s="13">
        <f>E26+G26+'01-05-2023'!I26</f>
        <v>115.63999999999999</v>
      </c>
      <c r="J26" s="13">
        <f>H26+I26</f>
        <v>5115.6800000000012</v>
      </c>
      <c r="K26" s="13">
        <f>C26-J26</f>
        <v>9884.32</v>
      </c>
      <c r="L26" s="13">
        <f t="shared" ref="L26:L29" si="7">C26-((J26/15)*26)</f>
        <v>6132.8213333333315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D27+F27+'01-05-2023'!H27</f>
        <v>0</v>
      </c>
      <c r="I27" s="13">
        <f>E27+G27+'01-05-2023'!I27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508</v>
      </c>
      <c r="E28" s="21">
        <v>10.46</v>
      </c>
      <c r="F28" s="21">
        <v>0</v>
      </c>
      <c r="G28" s="21">
        <v>0</v>
      </c>
      <c r="H28" s="13">
        <f>D28+F28+'01-05-2023'!H28</f>
        <v>14551.5</v>
      </c>
      <c r="I28" s="13">
        <f>E28+G28+'01-05-2023'!I28</f>
        <v>247.92999999999995</v>
      </c>
      <c r="J28" s="13">
        <f>H28+I28</f>
        <v>14799.43</v>
      </c>
      <c r="K28" s="13">
        <f>C28-J28</f>
        <v>10200.57</v>
      </c>
      <c r="L28" s="13">
        <f t="shared" si="7"/>
        <v>-652.34533333333457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D29+F29+'01-05-2023'!H29</f>
        <v>0</v>
      </c>
      <c r="I29" s="13">
        <f>E29+G29+'01-05-2023'!I29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811.13</v>
      </c>
      <c r="E30" s="48">
        <f t="shared" si="8"/>
        <v>14.4</v>
      </c>
      <c r="F30" s="48">
        <f t="shared" si="8"/>
        <v>0</v>
      </c>
      <c r="G30" s="48">
        <f t="shared" si="8"/>
        <v>0</v>
      </c>
      <c r="H30" s="48">
        <f t="shared" si="8"/>
        <v>19551.54</v>
      </c>
      <c r="I30" s="48">
        <f t="shared" si="8"/>
        <v>363.56999999999994</v>
      </c>
      <c r="J30" s="48">
        <f t="shared" si="8"/>
        <v>19915.11</v>
      </c>
      <c r="K30" s="48">
        <f t="shared" si="8"/>
        <v>31534.89</v>
      </c>
      <c r="L30" s="48">
        <f t="shared" si="8"/>
        <v>16930.475999999995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326457</v>
      </c>
      <c r="D33" s="41">
        <f t="shared" ref="D33:L33" si="9">D17+D23+D30+D5</f>
        <v>7702.78</v>
      </c>
      <c r="E33" s="41">
        <f t="shared" si="9"/>
        <v>285.92999999999995</v>
      </c>
      <c r="F33" s="41">
        <f t="shared" si="9"/>
        <v>2994.05</v>
      </c>
      <c r="G33" s="41">
        <f t="shared" si="9"/>
        <v>215.56</v>
      </c>
      <c r="H33" s="41">
        <f t="shared" si="9"/>
        <v>164703.83000000002</v>
      </c>
      <c r="I33" s="41">
        <f t="shared" si="9"/>
        <v>4815.38</v>
      </c>
      <c r="J33" s="41">
        <f t="shared" si="9"/>
        <v>169519.21000000002</v>
      </c>
      <c r="K33" s="41">
        <f t="shared" si="9"/>
        <v>156937.78999999998</v>
      </c>
      <c r="L33" s="41">
        <f t="shared" si="9"/>
        <v>32623.702666666686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D36+F36+'01-05-2023'!H36</f>
        <v>0</v>
      </c>
      <c r="I36" s="13">
        <f>E36+G36+'01-05-2023'!I36</f>
        <v>0</v>
      </c>
      <c r="J36" s="13">
        <f t="shared" ref="J36:J56" si="10">H36+I36</f>
        <v>0</v>
      </c>
      <c r="K36" s="13">
        <f t="shared" ref="K36:K56" si="11">C36-J36</f>
        <v>0</v>
      </c>
      <c r="L36" s="13">
        <f t="shared" ref="L36:L56" si="12">C36-((J36/15)*26)</f>
        <v>0</v>
      </c>
    </row>
    <row r="37" spans="1:13" s="38" customFormat="1" ht="11.25" customHeight="1" x14ac:dyDescent="0.25">
      <c r="A37" s="37" t="s">
        <v>37</v>
      </c>
      <c r="B37" s="34" t="s">
        <v>36</v>
      </c>
      <c r="C37" s="13">
        <v>12000</v>
      </c>
      <c r="D37" s="77">
        <v>540</v>
      </c>
      <c r="E37" s="77">
        <v>7.02</v>
      </c>
      <c r="F37" s="77">
        <v>816</v>
      </c>
      <c r="G37" s="77">
        <v>58.75</v>
      </c>
      <c r="H37" s="13">
        <f>D37+F37+'01-05-2023'!H37</f>
        <v>2683.25</v>
      </c>
      <c r="I37" s="13">
        <f>E37+G37+'01-05-2023'!I37</f>
        <v>653.24</v>
      </c>
      <c r="J37" s="13">
        <f t="shared" si="10"/>
        <v>3336.49</v>
      </c>
      <c r="K37" s="13">
        <f t="shared" si="11"/>
        <v>8663.51</v>
      </c>
      <c r="L37" s="13">
        <f t="shared" si="12"/>
        <v>6216.7506666666668</v>
      </c>
      <c r="M37" s="40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D38+F38+'01-05-2023'!H38</f>
        <v>0</v>
      </c>
      <c r="I38" s="13">
        <f>E38+G38+'01-05-2023'!I38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D39+F39+'01-05-2023'!H39</f>
        <v>0</v>
      </c>
      <c r="I39" s="13">
        <f>E39+G39+'01-05-2023'!I39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D40+F40+'01-05-2023'!H40</f>
        <v>0</v>
      </c>
      <c r="I40" s="13">
        <f>E40+G40+'01-05-2023'!I40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69.599999999999994</v>
      </c>
      <c r="E41" s="14">
        <v>0.9</v>
      </c>
      <c r="F41" s="14">
        <v>0</v>
      </c>
      <c r="G41" s="14">
        <v>0</v>
      </c>
      <c r="H41" s="13">
        <f>D41+F41+'01-05-2023'!H41</f>
        <v>1954.12</v>
      </c>
      <c r="I41" s="13">
        <f>E41+G41+'01-05-2023'!I41</f>
        <v>25.330000000000002</v>
      </c>
      <c r="J41" s="13">
        <f t="shared" si="10"/>
        <v>1979.4499999999998</v>
      </c>
      <c r="K41" s="13">
        <f t="shared" si="11"/>
        <v>5520.55</v>
      </c>
      <c r="L41" s="13">
        <f t="shared" si="12"/>
        <v>4068.9533333333338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D42+F42+'01-05-2023'!H42</f>
        <v>0</v>
      </c>
      <c r="I42" s="13">
        <f>E42+G42+'01-05-2023'!I42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D43+F43+'01-05-2023'!H43</f>
        <v>0</v>
      </c>
      <c r="I43" s="13">
        <f>E43+G43+'01-05-2023'!I43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D44+F44+'01-05-2023'!H44</f>
        <v>0</v>
      </c>
      <c r="I44" s="13">
        <f>E44+G44+'01-05-2023'!I44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D45+F45+'01-05-2023'!H45</f>
        <v>0</v>
      </c>
      <c r="I45" s="13">
        <f>E45+G45+'01-05-2023'!I45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29.344999999999999</v>
      </c>
      <c r="E46" s="14">
        <v>0.38</v>
      </c>
      <c r="F46" s="14">
        <v>0</v>
      </c>
      <c r="G46" s="14">
        <v>0</v>
      </c>
      <c r="H46" s="13">
        <f>D46+F46+'01-05-2023'!H46</f>
        <v>4264.2650000000003</v>
      </c>
      <c r="I46" s="13">
        <f>E46+G46+'01-05-2023'!I46</f>
        <v>55.35</v>
      </c>
      <c r="J46" s="13">
        <f t="shared" si="10"/>
        <v>4319.6150000000007</v>
      </c>
      <c r="K46" s="13">
        <f t="shared" si="11"/>
        <v>1701.4649999999992</v>
      </c>
      <c r="L46" s="13">
        <f t="shared" si="12"/>
        <v>-1466.2526666666681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f>10000+5000</f>
        <v>15000</v>
      </c>
      <c r="D47" s="14">
        <v>628.6</v>
      </c>
      <c r="E47" s="14">
        <v>8.17</v>
      </c>
      <c r="F47" s="14">
        <v>0</v>
      </c>
      <c r="G47" s="14">
        <v>0</v>
      </c>
      <c r="H47" s="13">
        <f>D47+F47+'01-05-2023'!H47</f>
        <v>2853.17</v>
      </c>
      <c r="I47" s="13">
        <f>E47+G47+'01-05-2023'!I47</f>
        <v>37.08</v>
      </c>
      <c r="J47" s="13">
        <f t="shared" si="10"/>
        <v>2890.25</v>
      </c>
      <c r="K47" s="13">
        <f t="shared" si="11"/>
        <v>12109.75</v>
      </c>
      <c r="L47" s="13">
        <f t="shared" si="12"/>
        <v>9990.2333333333336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D48+F48+'01-05-2023'!H48</f>
        <v>1085.2</v>
      </c>
      <c r="I48" s="13">
        <f>E48+G48+'01-05-2023'!I48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-211.02333333333308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f>1686.24+250.84</f>
        <v>1937.08</v>
      </c>
      <c r="D49" s="14">
        <v>0</v>
      </c>
      <c r="E49" s="14">
        <v>0</v>
      </c>
      <c r="F49" s="14">
        <v>0</v>
      </c>
      <c r="G49" s="14">
        <v>0</v>
      </c>
      <c r="H49" s="13">
        <f>D49+F49+'01-05-2023'!H49</f>
        <v>1807</v>
      </c>
      <c r="I49" s="13">
        <f>E49+G49+'01-05-2023'!I49</f>
        <v>130.08000000000001</v>
      </c>
      <c r="J49" s="13">
        <f t="shared" si="10"/>
        <v>1937.08</v>
      </c>
      <c r="K49" s="13">
        <f t="shared" si="11"/>
        <v>0</v>
      </c>
      <c r="L49" s="13">
        <f t="shared" si="12"/>
        <v>-1420.5253333333335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434.51</v>
      </c>
      <c r="E50" s="14">
        <v>5.64</v>
      </c>
      <c r="F50" s="14">
        <v>0</v>
      </c>
      <c r="G50" s="14">
        <v>0</v>
      </c>
      <c r="H50" s="13">
        <f>D50+F50+'01-05-2023'!H50</f>
        <v>5215.72</v>
      </c>
      <c r="I50" s="13">
        <f>E50+G50+'01-05-2023'!I50</f>
        <v>67.709999999999994</v>
      </c>
      <c r="J50" s="13">
        <f t="shared" si="10"/>
        <v>5283.43</v>
      </c>
      <c r="K50" s="13">
        <f t="shared" si="11"/>
        <v>4016.5699999999997</v>
      </c>
      <c r="L50" s="13">
        <f t="shared" si="12"/>
        <v>142.05466666666507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D51+F51+'01-05-2023'!H51</f>
        <v>2480</v>
      </c>
      <c r="I51" s="13">
        <f>E51+G51+'01-05-2023'!I51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2445.4506666666666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D52+F52+'01-05-2023'!H52</f>
        <v>1574.72</v>
      </c>
      <c r="I52" s="13">
        <f>E52+G52+'01-05-2023'!I52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-1025.9533333333334</v>
      </c>
      <c r="M52" s="24"/>
    </row>
    <row r="53" spans="1:13" s="23" customFormat="1" ht="11.25" customHeight="1" x14ac:dyDescent="0.2">
      <c r="A53" s="89" t="s">
        <v>97</v>
      </c>
      <c r="B53" s="86" t="s">
        <v>98</v>
      </c>
      <c r="C53" s="88">
        <v>5937</v>
      </c>
      <c r="D53" s="90">
        <v>0</v>
      </c>
      <c r="E53" s="90">
        <v>0</v>
      </c>
      <c r="F53" s="90">
        <v>0</v>
      </c>
      <c r="G53" s="90">
        <v>0</v>
      </c>
      <c r="H53" s="88">
        <f>D53+F53</f>
        <v>0</v>
      </c>
      <c r="I53" s="88">
        <f>E53+G53</f>
        <v>0</v>
      </c>
      <c r="J53" s="88">
        <f t="shared" ref="J53" si="13">H53+I53</f>
        <v>0</v>
      </c>
      <c r="K53" s="88">
        <f t="shared" ref="K53" si="14">C53-J53</f>
        <v>5937</v>
      </c>
      <c r="L53" s="88">
        <f t="shared" si="12"/>
        <v>5937</v>
      </c>
      <c r="M53" s="24"/>
    </row>
    <row r="54" spans="1:13" s="23" customFormat="1" ht="11.25" customHeight="1" x14ac:dyDescent="0.2">
      <c r="A54" s="27" t="s">
        <v>7</v>
      </c>
      <c r="B54" s="86" t="s">
        <v>6</v>
      </c>
      <c r="C54" s="25">
        <v>303.89999999999998</v>
      </c>
      <c r="D54" s="14">
        <v>0</v>
      </c>
      <c r="E54" s="14">
        <v>0</v>
      </c>
      <c r="F54" s="14">
        <v>0</v>
      </c>
      <c r="G54" s="14">
        <v>0</v>
      </c>
      <c r="H54" s="13">
        <f>D54+F54+'01-05-2023'!H53</f>
        <v>0</v>
      </c>
      <c r="I54" s="13">
        <f>E54+G54+'01-05-2023'!I53</f>
        <v>0</v>
      </c>
      <c r="J54" s="13">
        <f t="shared" si="10"/>
        <v>0</v>
      </c>
      <c r="K54" s="13">
        <f t="shared" si="11"/>
        <v>303.89999999999998</v>
      </c>
      <c r="L54" s="13">
        <f t="shared" si="12"/>
        <v>303.89999999999998</v>
      </c>
      <c r="M54" s="24"/>
    </row>
    <row r="55" spans="1:13" s="23" customFormat="1" ht="11.25" customHeight="1" x14ac:dyDescent="0.2">
      <c r="A55" s="27" t="s">
        <v>82</v>
      </c>
      <c r="B55" s="86" t="s">
        <v>83</v>
      </c>
      <c r="C55" s="25">
        <v>6300</v>
      </c>
      <c r="D55" s="14">
        <v>0</v>
      </c>
      <c r="E55" s="14">
        <v>0</v>
      </c>
      <c r="F55" s="14">
        <v>0</v>
      </c>
      <c r="G55" s="14">
        <v>0</v>
      </c>
      <c r="H55" s="13">
        <f>D55+F55+'01-05-2023'!H54</f>
        <v>0</v>
      </c>
      <c r="I55" s="13">
        <f>E55+G55+'01-05-2023'!I54</f>
        <v>0</v>
      </c>
      <c r="J55" s="13">
        <f t="shared" si="10"/>
        <v>0</v>
      </c>
      <c r="K55" s="13">
        <f t="shared" si="11"/>
        <v>6300</v>
      </c>
      <c r="L55" s="13">
        <f t="shared" si="12"/>
        <v>6300</v>
      </c>
      <c r="M55" s="24"/>
    </row>
    <row r="56" spans="1:13" s="23" customFormat="1" ht="11.25" customHeight="1" x14ac:dyDescent="0.2">
      <c r="A56" s="27" t="s">
        <v>85</v>
      </c>
      <c r="B56" s="86" t="s">
        <v>88</v>
      </c>
      <c r="C56" s="25">
        <v>7467.05</v>
      </c>
      <c r="D56" s="14">
        <v>0</v>
      </c>
      <c r="E56" s="14">
        <v>0</v>
      </c>
      <c r="F56" s="14">
        <v>193.75</v>
      </c>
      <c r="G56" s="14">
        <v>13.95</v>
      </c>
      <c r="H56" s="13">
        <f>D56+F56+'01-05-2023'!H55</f>
        <v>1975</v>
      </c>
      <c r="I56" s="13">
        <f>E56+G56+'01-05-2023'!I55</f>
        <v>142.19999999999999</v>
      </c>
      <c r="J56" s="13">
        <f t="shared" si="10"/>
        <v>2117.1999999999998</v>
      </c>
      <c r="K56" s="13">
        <f t="shared" si="11"/>
        <v>5349.85</v>
      </c>
      <c r="L56" s="13">
        <f t="shared" si="12"/>
        <v>3797.2366666666676</v>
      </c>
      <c r="M56" s="24"/>
    </row>
    <row r="57" spans="1:13" ht="21.6" customHeight="1" x14ac:dyDescent="0.25">
      <c r="A57" s="94" t="s">
        <v>5</v>
      </c>
      <c r="B57" s="95"/>
      <c r="C57" s="10">
        <f>SUM(C36:C56)</f>
        <v>84931.49</v>
      </c>
      <c r="D57" s="10">
        <f t="shared" ref="D57:K57" si="15">SUM(D36:D56)</f>
        <v>1702.0550000000001</v>
      </c>
      <c r="E57" s="10">
        <f t="shared" si="15"/>
        <v>22.11</v>
      </c>
      <c r="F57" s="10">
        <f t="shared" si="15"/>
        <v>1009.75</v>
      </c>
      <c r="G57" s="10">
        <f t="shared" si="15"/>
        <v>72.7</v>
      </c>
      <c r="H57" s="10">
        <f t="shared" si="15"/>
        <v>25892.445000000003</v>
      </c>
      <c r="I57" s="10">
        <f t="shared" si="15"/>
        <v>1270.6600000000003</v>
      </c>
      <c r="J57" s="10">
        <f t="shared" si="15"/>
        <v>27163.104999999996</v>
      </c>
      <c r="K57" s="10">
        <f t="shared" si="15"/>
        <v>57768.385000000002</v>
      </c>
      <c r="L57" s="10">
        <f>SUM(L36:L56)</f>
        <v>37848.774666666664</v>
      </c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22"/>
    </row>
    <row r="59" spans="1:13" ht="10.9" customHeight="1" x14ac:dyDescent="0.25">
      <c r="A59" s="19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3" s="11" customFormat="1" ht="10.9" customHeight="1" x14ac:dyDescent="0.25">
      <c r="A60" s="16" t="s">
        <v>4</v>
      </c>
      <c r="B60" s="15" t="s">
        <v>3</v>
      </c>
      <c r="C60" s="13">
        <v>62583</v>
      </c>
      <c r="D60" s="13">
        <v>1925.66</v>
      </c>
      <c r="E60" s="13">
        <v>25.03</v>
      </c>
      <c r="F60" s="13">
        <v>0</v>
      </c>
      <c r="G60" s="13">
        <v>0</v>
      </c>
      <c r="H60" s="13">
        <f>D60+F60+'01-05-2023'!H59</f>
        <v>23341.83</v>
      </c>
      <c r="I60" s="13">
        <f>E60+G60+'01-05-2023'!I59</f>
        <v>303.30999999999995</v>
      </c>
      <c r="J60" s="13">
        <f>H60+I60</f>
        <v>23645.140000000003</v>
      </c>
      <c r="K60" s="13">
        <f>C60-J60</f>
        <v>38937.86</v>
      </c>
      <c r="L60" s="13">
        <f t="shared" ref="L60:L61" si="16">C60-((J60/15)*26)</f>
        <v>21598.090666666663</v>
      </c>
      <c r="M60" s="12"/>
    </row>
    <row r="61" spans="1:13" s="11" customFormat="1" ht="10.9" customHeight="1" x14ac:dyDescent="0.25">
      <c r="A61" s="16" t="s">
        <v>76</v>
      </c>
      <c r="B61" s="15" t="s">
        <v>77</v>
      </c>
      <c r="C61" s="13">
        <v>1000</v>
      </c>
      <c r="D61" s="14">
        <v>0</v>
      </c>
      <c r="E61" s="14">
        <v>0</v>
      </c>
      <c r="F61" s="14">
        <v>0</v>
      </c>
      <c r="G61" s="14">
        <v>0</v>
      </c>
      <c r="H61" s="13">
        <f>D61+F61+'01-05-2023'!H60</f>
        <v>0</v>
      </c>
      <c r="I61" s="13">
        <f>E61+G61+'01-05-2023'!I60</f>
        <v>0</v>
      </c>
      <c r="J61" s="13">
        <f>H61+I61</f>
        <v>0</v>
      </c>
      <c r="K61" s="13">
        <f>C61-J61</f>
        <v>1000</v>
      </c>
      <c r="L61" s="13">
        <f t="shared" si="16"/>
        <v>1000</v>
      </c>
      <c r="M61" s="12"/>
    </row>
    <row r="62" spans="1:13" ht="21.6" customHeight="1" x14ac:dyDescent="0.25">
      <c r="A62" s="94" t="s">
        <v>2</v>
      </c>
      <c r="B62" s="95"/>
      <c r="C62" s="20">
        <f>SUM(C60:C61)</f>
        <v>63583</v>
      </c>
      <c r="D62" s="20">
        <f>SUM(D60:D61)</f>
        <v>1925.66</v>
      </c>
      <c r="E62" s="20">
        <f>SUM(E60:E61)</f>
        <v>25.03</v>
      </c>
      <c r="F62" s="20">
        <f>SUM(F60:F61)</f>
        <v>0</v>
      </c>
      <c r="G62" s="20">
        <f>SUM(G60:G61)</f>
        <v>0</v>
      </c>
      <c r="H62" s="20">
        <f t="shared" ref="H62:L62" si="17">SUM(H60:H61)</f>
        <v>23341.83</v>
      </c>
      <c r="I62" s="20">
        <f t="shared" si="17"/>
        <v>303.30999999999995</v>
      </c>
      <c r="J62" s="20">
        <f t="shared" si="17"/>
        <v>23645.140000000003</v>
      </c>
      <c r="K62" s="20">
        <f t="shared" si="17"/>
        <v>39937.86</v>
      </c>
      <c r="L62" s="20">
        <f t="shared" si="17"/>
        <v>22598.090666666663</v>
      </c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ht="10.9" customHeight="1" x14ac:dyDescent="0.25">
      <c r="A64" s="19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8" s="11" customFormat="1" ht="10.9" customHeight="1" x14ac:dyDescent="0.25">
      <c r="A65" s="16" t="s">
        <v>1</v>
      </c>
      <c r="B65" s="15">
        <v>55180000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13">
        <f>D65+F65+'01-05-2023'!H64</f>
        <v>0</v>
      </c>
      <c r="I65" s="13">
        <f>E65+G65+'01-05-2023'!I64</f>
        <v>0</v>
      </c>
      <c r="J65" s="13">
        <f>H65+I65</f>
        <v>0</v>
      </c>
      <c r="K65" s="13">
        <f>C65-J65</f>
        <v>0</v>
      </c>
      <c r="L65" s="13">
        <f>C65-((J65/15)*26)</f>
        <v>0</v>
      </c>
      <c r="M65" s="12"/>
    </row>
    <row r="66" spans="1:18" s="5" customFormat="1" ht="21.6" customHeight="1" x14ac:dyDescent="0.25">
      <c r="A66" s="94" t="s">
        <v>0</v>
      </c>
      <c r="B66" s="95"/>
      <c r="C66" s="10">
        <f t="shared" ref="C66:L66" si="18">SUM(C65)</f>
        <v>0</v>
      </c>
      <c r="D66" s="10">
        <f t="shared" si="18"/>
        <v>0</v>
      </c>
      <c r="E66" s="10">
        <f t="shared" si="18"/>
        <v>0</v>
      </c>
      <c r="F66" s="10">
        <f t="shared" si="18"/>
        <v>0</v>
      </c>
      <c r="G66" s="10">
        <f t="shared" si="18"/>
        <v>0</v>
      </c>
      <c r="H66" s="10">
        <f t="shared" si="18"/>
        <v>0</v>
      </c>
      <c r="I66" s="10">
        <f t="shared" si="18"/>
        <v>0</v>
      </c>
      <c r="J66" s="10">
        <f t="shared" si="18"/>
        <v>0</v>
      </c>
      <c r="K66" s="10">
        <f t="shared" si="18"/>
        <v>0</v>
      </c>
      <c r="L66" s="10">
        <f t="shared" si="18"/>
        <v>0</v>
      </c>
      <c r="M66" s="6"/>
    </row>
    <row r="67" spans="1:18" s="5" customFormat="1" ht="11.25" customHeight="1" x14ac:dyDescent="0.25">
      <c r="A67" s="9"/>
      <c r="B67" s="8"/>
      <c r="C67" s="7"/>
      <c r="D67" s="7"/>
      <c r="E67" s="7"/>
      <c r="F67" s="7"/>
      <c r="G67" s="7"/>
      <c r="H67" s="7"/>
      <c r="I67" s="7"/>
      <c r="J67" s="7"/>
      <c r="K67" s="7"/>
      <c r="L67" s="7"/>
      <c r="M67" s="6"/>
    </row>
    <row r="68" spans="1:18" ht="10.5" customHeight="1" x14ac:dyDescent="0.25">
      <c r="A68" s="101" t="s">
        <v>80</v>
      </c>
      <c r="B68" s="101"/>
      <c r="C68" s="101"/>
      <c r="D68" s="101"/>
      <c r="E68" s="101"/>
      <c r="F68" s="101"/>
      <c r="G68" s="79">
        <v>700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78</v>
      </c>
      <c r="B69" s="101"/>
      <c r="C69" s="101"/>
      <c r="D69" s="101"/>
      <c r="E69" s="101"/>
      <c r="F69" s="101"/>
      <c r="G69" s="79">
        <v>15000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79</v>
      </c>
      <c r="B70" s="101"/>
      <c r="C70" s="101"/>
      <c r="D70" s="101"/>
      <c r="E70" s="101"/>
      <c r="F70" s="101"/>
      <c r="G70" s="79">
        <v>3800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81</v>
      </c>
      <c r="B71" s="101"/>
      <c r="C71" s="101"/>
      <c r="D71" s="101"/>
      <c r="E71" s="101"/>
      <c r="F71" s="101"/>
      <c r="G71" s="79">
        <v>5000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84</v>
      </c>
      <c r="B72" s="101"/>
      <c r="C72" s="101"/>
      <c r="D72" s="101"/>
      <c r="E72" s="101"/>
      <c r="F72" s="101"/>
      <c r="G72" s="79">
        <v>6300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87</v>
      </c>
      <c r="B73" s="101"/>
      <c r="C73" s="101"/>
      <c r="D73" s="101"/>
      <c r="E73" s="101"/>
      <c r="F73" s="101"/>
      <c r="G73" s="79">
        <v>7467.05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89</v>
      </c>
      <c r="B74" s="101"/>
      <c r="C74" s="101"/>
      <c r="D74" s="101"/>
      <c r="E74" s="101"/>
      <c r="F74" s="101"/>
      <c r="G74" s="79">
        <v>5500</v>
      </c>
      <c r="M74" s="102"/>
      <c r="N74" s="102"/>
      <c r="O74" s="102"/>
      <c r="P74" s="102"/>
      <c r="Q74" s="102"/>
      <c r="R74" s="102"/>
    </row>
    <row r="75" spans="1:18" ht="10.5" customHeight="1" x14ac:dyDescent="0.25">
      <c r="A75" s="101" t="s">
        <v>92</v>
      </c>
      <c r="B75" s="101"/>
      <c r="C75" s="101"/>
      <c r="D75" s="101"/>
      <c r="E75" s="101"/>
      <c r="F75" s="101"/>
      <c r="G75" s="79">
        <v>3400</v>
      </c>
      <c r="M75" s="102"/>
      <c r="N75" s="102"/>
      <c r="O75" s="102"/>
      <c r="P75" s="102"/>
      <c r="Q75" s="102"/>
      <c r="R75" s="102"/>
    </row>
    <row r="76" spans="1:18" ht="10.5" customHeight="1" x14ac:dyDescent="0.25">
      <c r="A76" s="101" t="s">
        <v>91</v>
      </c>
      <c r="B76" s="101"/>
      <c r="C76" s="101"/>
      <c r="D76" s="101"/>
      <c r="E76" s="101"/>
      <c r="F76" s="101"/>
      <c r="G76" s="79">
        <v>5000</v>
      </c>
      <c r="M76" s="102"/>
      <c r="N76" s="102"/>
      <c r="O76" s="102"/>
      <c r="P76" s="102"/>
      <c r="Q76" s="102"/>
      <c r="R76" s="102"/>
    </row>
    <row r="77" spans="1:18" ht="10.5" customHeight="1" x14ac:dyDescent="0.25">
      <c r="A77" s="101" t="s">
        <v>93</v>
      </c>
      <c r="B77" s="101"/>
      <c r="C77" s="101"/>
      <c r="D77" s="101"/>
      <c r="E77" s="101"/>
      <c r="F77" s="101"/>
      <c r="G77" s="79">
        <v>12340</v>
      </c>
      <c r="M77" s="102"/>
      <c r="N77" s="102"/>
      <c r="O77" s="102"/>
      <c r="P77" s="102"/>
      <c r="Q77" s="102"/>
      <c r="R77" s="102"/>
    </row>
    <row r="78" spans="1:18" ht="10.5" customHeight="1" x14ac:dyDescent="0.25">
      <c r="A78" s="101" t="s">
        <v>94</v>
      </c>
      <c r="B78" s="101"/>
      <c r="C78" s="101"/>
      <c r="D78" s="101"/>
      <c r="E78" s="101"/>
      <c r="F78" s="101"/>
      <c r="G78" s="79">
        <v>5000</v>
      </c>
      <c r="M78" s="102"/>
      <c r="N78" s="102"/>
      <c r="O78" s="102"/>
      <c r="P78" s="102"/>
      <c r="Q78" s="102"/>
      <c r="R78" s="102"/>
    </row>
    <row r="79" spans="1:18" ht="10.5" customHeight="1" x14ac:dyDescent="0.25">
      <c r="A79" s="101" t="s">
        <v>95</v>
      </c>
      <c r="B79" s="101"/>
      <c r="C79" s="101"/>
      <c r="D79" s="101"/>
      <c r="E79" s="101"/>
      <c r="F79" s="101"/>
      <c r="G79" s="79">
        <v>12000</v>
      </c>
      <c r="M79" s="102"/>
      <c r="N79" s="102"/>
      <c r="O79" s="102"/>
      <c r="P79" s="102"/>
      <c r="Q79" s="102"/>
      <c r="R79" s="102"/>
    </row>
    <row r="80" spans="1:18" ht="10.5" customHeight="1" x14ac:dyDescent="0.25">
      <c r="A80" s="101" t="s">
        <v>96</v>
      </c>
      <c r="B80" s="101"/>
      <c r="C80" s="101"/>
      <c r="D80" s="101"/>
      <c r="E80" s="101"/>
      <c r="F80" s="101"/>
      <c r="G80" s="79">
        <v>5937</v>
      </c>
      <c r="M80" s="102"/>
      <c r="N80" s="102"/>
      <c r="O80" s="102"/>
      <c r="P80" s="102"/>
      <c r="Q80" s="102"/>
      <c r="R80" s="102"/>
    </row>
    <row r="128" spans="13:13" x14ac:dyDescent="0.25">
      <c r="M128" s="2">
        <f>SUM(M34:M126)</f>
        <v>0</v>
      </c>
    </row>
  </sheetData>
  <mergeCells count="34">
    <mergeCell ref="A77:F77"/>
    <mergeCell ref="M77:R77"/>
    <mergeCell ref="M78:R78"/>
    <mergeCell ref="A78:F78"/>
    <mergeCell ref="A80:F80"/>
    <mergeCell ref="M80:R80"/>
    <mergeCell ref="A79:F79"/>
    <mergeCell ref="M79:R79"/>
    <mergeCell ref="A74:F74"/>
    <mergeCell ref="M74:R74"/>
    <mergeCell ref="A75:F75"/>
    <mergeCell ref="M75:R75"/>
    <mergeCell ref="A76:F76"/>
    <mergeCell ref="M76:R76"/>
    <mergeCell ref="A71:F71"/>
    <mergeCell ref="M71:R71"/>
    <mergeCell ref="A72:F72"/>
    <mergeCell ref="M72:R72"/>
    <mergeCell ref="A73:F73"/>
    <mergeCell ref="M73:R73"/>
    <mergeCell ref="A57:B57"/>
    <mergeCell ref="A5:B5"/>
    <mergeCell ref="A17:B17"/>
    <mergeCell ref="A23:B23"/>
    <mergeCell ref="A30:B30"/>
    <mergeCell ref="A33:B33"/>
    <mergeCell ref="A70:F70"/>
    <mergeCell ref="M70:R70"/>
    <mergeCell ref="A62:B62"/>
    <mergeCell ref="A66:B66"/>
    <mergeCell ref="A68:F68"/>
    <mergeCell ref="M68:R68"/>
    <mergeCell ref="A69:F69"/>
    <mergeCell ref="M69:R69"/>
  </mergeCells>
  <pageMargins left="0.25" right="0" top="0.4" bottom="0" header="0.3" footer="0"/>
  <pageSetup scale="72" fitToWidth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38F6B-CA2D-4B04-BBBC-4CA8E8EEDE19}">
  <sheetPr>
    <pageSetUpPr fitToPage="1"/>
  </sheetPr>
  <dimension ref="A1:R129"/>
  <sheetViews>
    <sheetView zoomScale="160" zoomScaleNormal="160" workbookViewId="0">
      <pane ySplit="2" topLeftCell="A42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8.140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44959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D3+F3+'01-19-2023'!H3</f>
        <v>3208</v>
      </c>
      <c r="I3" s="13">
        <f>E3+G3+'01-19-2023'!I3</f>
        <v>230.93</v>
      </c>
      <c r="J3" s="13">
        <f>H3+I3</f>
        <v>3438.93</v>
      </c>
      <c r="K3" s="13">
        <f>C3-J3</f>
        <v>7361.07</v>
      </c>
      <c r="L3" s="13">
        <f>C3-((J3/15)*26)</f>
        <v>4839.1880000000001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1600</v>
      </c>
      <c r="G4" s="14">
        <v>115.2</v>
      </c>
      <c r="H4" s="13">
        <f>D4+F4+'01-19-2023'!H4</f>
        <v>14330</v>
      </c>
      <c r="I4" s="13">
        <f>E4+G4+'01-19-2023'!I4</f>
        <v>1024.6600000000001</v>
      </c>
      <c r="J4" s="13">
        <f>H4+I4</f>
        <v>15354.66</v>
      </c>
      <c r="K4" s="87">
        <f>C4-J4</f>
        <v>-5754.66</v>
      </c>
      <c r="L4" s="13">
        <f>C4-((J4/15)*26)</f>
        <v>-17014.743999999999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1600</v>
      </c>
      <c r="G5" s="55">
        <f t="shared" si="0"/>
        <v>115.2</v>
      </c>
      <c r="H5" s="55">
        <f t="shared" si="0"/>
        <v>17538</v>
      </c>
      <c r="I5" s="55">
        <f t="shared" si="0"/>
        <v>1255.5900000000001</v>
      </c>
      <c r="J5" s="55">
        <f t="shared" si="0"/>
        <v>18793.59</v>
      </c>
      <c r="K5" s="55">
        <f t="shared" si="0"/>
        <v>1606.4099999999999</v>
      </c>
      <c r="L5" s="55">
        <f t="shared" si="0"/>
        <v>-12175.555999999999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D8+F8+'01-19-2023'!H8</f>
        <v>0</v>
      </c>
      <c r="I8" s="13">
        <f>E8+G8+'01-19-2023'!I8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C8-((J8/15)*26)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f>-102+1070.62</f>
        <v>968.61999999999989</v>
      </c>
      <c r="E9" s="21">
        <f>-1.32+13.91</f>
        <v>12.59</v>
      </c>
      <c r="F9" s="21">
        <f>-360</f>
        <v>-360</v>
      </c>
      <c r="G9" s="21">
        <f>-25.92</f>
        <v>-25.92</v>
      </c>
      <c r="H9" s="13">
        <f>D9+F9+'01-19-2023'!H9</f>
        <v>11496.740000000002</v>
      </c>
      <c r="I9" s="13">
        <f>E9+G9+'01-19-2023'!I9</f>
        <v>191.05999999999997</v>
      </c>
      <c r="J9" s="13">
        <f t="shared" si="1"/>
        <v>11687.800000000001</v>
      </c>
      <c r="K9" s="13">
        <f t="shared" si="2"/>
        <v>12961.199999999999</v>
      </c>
      <c r="L9" s="13">
        <f t="shared" si="3"/>
        <v>4390.1466666666638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17974+3400+12340</f>
        <v>33714</v>
      </c>
      <c r="D10" s="21">
        <v>1011.64</v>
      </c>
      <c r="E10" s="21">
        <v>13.14</v>
      </c>
      <c r="F10" s="21">
        <v>1427.2</v>
      </c>
      <c r="G10" s="21">
        <v>102.75</v>
      </c>
      <c r="H10" s="13">
        <f>D10+F10+'01-19-2023'!H10</f>
        <v>26378.45</v>
      </c>
      <c r="I10" s="13">
        <f>E10+G10+'01-19-2023'!I10</f>
        <v>1300.97</v>
      </c>
      <c r="J10" s="13">
        <f t="shared" si="1"/>
        <v>27679.420000000002</v>
      </c>
      <c r="K10" s="13">
        <f t="shared" si="2"/>
        <v>6034.5799999999981</v>
      </c>
      <c r="L10" s="13">
        <f t="shared" si="3"/>
        <v>-14263.661333333337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643.64</v>
      </c>
      <c r="E11" s="21">
        <v>8.36</v>
      </c>
      <c r="F11" s="21">
        <v>0</v>
      </c>
      <c r="G11" s="21">
        <v>0</v>
      </c>
      <c r="H11" s="13">
        <f>D11+F11+'01-19-2023'!H11</f>
        <v>8136.42</v>
      </c>
      <c r="I11" s="13">
        <f>E11+G11+'01-19-2023'!I11</f>
        <v>105.68000000000002</v>
      </c>
      <c r="J11" s="13">
        <f t="shared" si="1"/>
        <v>8242.1</v>
      </c>
      <c r="K11" s="13">
        <f t="shared" si="2"/>
        <v>9731.9</v>
      </c>
      <c r="L11" s="13">
        <f t="shared" si="3"/>
        <v>3687.6933333333327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f>365.83+1636.5</f>
        <v>2002.33</v>
      </c>
      <c r="E12" s="21">
        <f>4.75+21.26</f>
        <v>26.01</v>
      </c>
      <c r="F12" s="21">
        <v>0</v>
      </c>
      <c r="G12" s="21">
        <v>0</v>
      </c>
      <c r="H12" s="13">
        <f>D12+F12+'01-19-2023'!H12</f>
        <v>18144.39</v>
      </c>
      <c r="I12" s="13">
        <f>E12+G12+'01-19-2023'!I12</f>
        <v>235.73000000000002</v>
      </c>
      <c r="J12" s="13">
        <f t="shared" si="1"/>
        <v>18380.12</v>
      </c>
      <c r="K12" s="13">
        <f t="shared" si="2"/>
        <v>5949.880000000001</v>
      </c>
      <c r="L12" s="13">
        <f t="shared" si="3"/>
        <v>-7528.8746666666666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1941.99</v>
      </c>
      <c r="E13" s="13">
        <v>25.24</v>
      </c>
      <c r="F13" s="13">
        <v>0</v>
      </c>
      <c r="G13" s="13">
        <v>0</v>
      </c>
      <c r="H13" s="13">
        <f>D13+F13+'01-19-2023'!H13</f>
        <v>22122.55</v>
      </c>
      <c r="I13" s="13">
        <f>E13+G13+'01-19-2023'!I13</f>
        <v>287.43000000000006</v>
      </c>
      <c r="J13" s="13">
        <f t="shared" si="1"/>
        <v>22409.98</v>
      </c>
      <c r="K13" s="13">
        <f t="shared" si="2"/>
        <v>11590.02</v>
      </c>
      <c r="L13" s="13">
        <f t="shared" si="3"/>
        <v>-4843.9653333333335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f>42741+5000</f>
        <v>47741</v>
      </c>
      <c r="D14" s="14">
        <f>1326.08+2148</f>
        <v>3474.08</v>
      </c>
      <c r="E14" s="14">
        <f>17.24+27.89</f>
        <v>45.129999999999995</v>
      </c>
      <c r="F14" s="14">
        <v>0</v>
      </c>
      <c r="G14" s="14">
        <v>0</v>
      </c>
      <c r="H14" s="13">
        <f>D14+F14+'01-19-2023'!H14</f>
        <v>27026.799999999996</v>
      </c>
      <c r="I14" s="13">
        <f>E14+G14+'01-19-2023'!I14</f>
        <v>586.9</v>
      </c>
      <c r="J14" s="13">
        <f t="shared" si="1"/>
        <v>27613.699999999997</v>
      </c>
      <c r="K14" s="13">
        <f t="shared" si="2"/>
        <v>20127.300000000003</v>
      </c>
      <c r="L14" s="13">
        <f t="shared" si="3"/>
        <v>-122.74666666666599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661</v>
      </c>
      <c r="E15" s="21">
        <v>8.58</v>
      </c>
      <c r="F15" s="21">
        <v>0</v>
      </c>
      <c r="G15" s="21">
        <v>0</v>
      </c>
      <c r="H15" s="13">
        <f>D15+F15+'01-19-2023'!H15</f>
        <v>7244.1999999999989</v>
      </c>
      <c r="I15" s="13">
        <f>E15+G15+'01-19-2023'!I15</f>
        <v>94.06</v>
      </c>
      <c r="J15" s="13">
        <f t="shared" si="1"/>
        <v>7338.2599999999993</v>
      </c>
      <c r="K15" s="13">
        <f t="shared" si="2"/>
        <v>16834.740000000002</v>
      </c>
      <c r="L15" s="13">
        <f t="shared" si="3"/>
        <v>11453.349333333335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14">
        <v>344.16</v>
      </c>
      <c r="E16" s="14">
        <v>4.46</v>
      </c>
      <c r="F16" s="14">
        <v>0</v>
      </c>
      <c r="G16" s="14">
        <v>0</v>
      </c>
      <c r="H16" s="13">
        <f>D16+F16+'01-19-2023'!H16</f>
        <v>1833.53</v>
      </c>
      <c r="I16" s="13">
        <f>E16+G16+'01-19-2023'!I16</f>
        <v>25.490000000000002</v>
      </c>
      <c r="J16" s="13">
        <f t="shared" si="1"/>
        <v>1859.02</v>
      </c>
      <c r="K16" s="13">
        <f t="shared" si="2"/>
        <v>4140.9799999999996</v>
      </c>
      <c r="L16" s="13">
        <f t="shared" si="3"/>
        <v>2777.6986666666667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215498</v>
      </c>
      <c r="D17" s="55">
        <f t="shared" ref="D17:L17" si="4">SUM(D8:D16)</f>
        <v>11047.46</v>
      </c>
      <c r="E17" s="55">
        <f t="shared" si="4"/>
        <v>143.51000000000002</v>
      </c>
      <c r="F17" s="55">
        <f t="shared" si="4"/>
        <v>1067.2</v>
      </c>
      <c r="G17" s="55">
        <f t="shared" si="4"/>
        <v>76.83</v>
      </c>
      <c r="H17" s="55">
        <f t="shared" si="4"/>
        <v>122383.08</v>
      </c>
      <c r="I17" s="55">
        <f t="shared" si="4"/>
        <v>2827.3199999999997</v>
      </c>
      <c r="J17" s="55">
        <f t="shared" si="4"/>
        <v>125210.4</v>
      </c>
      <c r="K17" s="55">
        <f t="shared" si="4"/>
        <v>90287.6</v>
      </c>
      <c r="L17" s="55">
        <f t="shared" si="4"/>
        <v>-1533.3600000000047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D20+F20+'01-19-2023'!H20</f>
        <v>0</v>
      </c>
      <c r="I20" s="13">
        <f>E20+G20+'01-19-2023'!I20</f>
        <v>0</v>
      </c>
      <c r="J20" s="13">
        <f>H20+I20</f>
        <v>0</v>
      </c>
      <c r="K20" s="13">
        <f>C20-J20</f>
        <v>2109</v>
      </c>
      <c r="L20" s="13">
        <f t="shared" ref="L20:L22" si="5">C20-((J20/15)*26)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f>-2927.91+739.14</f>
        <v>-2188.77</v>
      </c>
      <c r="E21" s="14">
        <f>-38.06+9.6</f>
        <v>-28.46</v>
      </c>
      <c r="F21" s="14">
        <v>1499.47</v>
      </c>
      <c r="G21" s="14">
        <v>107.95</v>
      </c>
      <c r="H21" s="13">
        <f>D21+F21+'01-19-2023'!H21</f>
        <v>18256.570000000003</v>
      </c>
      <c r="I21" s="13">
        <f>E21+G21+'01-19-2023'!I21</f>
        <v>783.93000000000006</v>
      </c>
      <c r="J21" s="13">
        <f>H21+I21</f>
        <v>19040.500000000004</v>
      </c>
      <c r="K21" s="13">
        <f>C21-J21</f>
        <v>5959.4999999999964</v>
      </c>
      <c r="L21" s="13">
        <f t="shared" si="5"/>
        <v>-8003.5333333333401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f>2927.91+224.4</f>
        <v>3152.31</v>
      </c>
      <c r="E22" s="14">
        <f>38.06+2.91</f>
        <v>40.97</v>
      </c>
      <c r="F22" s="14">
        <v>0</v>
      </c>
      <c r="G22" s="14">
        <v>0</v>
      </c>
      <c r="H22" s="13">
        <f>D22+F22+'01-19-2023'!H22</f>
        <v>3152.31</v>
      </c>
      <c r="I22" s="13">
        <f>E22+G22+'01-19-2023'!I22</f>
        <v>40.97</v>
      </c>
      <c r="J22" s="13">
        <f>H22+I22</f>
        <v>3193.2799999999997</v>
      </c>
      <c r="K22" s="13">
        <f>C22-J22</f>
        <v>8806.7200000000012</v>
      </c>
      <c r="L22" s="13">
        <f t="shared" si="5"/>
        <v>6464.9813333333341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963.54</v>
      </c>
      <c r="E23" s="10">
        <f t="shared" si="6"/>
        <v>12.509999999999998</v>
      </c>
      <c r="F23" s="10">
        <f t="shared" si="6"/>
        <v>1499.47</v>
      </c>
      <c r="G23" s="10">
        <f t="shared" si="6"/>
        <v>107.95</v>
      </c>
      <c r="H23" s="10">
        <f t="shared" si="6"/>
        <v>21408.880000000005</v>
      </c>
      <c r="I23" s="10">
        <f t="shared" si="6"/>
        <v>824.90000000000009</v>
      </c>
      <c r="J23" s="10">
        <f t="shared" si="6"/>
        <v>22233.780000000002</v>
      </c>
      <c r="K23" s="10">
        <f t="shared" si="6"/>
        <v>16875.219999999998</v>
      </c>
      <c r="L23" s="10">
        <f t="shared" si="6"/>
        <v>570.44799999999395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778.14</v>
      </c>
      <c r="E26" s="14">
        <v>10.11</v>
      </c>
      <c r="F26" s="14">
        <v>0</v>
      </c>
      <c r="G26" s="14">
        <v>0</v>
      </c>
      <c r="H26" s="13">
        <f>D26+F26+'01-19-2023'!H26</f>
        <v>5778.1800000000012</v>
      </c>
      <c r="I26" s="13">
        <f>E26+G26+'01-19-2023'!I26</f>
        <v>125.74999999999999</v>
      </c>
      <c r="J26" s="13">
        <f>H26+I26</f>
        <v>5903.9300000000012</v>
      </c>
      <c r="K26" s="13">
        <f>C26-J26</f>
        <v>9096.07</v>
      </c>
      <c r="L26" s="13">
        <f t="shared" ref="L26:L29" si="7">C26-((J26/15)*26)</f>
        <v>4766.5213333333304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D27+F27+'01-19-2023'!H27</f>
        <v>0</v>
      </c>
      <c r="I27" s="13">
        <f>E27+G27+'01-19-2023'!I27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520</v>
      </c>
      <c r="E28" s="21">
        <v>6.74</v>
      </c>
      <c r="F28" s="21">
        <v>0</v>
      </c>
      <c r="G28" s="21">
        <v>0</v>
      </c>
      <c r="H28" s="13">
        <f>D28+F28+'01-19-2023'!H28</f>
        <v>15071.5</v>
      </c>
      <c r="I28" s="13">
        <f>E28+G28+'01-19-2023'!I28</f>
        <v>254.66999999999996</v>
      </c>
      <c r="J28" s="13">
        <f>H28+I28</f>
        <v>15326.17</v>
      </c>
      <c r="K28" s="13">
        <f>C28-J28</f>
        <v>9673.83</v>
      </c>
      <c r="L28" s="13">
        <f t="shared" si="7"/>
        <v>-1565.3613333333342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D29+F29+'01-19-2023'!H29</f>
        <v>0</v>
      </c>
      <c r="I29" s="13">
        <f>E29+G29+'01-19-2023'!I29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1298.1399999999999</v>
      </c>
      <c r="E30" s="48">
        <f t="shared" si="8"/>
        <v>16.850000000000001</v>
      </c>
      <c r="F30" s="48">
        <f t="shared" si="8"/>
        <v>0</v>
      </c>
      <c r="G30" s="48">
        <f t="shared" si="8"/>
        <v>0</v>
      </c>
      <c r="H30" s="48">
        <f t="shared" si="8"/>
        <v>20849.68</v>
      </c>
      <c r="I30" s="48">
        <f t="shared" si="8"/>
        <v>380.41999999999996</v>
      </c>
      <c r="J30" s="48">
        <f t="shared" si="8"/>
        <v>21230.100000000002</v>
      </c>
      <c r="K30" s="48">
        <f t="shared" si="8"/>
        <v>30219.9</v>
      </c>
      <c r="L30" s="48">
        <f t="shared" si="8"/>
        <v>14651.159999999996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326457</v>
      </c>
      <c r="D33" s="41">
        <f t="shared" ref="D33:L33" si="9">D17+D23+D30+D5</f>
        <v>13309.14</v>
      </c>
      <c r="E33" s="41">
        <f t="shared" si="9"/>
        <v>172.87</v>
      </c>
      <c r="F33" s="41">
        <f t="shared" si="9"/>
        <v>4166.67</v>
      </c>
      <c r="G33" s="41">
        <f t="shared" si="9"/>
        <v>299.98</v>
      </c>
      <c r="H33" s="41">
        <f t="shared" si="9"/>
        <v>182179.64</v>
      </c>
      <c r="I33" s="41">
        <f t="shared" si="9"/>
        <v>5288.23</v>
      </c>
      <c r="J33" s="41">
        <f t="shared" si="9"/>
        <v>187467.87</v>
      </c>
      <c r="K33" s="41">
        <f t="shared" si="9"/>
        <v>138989.13</v>
      </c>
      <c r="L33" s="41">
        <f t="shared" si="9"/>
        <v>1512.6919999999864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D36+F36+'01-19-2023'!H36</f>
        <v>0</v>
      </c>
      <c r="I36" s="13">
        <f>E36+G36+'01-19-2023'!I36</f>
        <v>0</v>
      </c>
      <c r="J36" s="13">
        <f t="shared" ref="J36:J57" si="10">H36+I36</f>
        <v>0</v>
      </c>
      <c r="K36" s="13">
        <f t="shared" ref="K36:K57" si="11">C36-J36</f>
        <v>0</v>
      </c>
      <c r="L36" s="13">
        <f t="shared" ref="L36:L57" si="12">C36-((J36/15)*26)</f>
        <v>0</v>
      </c>
    </row>
    <row r="37" spans="1:13" s="38" customFormat="1" ht="11.25" customHeight="1" x14ac:dyDescent="0.25">
      <c r="A37" s="37" t="s">
        <v>37</v>
      </c>
      <c r="B37" s="34" t="s">
        <v>36</v>
      </c>
      <c r="C37" s="13">
        <v>12000</v>
      </c>
      <c r="D37" s="77">
        <v>600</v>
      </c>
      <c r="E37" s="77">
        <v>7.8</v>
      </c>
      <c r="F37" s="77">
        <v>1360</v>
      </c>
      <c r="G37" s="77">
        <v>97.91</v>
      </c>
      <c r="H37" s="13">
        <f>D37+F37+'01-19-2023'!H37</f>
        <v>4643.25</v>
      </c>
      <c r="I37" s="13">
        <f>E37+G37+'01-19-2023'!I37</f>
        <v>758.95</v>
      </c>
      <c r="J37" s="13">
        <f t="shared" si="10"/>
        <v>5402.2</v>
      </c>
      <c r="K37" s="13">
        <f t="shared" si="11"/>
        <v>6597.8</v>
      </c>
      <c r="L37" s="13">
        <f t="shared" si="12"/>
        <v>2636.1866666666665</v>
      </c>
      <c r="M37" s="40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D38+F38+'01-19-2023'!H38</f>
        <v>0</v>
      </c>
      <c r="I38" s="13">
        <f>E38+G38+'01-19-2023'!I38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D39+F39+'01-19-2023'!H39</f>
        <v>0</v>
      </c>
      <c r="I39" s="13">
        <f>E39+G39+'01-19-2023'!I39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D40+F40+'01-19-2023'!H40</f>
        <v>0</v>
      </c>
      <c r="I40" s="13">
        <f>E40+G40+'01-19-2023'!I40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2" customFormat="1" ht="11.45" customHeight="1" x14ac:dyDescent="0.25">
      <c r="A41" s="89" t="s">
        <v>99</v>
      </c>
      <c r="B41" s="86" t="s">
        <v>100</v>
      </c>
      <c r="C41" s="88">
        <v>2877.04</v>
      </c>
      <c r="D41" s="90">
        <f>78.89+225.4</f>
        <v>304.29000000000002</v>
      </c>
      <c r="E41" s="90">
        <f>1.02+2.92</f>
        <v>3.94</v>
      </c>
      <c r="F41" s="91">
        <v>0</v>
      </c>
      <c r="G41" s="91">
        <v>0</v>
      </c>
      <c r="H41" s="88">
        <f>D41+F41</f>
        <v>304.29000000000002</v>
      </c>
      <c r="I41" s="88">
        <f>E41+G41</f>
        <v>3.94</v>
      </c>
      <c r="J41" s="88">
        <f t="shared" ref="J41" si="13">H41+I41</f>
        <v>308.23</v>
      </c>
      <c r="K41" s="88">
        <f t="shared" ref="K41" si="14">C41-J41</f>
        <v>2568.81</v>
      </c>
      <c r="L41" s="88">
        <f t="shared" ref="L41" si="15">C41-((J41/15)*26)</f>
        <v>2342.7746666666667</v>
      </c>
      <c r="M41" s="28"/>
    </row>
    <row r="42" spans="1:13" s="30" customFormat="1" ht="11.45" customHeight="1" x14ac:dyDescent="0.2">
      <c r="A42" s="27" t="s">
        <v>29</v>
      </c>
      <c r="B42" s="86" t="s">
        <v>28</v>
      </c>
      <c r="C42" s="13">
        <f>2500+5000</f>
        <v>7500</v>
      </c>
      <c r="D42" s="14">
        <v>11.6</v>
      </c>
      <c r="E42" s="14">
        <v>0.15</v>
      </c>
      <c r="F42" s="14">
        <v>0</v>
      </c>
      <c r="G42" s="14">
        <v>0</v>
      </c>
      <c r="H42" s="13">
        <f>D42+F42+'01-19-2023'!H41</f>
        <v>1965.7199999999998</v>
      </c>
      <c r="I42" s="13">
        <f>E42+G42+'01-19-2023'!I41</f>
        <v>25.48</v>
      </c>
      <c r="J42" s="13">
        <f t="shared" si="10"/>
        <v>1991.1999999999998</v>
      </c>
      <c r="K42" s="13">
        <f t="shared" si="11"/>
        <v>5508.8</v>
      </c>
      <c r="L42" s="13">
        <f t="shared" si="12"/>
        <v>4048.5866666666675</v>
      </c>
      <c r="M42" s="24"/>
    </row>
    <row r="43" spans="1:13" s="32" customFormat="1" ht="11.25" customHeight="1" x14ac:dyDescent="0.2">
      <c r="A43" s="27" t="s">
        <v>27</v>
      </c>
      <c r="B43" s="34" t="s">
        <v>26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D43+F43+'01-19-2023'!H42</f>
        <v>0</v>
      </c>
      <c r="I43" s="13">
        <f>E43+G43+'01-19-2023'!I42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hidden="1" customHeight="1" x14ac:dyDescent="0.2">
      <c r="A44" s="27" t="s">
        <v>25</v>
      </c>
      <c r="B44" s="34">
        <v>55110100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D44+F44+'01-19-2023'!H43</f>
        <v>0</v>
      </c>
      <c r="I44" s="13">
        <f>E44+G44+'01-19-2023'!I43</f>
        <v>0</v>
      </c>
      <c r="J44" s="21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2" customFormat="1" ht="11.25" customHeight="1" x14ac:dyDescent="0.2">
      <c r="A45" s="27" t="s">
        <v>24</v>
      </c>
      <c r="B45" s="86" t="s">
        <v>23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13">
        <f>D45+F45+'01-19-2023'!H44</f>
        <v>0</v>
      </c>
      <c r="I45" s="13">
        <f>E45+G45+'01-19-2023'!I44</f>
        <v>0</v>
      </c>
      <c r="J45" s="13">
        <f t="shared" si="10"/>
        <v>0</v>
      </c>
      <c r="K45" s="33">
        <f t="shared" si="11"/>
        <v>0</v>
      </c>
      <c r="L45" s="13">
        <f t="shared" si="12"/>
        <v>0</v>
      </c>
      <c r="M45" s="24"/>
    </row>
    <row r="46" spans="1:13" s="30" customFormat="1" ht="11.45" customHeight="1" x14ac:dyDescent="0.25">
      <c r="A46" s="27" t="s">
        <v>22</v>
      </c>
      <c r="B46" s="86" t="s">
        <v>21</v>
      </c>
      <c r="C46" s="13">
        <v>2770.95</v>
      </c>
      <c r="D46" s="14">
        <v>0</v>
      </c>
      <c r="E46" s="14">
        <v>0</v>
      </c>
      <c r="F46" s="14">
        <v>0</v>
      </c>
      <c r="G46" s="14">
        <v>0</v>
      </c>
      <c r="H46" s="13">
        <f>D46+F46+'01-19-2023'!H45</f>
        <v>0</v>
      </c>
      <c r="I46" s="13">
        <f>E46+G46+'01-19-2023'!I45</f>
        <v>0</v>
      </c>
      <c r="J46" s="13">
        <f t="shared" si="10"/>
        <v>0</v>
      </c>
      <c r="K46" s="13">
        <f t="shared" si="11"/>
        <v>2770.95</v>
      </c>
      <c r="L46" s="13">
        <f t="shared" si="12"/>
        <v>2770.95</v>
      </c>
      <c r="M46" s="28"/>
    </row>
    <row r="47" spans="1:13" s="30" customFormat="1" ht="11.45" customHeight="1" x14ac:dyDescent="0.25">
      <c r="A47" s="27" t="s">
        <v>20</v>
      </c>
      <c r="B47" s="86" t="s">
        <v>19</v>
      </c>
      <c r="C47" s="13">
        <v>6021.08</v>
      </c>
      <c r="D47" s="14">
        <v>58.91</v>
      </c>
      <c r="E47" s="14">
        <v>0.76</v>
      </c>
      <c r="F47" s="14">
        <v>0</v>
      </c>
      <c r="G47" s="14">
        <v>0</v>
      </c>
      <c r="H47" s="13">
        <f>D47+F47+'01-19-2023'!H46</f>
        <v>4323.1750000000002</v>
      </c>
      <c r="I47" s="13">
        <f>E47+G47+'01-19-2023'!I46</f>
        <v>56.11</v>
      </c>
      <c r="J47" s="13">
        <f t="shared" si="10"/>
        <v>4379.2849999999999</v>
      </c>
      <c r="K47" s="13">
        <f t="shared" si="11"/>
        <v>1641.7950000000001</v>
      </c>
      <c r="L47" s="13">
        <f t="shared" si="12"/>
        <v>-1569.6806666666671</v>
      </c>
      <c r="M47" s="28"/>
    </row>
    <row r="48" spans="1:13" s="30" customFormat="1" ht="11.45" customHeight="1" x14ac:dyDescent="0.2">
      <c r="A48" s="27" t="s">
        <v>18</v>
      </c>
      <c r="B48" s="31" t="s">
        <v>16</v>
      </c>
      <c r="C48" s="13">
        <f>10000+5000</f>
        <v>15000</v>
      </c>
      <c r="D48" s="14">
        <v>269.39999999999998</v>
      </c>
      <c r="E48" s="14">
        <v>3.49</v>
      </c>
      <c r="F48" s="14">
        <v>0</v>
      </c>
      <c r="G48" s="14">
        <v>0</v>
      </c>
      <c r="H48" s="13">
        <f>D48+F48+'01-19-2023'!H47</f>
        <v>3122.57</v>
      </c>
      <c r="I48" s="13">
        <f>E48+G48+'01-19-2023'!I47</f>
        <v>40.57</v>
      </c>
      <c r="J48" s="13">
        <f t="shared" si="10"/>
        <v>3163.1400000000003</v>
      </c>
      <c r="K48" s="13">
        <f t="shared" si="11"/>
        <v>11836.86</v>
      </c>
      <c r="L48" s="13">
        <f t="shared" si="12"/>
        <v>9517.2239999999983</v>
      </c>
      <c r="M48" s="24"/>
    </row>
    <row r="49" spans="1:13" s="30" customFormat="1" ht="11.45" customHeight="1" x14ac:dyDescent="0.2">
      <c r="A49" s="27" t="s">
        <v>17</v>
      </c>
      <c r="B49" s="31" t="s">
        <v>16</v>
      </c>
      <c r="C49" s="13">
        <f>294.43+700+700</f>
        <v>1694.43</v>
      </c>
      <c r="D49" s="14">
        <v>0</v>
      </c>
      <c r="E49" s="14">
        <v>0</v>
      </c>
      <c r="F49" s="14">
        <v>0</v>
      </c>
      <c r="G49" s="14">
        <v>0</v>
      </c>
      <c r="H49" s="13">
        <f>D49+F49+'01-19-2023'!H48</f>
        <v>1085.2</v>
      </c>
      <c r="I49" s="13">
        <f>E49+G49+'01-19-2023'!I48</f>
        <v>14.1</v>
      </c>
      <c r="J49" s="13">
        <f t="shared" si="10"/>
        <v>1099.3</v>
      </c>
      <c r="K49" s="13">
        <f t="shared" si="11"/>
        <v>595.13000000000011</v>
      </c>
      <c r="L49" s="13">
        <f t="shared" si="12"/>
        <v>-211.02333333333308</v>
      </c>
      <c r="M49" s="24"/>
    </row>
    <row r="50" spans="1:13" s="23" customFormat="1" ht="11.25" customHeight="1" x14ac:dyDescent="0.25">
      <c r="A50" s="27" t="s">
        <v>15</v>
      </c>
      <c r="B50" s="86" t="s">
        <v>14</v>
      </c>
      <c r="C50" s="13">
        <f>1686.24+250.84</f>
        <v>1937.08</v>
      </c>
      <c r="D50" s="14">
        <v>0</v>
      </c>
      <c r="E50" s="14">
        <v>0</v>
      </c>
      <c r="F50" s="14">
        <v>0</v>
      </c>
      <c r="G50" s="14">
        <v>0</v>
      </c>
      <c r="H50" s="13">
        <f>D50+F50+'01-19-2023'!H49</f>
        <v>1807</v>
      </c>
      <c r="I50" s="13">
        <f>E50+G50+'01-19-2023'!I49</f>
        <v>130.08000000000001</v>
      </c>
      <c r="J50" s="13">
        <f t="shared" si="10"/>
        <v>1937.08</v>
      </c>
      <c r="K50" s="13">
        <f t="shared" si="11"/>
        <v>0</v>
      </c>
      <c r="L50" s="13">
        <f t="shared" si="12"/>
        <v>-1420.5253333333335</v>
      </c>
      <c r="M50" s="74"/>
    </row>
    <row r="51" spans="1:13" s="23" customFormat="1" ht="11.25" customHeight="1" x14ac:dyDescent="0.25">
      <c r="A51" s="27" t="s">
        <v>13</v>
      </c>
      <c r="B51" s="86" t="s">
        <v>12</v>
      </c>
      <c r="C51" s="13">
        <f>3800+5500</f>
        <v>9300</v>
      </c>
      <c r="D51" s="14">
        <v>698.45</v>
      </c>
      <c r="E51" s="14">
        <v>9.06</v>
      </c>
      <c r="F51" s="14">
        <v>0</v>
      </c>
      <c r="G51" s="14">
        <v>0</v>
      </c>
      <c r="H51" s="13">
        <f>D51+F51+'01-19-2023'!H50</f>
        <v>5914.17</v>
      </c>
      <c r="I51" s="13">
        <f>E51+G51+'01-19-2023'!I50</f>
        <v>76.77</v>
      </c>
      <c r="J51" s="13">
        <f t="shared" si="10"/>
        <v>5990.9400000000005</v>
      </c>
      <c r="K51" s="13">
        <f t="shared" si="11"/>
        <v>3309.0599999999995</v>
      </c>
      <c r="L51" s="13">
        <f t="shared" si="12"/>
        <v>-1084.2960000000003</v>
      </c>
      <c r="M51" s="28"/>
    </row>
    <row r="52" spans="1:13" s="23" customFormat="1" ht="11.25" customHeight="1" x14ac:dyDescent="0.2">
      <c r="A52" s="27" t="s">
        <v>11</v>
      </c>
      <c r="B52" s="86" t="s">
        <v>10</v>
      </c>
      <c r="C52" s="13">
        <v>6800</v>
      </c>
      <c r="D52" s="14">
        <v>0</v>
      </c>
      <c r="E52" s="14">
        <v>0</v>
      </c>
      <c r="F52" s="14">
        <v>0</v>
      </c>
      <c r="G52" s="14">
        <v>0</v>
      </c>
      <c r="H52" s="13">
        <f>D52+F52+'01-19-2023'!H51</f>
        <v>2480</v>
      </c>
      <c r="I52" s="13">
        <f>E52+G52+'01-19-2023'!I51</f>
        <v>32.24</v>
      </c>
      <c r="J52" s="13">
        <f t="shared" si="10"/>
        <v>2512.2399999999998</v>
      </c>
      <c r="K52" s="13">
        <f t="shared" si="11"/>
        <v>4287.76</v>
      </c>
      <c r="L52" s="13">
        <f t="shared" si="12"/>
        <v>2445.4506666666666</v>
      </c>
      <c r="M52" s="24"/>
    </row>
    <row r="53" spans="1:13" s="23" customFormat="1" ht="11.25" customHeight="1" x14ac:dyDescent="0.2">
      <c r="A53" s="27" t="s">
        <v>9</v>
      </c>
      <c r="B53" s="86" t="s">
        <v>8</v>
      </c>
      <c r="C53" s="13">
        <v>1900</v>
      </c>
      <c r="D53" s="14">
        <v>0</v>
      </c>
      <c r="E53" s="14">
        <v>0</v>
      </c>
      <c r="F53" s="14">
        <v>0</v>
      </c>
      <c r="G53" s="14">
        <v>0</v>
      </c>
      <c r="H53" s="13">
        <f>D53+F53+'01-19-2023'!H52</f>
        <v>1574.72</v>
      </c>
      <c r="I53" s="13">
        <f>E53+G53+'01-19-2023'!I52</f>
        <v>113.33</v>
      </c>
      <c r="J53" s="13">
        <f t="shared" si="10"/>
        <v>1688.05</v>
      </c>
      <c r="K53" s="13">
        <f t="shared" si="11"/>
        <v>211.95000000000005</v>
      </c>
      <c r="L53" s="13">
        <f t="shared" si="12"/>
        <v>-1025.9533333333334</v>
      </c>
      <c r="M53" s="24"/>
    </row>
    <row r="54" spans="1:13" s="23" customFormat="1" ht="11.25" customHeight="1" x14ac:dyDescent="0.2">
      <c r="A54" s="27" t="s">
        <v>97</v>
      </c>
      <c r="B54" s="86" t="s">
        <v>98</v>
      </c>
      <c r="C54" s="13">
        <v>5937</v>
      </c>
      <c r="D54" s="77">
        <v>0</v>
      </c>
      <c r="E54" s="77">
        <v>0</v>
      </c>
      <c r="F54" s="77">
        <v>0</v>
      </c>
      <c r="G54" s="77">
        <v>0</v>
      </c>
      <c r="H54" s="13">
        <f>D54+F54+'01-19-2023'!H53</f>
        <v>0</v>
      </c>
      <c r="I54" s="13">
        <f>E54+G54+'01-19-2023'!I53</f>
        <v>0</v>
      </c>
      <c r="J54" s="13">
        <f t="shared" si="10"/>
        <v>0</v>
      </c>
      <c r="K54" s="13">
        <f t="shared" si="11"/>
        <v>5937</v>
      </c>
      <c r="L54" s="13">
        <f t="shared" si="12"/>
        <v>5937</v>
      </c>
      <c r="M54" s="24"/>
    </row>
    <row r="55" spans="1:13" s="23" customFormat="1" ht="11.25" customHeight="1" x14ac:dyDescent="0.2">
      <c r="A55" s="27" t="s">
        <v>7</v>
      </c>
      <c r="B55" s="86" t="s">
        <v>6</v>
      </c>
      <c r="C55" s="25">
        <v>303.89999999999998</v>
      </c>
      <c r="D55" s="14">
        <v>0</v>
      </c>
      <c r="E55" s="14">
        <v>0</v>
      </c>
      <c r="F55" s="14">
        <v>0</v>
      </c>
      <c r="G55" s="14">
        <v>0</v>
      </c>
      <c r="H55" s="13">
        <f>D55+F55+'01-19-2023'!H54</f>
        <v>0</v>
      </c>
      <c r="I55" s="13">
        <f>E55+G55+'01-19-2023'!I54</f>
        <v>0</v>
      </c>
      <c r="J55" s="13">
        <f t="shared" si="10"/>
        <v>0</v>
      </c>
      <c r="K55" s="13">
        <f t="shared" si="11"/>
        <v>303.89999999999998</v>
      </c>
      <c r="L55" s="13">
        <f t="shared" si="12"/>
        <v>303.89999999999998</v>
      </c>
      <c r="M55" s="24"/>
    </row>
    <row r="56" spans="1:13" s="23" customFormat="1" ht="11.25" customHeight="1" x14ac:dyDescent="0.2">
      <c r="A56" s="27" t="s">
        <v>82</v>
      </c>
      <c r="B56" s="86" t="s">
        <v>83</v>
      </c>
      <c r="C56" s="25">
        <v>6300</v>
      </c>
      <c r="D56" s="14">
        <v>0</v>
      </c>
      <c r="E56" s="14">
        <v>0</v>
      </c>
      <c r="F56" s="14">
        <v>0</v>
      </c>
      <c r="G56" s="14">
        <v>0</v>
      </c>
      <c r="H56" s="13">
        <f>D56+F56+'01-19-2023'!H55</f>
        <v>0</v>
      </c>
      <c r="I56" s="13">
        <f>E56+G56+'01-19-2023'!I55</f>
        <v>0</v>
      </c>
      <c r="J56" s="13">
        <f t="shared" si="10"/>
        <v>0</v>
      </c>
      <c r="K56" s="13">
        <f t="shared" si="11"/>
        <v>6300</v>
      </c>
      <c r="L56" s="13">
        <f t="shared" si="12"/>
        <v>6300</v>
      </c>
      <c r="M56" s="24"/>
    </row>
    <row r="57" spans="1:13" s="23" customFormat="1" ht="11.25" customHeight="1" x14ac:dyDescent="0.2">
      <c r="A57" s="27" t="s">
        <v>85</v>
      </c>
      <c r="B57" s="86" t="s">
        <v>88</v>
      </c>
      <c r="C57" s="25">
        <v>7467.05</v>
      </c>
      <c r="D57" s="14">
        <v>0</v>
      </c>
      <c r="E57" s="14">
        <v>0</v>
      </c>
      <c r="F57" s="14">
        <v>250</v>
      </c>
      <c r="G57" s="14">
        <v>18</v>
      </c>
      <c r="H57" s="13">
        <f>D57+F57+'01-19-2023'!H56</f>
        <v>2225</v>
      </c>
      <c r="I57" s="13">
        <f>E57+G57+'01-19-2023'!I56</f>
        <v>160.19999999999999</v>
      </c>
      <c r="J57" s="13">
        <f t="shared" si="10"/>
        <v>2385.1999999999998</v>
      </c>
      <c r="K57" s="13">
        <f t="shared" si="11"/>
        <v>5081.8500000000004</v>
      </c>
      <c r="L57" s="13">
        <f t="shared" si="12"/>
        <v>3332.7033333333338</v>
      </c>
      <c r="M57" s="24"/>
    </row>
    <row r="58" spans="1:13" ht="21.6" customHeight="1" x14ac:dyDescent="0.25">
      <c r="A58" s="94" t="s">
        <v>5</v>
      </c>
      <c r="B58" s="95"/>
      <c r="C58" s="10">
        <f>SUM(C36:C57)</f>
        <v>87808.53</v>
      </c>
      <c r="D58" s="10">
        <f t="shared" ref="D58:K58" si="16">SUM(D36:D57)</f>
        <v>1942.6499999999999</v>
      </c>
      <c r="E58" s="10">
        <f t="shared" si="16"/>
        <v>25.200000000000003</v>
      </c>
      <c r="F58" s="10">
        <f t="shared" si="16"/>
        <v>1610</v>
      </c>
      <c r="G58" s="10">
        <f t="shared" si="16"/>
        <v>115.91</v>
      </c>
      <c r="H58" s="10">
        <f t="shared" si="16"/>
        <v>29445.095000000001</v>
      </c>
      <c r="I58" s="10">
        <f t="shared" si="16"/>
        <v>1411.7700000000002</v>
      </c>
      <c r="J58" s="10">
        <f t="shared" si="16"/>
        <v>30856.864999999998</v>
      </c>
      <c r="K58" s="10">
        <f t="shared" si="16"/>
        <v>56951.665000000001</v>
      </c>
      <c r="L58" s="10">
        <f>SUM(L36:L57)</f>
        <v>34323.297333333328</v>
      </c>
      <c r="M58" s="22"/>
    </row>
    <row r="59" spans="1:13" ht="10.9" customHeight="1" x14ac:dyDescent="0.25">
      <c r="A59" s="19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22"/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3" s="11" customFormat="1" ht="10.9" customHeight="1" x14ac:dyDescent="0.25">
      <c r="A61" s="16" t="s">
        <v>4</v>
      </c>
      <c r="B61" s="15" t="s">
        <v>3</v>
      </c>
      <c r="C61" s="13">
        <v>62583</v>
      </c>
      <c r="D61" s="13">
        <v>2515.91</v>
      </c>
      <c r="E61" s="13">
        <v>32.69</v>
      </c>
      <c r="F61" s="13">
        <v>0</v>
      </c>
      <c r="G61" s="13">
        <v>0</v>
      </c>
      <c r="H61" s="13">
        <f>D61+F61+'01-19-2023'!H60</f>
        <v>25857.74</v>
      </c>
      <c r="I61" s="13">
        <f>E61+G61+'01-19-2023'!I60</f>
        <v>335.99999999999994</v>
      </c>
      <c r="J61" s="13">
        <f>H61+I61</f>
        <v>26193.74</v>
      </c>
      <c r="K61" s="13">
        <f>C61-J61</f>
        <v>36389.259999999995</v>
      </c>
      <c r="L61" s="13">
        <f t="shared" ref="L61:L62" si="17">C61-((J61/15)*26)</f>
        <v>17180.51733333333</v>
      </c>
      <c r="M61" s="12"/>
    </row>
    <row r="62" spans="1:13" s="11" customFormat="1" ht="10.9" customHeight="1" x14ac:dyDescent="0.25">
      <c r="A62" s="16" t="s">
        <v>76</v>
      </c>
      <c r="B62" s="15" t="s">
        <v>102</v>
      </c>
      <c r="C62" s="13">
        <v>1000</v>
      </c>
      <c r="D62" s="14">
        <v>281.25</v>
      </c>
      <c r="E62" s="14">
        <v>3.65</v>
      </c>
      <c r="F62" s="14">
        <v>0</v>
      </c>
      <c r="G62" s="14">
        <v>0</v>
      </c>
      <c r="H62" s="13">
        <f>D62+F62+'01-19-2023'!H61</f>
        <v>281.25</v>
      </c>
      <c r="I62" s="13">
        <f>E62+G62+'01-19-2023'!I61</f>
        <v>3.65</v>
      </c>
      <c r="J62" s="13">
        <f>H62+I62</f>
        <v>284.89999999999998</v>
      </c>
      <c r="K62" s="13">
        <f>C62-J62</f>
        <v>715.1</v>
      </c>
      <c r="L62" s="13">
        <f t="shared" si="17"/>
        <v>506.17333333333335</v>
      </c>
      <c r="M62" s="12"/>
    </row>
    <row r="63" spans="1:13" ht="21.6" customHeight="1" x14ac:dyDescent="0.25">
      <c r="A63" s="94" t="s">
        <v>2</v>
      </c>
      <c r="B63" s="95"/>
      <c r="C63" s="20">
        <f>SUM(C61:C62)</f>
        <v>63583</v>
      </c>
      <c r="D63" s="20">
        <f>SUM(D61:D62)</f>
        <v>2797.16</v>
      </c>
      <c r="E63" s="20">
        <f>SUM(E61:E62)</f>
        <v>36.339999999999996</v>
      </c>
      <c r="F63" s="20">
        <f>SUM(F61:F62)</f>
        <v>0</v>
      </c>
      <c r="G63" s="20">
        <f>SUM(G61:G62)</f>
        <v>0</v>
      </c>
      <c r="H63" s="20">
        <f t="shared" ref="H63:L63" si="18">SUM(H61:H62)</f>
        <v>26138.99</v>
      </c>
      <c r="I63" s="20">
        <f t="shared" si="18"/>
        <v>339.64999999999992</v>
      </c>
      <c r="J63" s="20">
        <f t="shared" si="18"/>
        <v>26478.640000000003</v>
      </c>
      <c r="K63" s="20">
        <f t="shared" si="18"/>
        <v>37104.359999999993</v>
      </c>
      <c r="L63" s="20">
        <f t="shared" si="18"/>
        <v>17686.690666666662</v>
      </c>
    </row>
    <row r="64" spans="1:13" ht="10.9" customHeight="1" x14ac:dyDescent="0.25">
      <c r="A64" s="19"/>
      <c r="B64" s="18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8" ht="10.9" customHeight="1" x14ac:dyDescent="0.25">
      <c r="A65" s="19"/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8" s="11" customFormat="1" ht="10.9" customHeight="1" x14ac:dyDescent="0.25">
      <c r="A66" s="16" t="s">
        <v>1</v>
      </c>
      <c r="B66" s="15">
        <v>55180000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13">
        <f>D66+F66+'01-19-2023'!H65</f>
        <v>0</v>
      </c>
      <c r="I66" s="13">
        <f>E66+G66+'01-19-2023'!I65</f>
        <v>0</v>
      </c>
      <c r="J66" s="13">
        <f>H66+I66</f>
        <v>0</v>
      </c>
      <c r="K66" s="13">
        <f>C66-J66</f>
        <v>0</v>
      </c>
      <c r="L66" s="13">
        <f>C66-((J66/15)*26)</f>
        <v>0</v>
      </c>
      <c r="M66" s="12"/>
    </row>
    <row r="67" spans="1:18" s="5" customFormat="1" ht="21.6" customHeight="1" x14ac:dyDescent="0.25">
      <c r="A67" s="94" t="s">
        <v>0</v>
      </c>
      <c r="B67" s="95"/>
      <c r="C67" s="10">
        <f t="shared" ref="C67:L67" si="19">SUM(C66)</f>
        <v>0</v>
      </c>
      <c r="D67" s="10">
        <f t="shared" si="19"/>
        <v>0</v>
      </c>
      <c r="E67" s="10">
        <f t="shared" si="19"/>
        <v>0</v>
      </c>
      <c r="F67" s="10">
        <f t="shared" si="19"/>
        <v>0</v>
      </c>
      <c r="G67" s="10">
        <f t="shared" si="19"/>
        <v>0</v>
      </c>
      <c r="H67" s="10">
        <f t="shared" si="19"/>
        <v>0</v>
      </c>
      <c r="I67" s="10">
        <f t="shared" si="19"/>
        <v>0</v>
      </c>
      <c r="J67" s="10">
        <f t="shared" si="19"/>
        <v>0</v>
      </c>
      <c r="K67" s="10">
        <f t="shared" si="19"/>
        <v>0</v>
      </c>
      <c r="L67" s="10">
        <f t="shared" si="19"/>
        <v>0</v>
      </c>
      <c r="M67" s="6"/>
    </row>
    <row r="68" spans="1:18" s="5" customFormat="1" ht="11.25" customHeight="1" x14ac:dyDescent="0.25">
      <c r="A68" s="9"/>
      <c r="B68" s="8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18" ht="10.5" customHeight="1" x14ac:dyDescent="0.25">
      <c r="A69" s="101" t="s">
        <v>80</v>
      </c>
      <c r="B69" s="101"/>
      <c r="C69" s="101"/>
      <c r="D69" s="101"/>
      <c r="E69" s="101"/>
      <c r="F69" s="101"/>
      <c r="G69" s="79">
        <v>700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78</v>
      </c>
      <c r="B70" s="101"/>
      <c r="C70" s="101"/>
      <c r="D70" s="101"/>
      <c r="E70" s="101"/>
      <c r="F70" s="101"/>
      <c r="G70" s="79">
        <v>15000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79</v>
      </c>
      <c r="B71" s="101"/>
      <c r="C71" s="101"/>
      <c r="D71" s="101"/>
      <c r="E71" s="101"/>
      <c r="F71" s="101"/>
      <c r="G71" s="79">
        <v>3800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81</v>
      </c>
      <c r="B72" s="101"/>
      <c r="C72" s="101"/>
      <c r="D72" s="101"/>
      <c r="E72" s="101"/>
      <c r="F72" s="101"/>
      <c r="G72" s="79">
        <v>5000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84</v>
      </c>
      <c r="B73" s="101"/>
      <c r="C73" s="101"/>
      <c r="D73" s="101"/>
      <c r="E73" s="101"/>
      <c r="F73" s="101"/>
      <c r="G73" s="79">
        <v>6300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87</v>
      </c>
      <c r="B74" s="101"/>
      <c r="C74" s="101"/>
      <c r="D74" s="101"/>
      <c r="E74" s="101"/>
      <c r="F74" s="101"/>
      <c r="G74" s="79">
        <v>7467.05</v>
      </c>
      <c r="M74" s="102"/>
      <c r="N74" s="102"/>
      <c r="O74" s="102"/>
      <c r="P74" s="102"/>
      <c r="Q74" s="102"/>
      <c r="R74" s="102"/>
    </row>
    <row r="75" spans="1:18" ht="10.5" customHeight="1" x14ac:dyDescent="0.25">
      <c r="A75" s="101" t="s">
        <v>89</v>
      </c>
      <c r="B75" s="101"/>
      <c r="C75" s="101"/>
      <c r="D75" s="101"/>
      <c r="E75" s="101"/>
      <c r="F75" s="101"/>
      <c r="G75" s="79">
        <v>5500</v>
      </c>
      <c r="M75" s="102"/>
      <c r="N75" s="102"/>
      <c r="O75" s="102"/>
      <c r="P75" s="102"/>
      <c r="Q75" s="102"/>
      <c r="R75" s="102"/>
    </row>
    <row r="76" spans="1:18" ht="10.5" customHeight="1" x14ac:dyDescent="0.25">
      <c r="A76" s="101" t="s">
        <v>92</v>
      </c>
      <c r="B76" s="101"/>
      <c r="C76" s="101"/>
      <c r="D76" s="101"/>
      <c r="E76" s="101"/>
      <c r="F76" s="101"/>
      <c r="G76" s="79">
        <v>3400</v>
      </c>
      <c r="M76" s="102"/>
      <c r="N76" s="102"/>
      <c r="O76" s="102"/>
      <c r="P76" s="102"/>
      <c r="Q76" s="102"/>
      <c r="R76" s="102"/>
    </row>
    <row r="77" spans="1:18" ht="10.5" customHeight="1" x14ac:dyDescent="0.25">
      <c r="A77" s="101" t="s">
        <v>91</v>
      </c>
      <c r="B77" s="101"/>
      <c r="C77" s="101"/>
      <c r="D77" s="101"/>
      <c r="E77" s="101"/>
      <c r="F77" s="101"/>
      <c r="G77" s="79">
        <v>5000</v>
      </c>
      <c r="M77" s="102"/>
      <c r="N77" s="102"/>
      <c r="O77" s="102"/>
      <c r="P77" s="102"/>
      <c r="Q77" s="102"/>
      <c r="R77" s="102"/>
    </row>
    <row r="78" spans="1:18" ht="10.5" customHeight="1" x14ac:dyDescent="0.25">
      <c r="A78" s="101" t="s">
        <v>93</v>
      </c>
      <c r="B78" s="101"/>
      <c r="C78" s="101"/>
      <c r="D78" s="101"/>
      <c r="E78" s="101"/>
      <c r="F78" s="101"/>
      <c r="G78" s="79">
        <v>12340</v>
      </c>
      <c r="M78" s="102"/>
      <c r="N78" s="102"/>
      <c r="O78" s="102"/>
      <c r="P78" s="102"/>
      <c r="Q78" s="102"/>
      <c r="R78" s="102"/>
    </row>
    <row r="79" spans="1:18" ht="10.5" customHeight="1" x14ac:dyDescent="0.25">
      <c r="A79" s="101" t="s">
        <v>94</v>
      </c>
      <c r="B79" s="101"/>
      <c r="C79" s="101"/>
      <c r="D79" s="101"/>
      <c r="E79" s="101"/>
      <c r="F79" s="101"/>
      <c r="G79" s="79">
        <v>5000</v>
      </c>
      <c r="M79" s="102"/>
      <c r="N79" s="102"/>
      <c r="O79" s="102"/>
      <c r="P79" s="102"/>
      <c r="Q79" s="102"/>
      <c r="R79" s="102"/>
    </row>
    <row r="80" spans="1:18" ht="10.5" customHeight="1" x14ac:dyDescent="0.25">
      <c r="A80" s="101" t="s">
        <v>95</v>
      </c>
      <c r="B80" s="101"/>
      <c r="C80" s="101"/>
      <c r="D80" s="101"/>
      <c r="E80" s="101"/>
      <c r="F80" s="101"/>
      <c r="G80" s="79">
        <v>12000</v>
      </c>
      <c r="M80" s="102"/>
      <c r="N80" s="102"/>
      <c r="O80" s="102"/>
      <c r="P80" s="102"/>
      <c r="Q80" s="102"/>
      <c r="R80" s="102"/>
    </row>
    <row r="81" spans="1:18" ht="10.5" customHeight="1" x14ac:dyDescent="0.25">
      <c r="A81" s="101" t="s">
        <v>96</v>
      </c>
      <c r="B81" s="101"/>
      <c r="C81" s="101"/>
      <c r="D81" s="101"/>
      <c r="E81" s="101"/>
      <c r="F81" s="101"/>
      <c r="G81" s="79">
        <v>5937</v>
      </c>
      <c r="M81" s="102"/>
      <c r="N81" s="102"/>
      <c r="O81" s="102"/>
      <c r="P81" s="102"/>
      <c r="Q81" s="102"/>
      <c r="R81" s="102"/>
    </row>
    <row r="82" spans="1:18" ht="10.5" customHeight="1" x14ac:dyDescent="0.25">
      <c r="A82" s="101" t="s">
        <v>101</v>
      </c>
      <c r="B82" s="101"/>
      <c r="C82" s="101"/>
      <c r="D82" s="101"/>
      <c r="E82" s="101"/>
      <c r="F82" s="101"/>
      <c r="G82" s="79">
        <v>2877.04</v>
      </c>
      <c r="M82" s="102"/>
      <c r="N82" s="102"/>
      <c r="O82" s="102"/>
      <c r="P82" s="102"/>
      <c r="Q82" s="102"/>
      <c r="R82" s="102"/>
    </row>
    <row r="129" spans="13:13" x14ac:dyDescent="0.25">
      <c r="M129" s="2">
        <f>SUM(M34:M127)</f>
        <v>0</v>
      </c>
    </row>
  </sheetData>
  <mergeCells count="36">
    <mergeCell ref="A81:F81"/>
    <mergeCell ref="M81:R81"/>
    <mergeCell ref="A77:F77"/>
    <mergeCell ref="M77:R77"/>
    <mergeCell ref="A78:F78"/>
    <mergeCell ref="M78:R78"/>
    <mergeCell ref="A79:F79"/>
    <mergeCell ref="M79:R79"/>
    <mergeCell ref="A75:F75"/>
    <mergeCell ref="M75:R75"/>
    <mergeCell ref="A76:F76"/>
    <mergeCell ref="M76:R76"/>
    <mergeCell ref="A80:F80"/>
    <mergeCell ref="M80:R80"/>
    <mergeCell ref="A72:F72"/>
    <mergeCell ref="M72:R72"/>
    <mergeCell ref="A73:F73"/>
    <mergeCell ref="M73:R73"/>
    <mergeCell ref="A74:F74"/>
    <mergeCell ref="M74:R74"/>
    <mergeCell ref="A82:F82"/>
    <mergeCell ref="M82:R82"/>
    <mergeCell ref="A58:B58"/>
    <mergeCell ref="A5:B5"/>
    <mergeCell ref="A17:B17"/>
    <mergeCell ref="A23:B23"/>
    <mergeCell ref="A30:B30"/>
    <mergeCell ref="A33:B33"/>
    <mergeCell ref="A63:B63"/>
    <mergeCell ref="A67:B67"/>
    <mergeCell ref="A69:F69"/>
    <mergeCell ref="M69:R69"/>
    <mergeCell ref="A70:F70"/>
    <mergeCell ref="M70:R70"/>
    <mergeCell ref="A71:F71"/>
    <mergeCell ref="M71:R71"/>
  </mergeCells>
  <pageMargins left="0.25" right="0" top="0.4" bottom="0" header="0.3" footer="0"/>
  <pageSetup scale="72" fitToWidth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020F-3CC9-467B-A740-13C64E8CA33E}">
  <sheetPr>
    <pageSetUpPr fitToPage="1"/>
  </sheetPr>
  <dimension ref="A1:R130"/>
  <sheetViews>
    <sheetView zoomScale="160" zoomScaleNormal="160" workbookViewId="0">
      <pane ySplit="2" topLeftCell="A3" activePane="bottomLeft" state="frozen"/>
      <selection pane="bottomLeft" activeCell="E3" sqref="E3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8.140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44973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270</v>
      </c>
      <c r="E3" s="14">
        <v>3.51</v>
      </c>
      <c r="F3" s="14">
        <v>0</v>
      </c>
      <c r="G3" s="14">
        <v>0</v>
      </c>
      <c r="H3" s="13">
        <f>D3+F3+'02-02-2023'!H3</f>
        <v>3478</v>
      </c>
      <c r="I3" s="13">
        <f>E3+G3+'02-02-2023'!I3</f>
        <v>234.44</v>
      </c>
      <c r="J3" s="13">
        <f>H3+I3</f>
        <v>3712.44</v>
      </c>
      <c r="K3" s="13">
        <f>C3-J3</f>
        <v>7087.5599999999995</v>
      </c>
      <c r="L3" s="13">
        <f>C3-((J3/16)*26)</f>
        <v>4767.2849999999999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1410</v>
      </c>
      <c r="G4" s="14">
        <v>101.52</v>
      </c>
      <c r="H4" s="13">
        <f>D4+F4+'02-02-2023'!H4</f>
        <v>15740</v>
      </c>
      <c r="I4" s="13">
        <f>E4+G4+'02-02-2023'!I4</f>
        <v>1126.18</v>
      </c>
      <c r="J4" s="13">
        <f>H4+I4</f>
        <v>16866.18</v>
      </c>
      <c r="K4" s="87">
        <f>C4-J4</f>
        <v>-7266.18</v>
      </c>
      <c r="L4" s="13">
        <f>C4-((J4/16)*26)</f>
        <v>-17807.5425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270</v>
      </c>
      <c r="E5" s="55">
        <f t="shared" si="0"/>
        <v>3.51</v>
      </c>
      <c r="F5" s="55">
        <f t="shared" si="0"/>
        <v>1410</v>
      </c>
      <c r="G5" s="55">
        <f t="shared" si="0"/>
        <v>101.52</v>
      </c>
      <c r="H5" s="55">
        <f t="shared" si="0"/>
        <v>19218</v>
      </c>
      <c r="I5" s="55">
        <f t="shared" si="0"/>
        <v>1360.6200000000001</v>
      </c>
      <c r="J5" s="55">
        <f t="shared" si="0"/>
        <v>20578.62</v>
      </c>
      <c r="K5" s="55">
        <f t="shared" si="0"/>
        <v>-178.6200000000008</v>
      </c>
      <c r="L5" s="55">
        <f t="shared" si="0"/>
        <v>-13040.2575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D8+F8+'02-02-2023'!H8</f>
        <v>0</v>
      </c>
      <c r="I8" s="13">
        <f>E8+G8+'02-02-2023'!I8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C8-((J8/16)*26)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679.72</v>
      </c>
      <c r="E9" s="21">
        <v>8.83</v>
      </c>
      <c r="F9" s="21">
        <v>0</v>
      </c>
      <c r="G9" s="21">
        <v>0</v>
      </c>
      <c r="H9" s="13">
        <f>D9+F9+'02-02-2023'!H9</f>
        <v>12176.460000000001</v>
      </c>
      <c r="I9" s="13">
        <f>E9+G9+'02-02-2023'!I9</f>
        <v>199.89</v>
      </c>
      <c r="J9" s="13">
        <f t="shared" si="1"/>
        <v>12376.35</v>
      </c>
      <c r="K9" s="13">
        <f t="shared" si="2"/>
        <v>12272.65</v>
      </c>
      <c r="L9" s="13">
        <f t="shared" si="3"/>
        <v>4537.4312499999978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17974+3400+12340</f>
        <v>33714</v>
      </c>
      <c r="D10" s="21">
        <v>832.82</v>
      </c>
      <c r="E10" s="21">
        <v>10.82</v>
      </c>
      <c r="F10" s="21">
        <v>1427.2</v>
      </c>
      <c r="G10" s="21">
        <v>102.75</v>
      </c>
      <c r="H10" s="13">
        <f>D10+F10+'02-02-2023'!H10</f>
        <v>28638.47</v>
      </c>
      <c r="I10" s="13">
        <f>E10+G10+'02-02-2023'!I10</f>
        <v>1414.54</v>
      </c>
      <c r="J10" s="13">
        <f t="shared" si="1"/>
        <v>30053.010000000002</v>
      </c>
      <c r="K10" s="13">
        <f t="shared" si="2"/>
        <v>3660.989999999998</v>
      </c>
      <c r="L10" s="13">
        <f t="shared" si="3"/>
        <v>-15122.141250000001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189.2</v>
      </c>
      <c r="E11" s="21">
        <v>2.4500000000000002</v>
      </c>
      <c r="F11" s="21">
        <v>0</v>
      </c>
      <c r="G11" s="21">
        <v>0</v>
      </c>
      <c r="H11" s="13">
        <f>D11+F11+'02-02-2023'!H11</f>
        <v>8325.6200000000008</v>
      </c>
      <c r="I11" s="13">
        <f>E11+G11+'02-02-2023'!I11</f>
        <v>108.13000000000002</v>
      </c>
      <c r="J11" s="13">
        <f t="shared" si="1"/>
        <v>8433.75</v>
      </c>
      <c r="K11" s="13">
        <f t="shared" si="2"/>
        <v>9540.25</v>
      </c>
      <c r="L11" s="13">
        <f t="shared" si="3"/>
        <v>4269.15625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f>583.55+2021.96</f>
        <v>2605.5100000000002</v>
      </c>
      <c r="E12" s="21">
        <f>7.58+26.28</f>
        <v>33.86</v>
      </c>
      <c r="F12" s="21">
        <v>0</v>
      </c>
      <c r="G12" s="21">
        <v>0</v>
      </c>
      <c r="H12" s="13">
        <f>D12+F12+'02-02-2023'!H12</f>
        <v>20749.900000000001</v>
      </c>
      <c r="I12" s="13">
        <f>E12+G12+'02-02-2023'!I12</f>
        <v>269.59000000000003</v>
      </c>
      <c r="J12" s="13">
        <f t="shared" si="1"/>
        <v>21019.49</v>
      </c>
      <c r="K12" s="13">
        <f t="shared" si="2"/>
        <v>3310.5099999999984</v>
      </c>
      <c r="L12" s="13">
        <f t="shared" si="3"/>
        <v>-9826.6712499999994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1438.84</v>
      </c>
      <c r="E13" s="13">
        <v>18.7</v>
      </c>
      <c r="F13" s="13">
        <v>0</v>
      </c>
      <c r="G13" s="13">
        <v>0</v>
      </c>
      <c r="H13" s="13">
        <f>D13+F13+'02-02-2023'!H13</f>
        <v>23561.39</v>
      </c>
      <c r="I13" s="13">
        <f>E13+G13+'02-02-2023'!I13</f>
        <v>306.13000000000005</v>
      </c>
      <c r="J13" s="13">
        <f t="shared" si="1"/>
        <v>23867.52</v>
      </c>
      <c r="K13" s="13">
        <f t="shared" si="2"/>
        <v>10132.48</v>
      </c>
      <c r="L13" s="13">
        <f t="shared" si="3"/>
        <v>-4784.7200000000012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f>42741+5000</f>
        <v>47741</v>
      </c>
      <c r="D14" s="14">
        <f>-78.89+1192.65</f>
        <v>1113.76</v>
      </c>
      <c r="E14" s="14">
        <f>-1.02+15.5</f>
        <v>14.48</v>
      </c>
      <c r="F14" s="14">
        <v>0</v>
      </c>
      <c r="G14" s="14">
        <v>0</v>
      </c>
      <c r="H14" s="13">
        <f>D14+F14+'02-02-2023'!H14</f>
        <v>28140.559999999994</v>
      </c>
      <c r="I14" s="13">
        <f>E14+G14+'02-02-2023'!I14</f>
        <v>601.38</v>
      </c>
      <c r="J14" s="13">
        <f t="shared" si="1"/>
        <v>28741.939999999995</v>
      </c>
      <c r="K14" s="13">
        <f t="shared" si="2"/>
        <v>18999.060000000005</v>
      </c>
      <c r="L14" s="13">
        <f t="shared" si="3"/>
        <v>1035.3475000000108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731.84</v>
      </c>
      <c r="E15" s="21">
        <v>9.51</v>
      </c>
      <c r="F15" s="21">
        <v>0</v>
      </c>
      <c r="G15" s="21">
        <v>0</v>
      </c>
      <c r="H15" s="13">
        <f>D15+F15+'02-02-2023'!H15</f>
        <v>7976.0399999999991</v>
      </c>
      <c r="I15" s="13">
        <f>E15+G15+'02-02-2023'!I15</f>
        <v>103.57000000000001</v>
      </c>
      <c r="J15" s="13">
        <f t="shared" si="1"/>
        <v>8079.6099999999988</v>
      </c>
      <c r="K15" s="13">
        <f t="shared" si="2"/>
        <v>16093.390000000001</v>
      </c>
      <c r="L15" s="13">
        <f t="shared" si="3"/>
        <v>11043.633750000003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14">
        <f>153.34+245.35</f>
        <v>398.69</v>
      </c>
      <c r="E16" s="14">
        <f>1.99+3.18</f>
        <v>5.17</v>
      </c>
      <c r="F16" s="14">
        <v>0</v>
      </c>
      <c r="G16" s="14">
        <v>0</v>
      </c>
      <c r="H16" s="13">
        <f>D16+F16+'02-02-2023'!H16</f>
        <v>2232.2199999999998</v>
      </c>
      <c r="I16" s="13">
        <f>E16+G16+'02-02-2023'!I16</f>
        <v>30.660000000000004</v>
      </c>
      <c r="J16" s="13">
        <f t="shared" si="1"/>
        <v>2262.8799999999997</v>
      </c>
      <c r="K16" s="13">
        <f t="shared" si="2"/>
        <v>3737.1200000000003</v>
      </c>
      <c r="L16" s="13">
        <f t="shared" si="3"/>
        <v>2322.8200000000006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215498</v>
      </c>
      <c r="D17" s="55">
        <f t="shared" ref="D17:L17" si="4">SUM(D8:D16)</f>
        <v>7990.38</v>
      </c>
      <c r="E17" s="55">
        <f t="shared" si="4"/>
        <v>103.82000000000001</v>
      </c>
      <c r="F17" s="55">
        <f t="shared" si="4"/>
        <v>1427.2</v>
      </c>
      <c r="G17" s="55">
        <f t="shared" si="4"/>
        <v>102.75</v>
      </c>
      <c r="H17" s="55">
        <f t="shared" si="4"/>
        <v>131800.66</v>
      </c>
      <c r="I17" s="55">
        <f t="shared" si="4"/>
        <v>3033.8900000000003</v>
      </c>
      <c r="J17" s="55">
        <f t="shared" si="4"/>
        <v>134834.54999999999</v>
      </c>
      <c r="K17" s="55">
        <f t="shared" si="4"/>
        <v>80663.45</v>
      </c>
      <c r="L17" s="55">
        <f t="shared" si="4"/>
        <v>-3608.1437499999893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D20+F20+'02-02-2023'!H20</f>
        <v>0</v>
      </c>
      <c r="I20" s="13">
        <f>E20+G20+'02-02-2023'!I20</f>
        <v>0</v>
      </c>
      <c r="J20" s="13">
        <f>H20+I20</f>
        <v>0</v>
      </c>
      <c r="K20" s="13">
        <f>C20-J20</f>
        <v>2109</v>
      </c>
      <c r="L20" s="13">
        <f t="shared" ref="L20:L22" si="5">C20-((J20/16)*26)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803.16</v>
      </c>
      <c r="E21" s="14">
        <v>10.44</v>
      </c>
      <c r="F21" s="14">
        <v>1370.36</v>
      </c>
      <c r="G21" s="14">
        <v>98.66</v>
      </c>
      <c r="H21" s="13">
        <f>D21+F21+'02-02-2023'!H21</f>
        <v>20430.090000000004</v>
      </c>
      <c r="I21" s="13">
        <f>E21+G21+'02-02-2023'!I21</f>
        <v>893.03000000000009</v>
      </c>
      <c r="J21" s="13">
        <f>H21+I21</f>
        <v>21323.120000000003</v>
      </c>
      <c r="K21" s="13">
        <f>C21-J21</f>
        <v>3676.8799999999974</v>
      </c>
      <c r="L21" s="13">
        <f t="shared" si="5"/>
        <v>-9650.070000000007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386.54</v>
      </c>
      <c r="E22" s="14">
        <v>5.0199999999999996</v>
      </c>
      <c r="F22" s="14">
        <v>0</v>
      </c>
      <c r="G22" s="14">
        <v>0</v>
      </c>
      <c r="H22" s="13">
        <f>D22+F22+'02-02-2023'!H22</f>
        <v>3538.85</v>
      </c>
      <c r="I22" s="13">
        <f>E22+G22+'02-02-2023'!I22</f>
        <v>45.989999999999995</v>
      </c>
      <c r="J22" s="13">
        <f>H22+I22</f>
        <v>3584.8399999999997</v>
      </c>
      <c r="K22" s="13">
        <f>C22-J22</f>
        <v>8415.16</v>
      </c>
      <c r="L22" s="13">
        <f t="shared" si="5"/>
        <v>6174.6350000000002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1189.7</v>
      </c>
      <c r="E23" s="10">
        <f t="shared" si="6"/>
        <v>15.459999999999999</v>
      </c>
      <c r="F23" s="10">
        <f t="shared" si="6"/>
        <v>1370.36</v>
      </c>
      <c r="G23" s="10">
        <f t="shared" si="6"/>
        <v>98.66</v>
      </c>
      <c r="H23" s="10">
        <f t="shared" si="6"/>
        <v>23968.940000000002</v>
      </c>
      <c r="I23" s="10">
        <f t="shared" si="6"/>
        <v>939.0200000000001</v>
      </c>
      <c r="J23" s="10">
        <f t="shared" si="6"/>
        <v>24907.960000000003</v>
      </c>
      <c r="K23" s="10">
        <f t="shared" si="6"/>
        <v>14201.039999999997</v>
      </c>
      <c r="L23" s="10">
        <f t="shared" si="6"/>
        <v>-1366.4350000000068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503.13</v>
      </c>
      <c r="E26" s="14">
        <v>6.53</v>
      </c>
      <c r="F26" s="14">
        <v>0</v>
      </c>
      <c r="G26" s="14">
        <v>0</v>
      </c>
      <c r="H26" s="13">
        <f>D26+F26+'02-02-2023'!H26</f>
        <v>6281.3100000000013</v>
      </c>
      <c r="I26" s="13">
        <f>E26+G26+'02-02-2023'!I26</f>
        <v>132.27999999999997</v>
      </c>
      <c r="J26" s="13">
        <f>H26+I26</f>
        <v>6413.5900000000011</v>
      </c>
      <c r="K26" s="13">
        <f>C26-J26</f>
        <v>8586.41</v>
      </c>
      <c r="L26" s="13">
        <f t="shared" ref="L26:L29" si="7">C26-((J26/16)*26)</f>
        <v>4577.9162499999984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D27+F27+'02-02-2023'!H27</f>
        <v>0</v>
      </c>
      <c r="I27" s="13">
        <f>E27+G27+'02-02-2023'!I27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1625</v>
      </c>
      <c r="E28" s="21">
        <v>21.11</v>
      </c>
      <c r="F28" s="21">
        <v>0</v>
      </c>
      <c r="G28" s="21">
        <v>0</v>
      </c>
      <c r="H28" s="13">
        <f>D28+F28+'02-02-2023'!H28</f>
        <v>16696.5</v>
      </c>
      <c r="I28" s="13">
        <f>E28+G28+'02-02-2023'!I28</f>
        <v>275.77999999999997</v>
      </c>
      <c r="J28" s="13">
        <f>H28+I28</f>
        <v>16972.28</v>
      </c>
      <c r="K28" s="13">
        <f>C28-J28</f>
        <v>8027.7200000000012</v>
      </c>
      <c r="L28" s="13">
        <f t="shared" si="7"/>
        <v>-2579.9549999999981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D29+F29+'02-02-2023'!H29</f>
        <v>0</v>
      </c>
      <c r="I29" s="13">
        <f>E29+G29+'02-02-2023'!I29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2128.13</v>
      </c>
      <c r="E30" s="48">
        <f t="shared" si="8"/>
        <v>27.64</v>
      </c>
      <c r="F30" s="48">
        <f t="shared" si="8"/>
        <v>0</v>
      </c>
      <c r="G30" s="48">
        <f t="shared" si="8"/>
        <v>0</v>
      </c>
      <c r="H30" s="48">
        <f t="shared" si="8"/>
        <v>22977.81</v>
      </c>
      <c r="I30" s="48">
        <f t="shared" si="8"/>
        <v>408.05999999999995</v>
      </c>
      <c r="J30" s="48">
        <f t="shared" si="8"/>
        <v>23385.87</v>
      </c>
      <c r="K30" s="48">
        <f t="shared" si="8"/>
        <v>28064.13</v>
      </c>
      <c r="L30" s="48">
        <f t="shared" si="8"/>
        <v>13447.96125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326457</v>
      </c>
      <c r="D33" s="41">
        <f t="shared" ref="D33:L33" si="9">D17+D23+D30+D5</f>
        <v>11578.21</v>
      </c>
      <c r="E33" s="41">
        <f t="shared" si="9"/>
        <v>150.43</v>
      </c>
      <c r="F33" s="41">
        <f t="shared" si="9"/>
        <v>4207.5599999999995</v>
      </c>
      <c r="G33" s="41">
        <f t="shared" si="9"/>
        <v>302.93</v>
      </c>
      <c r="H33" s="41">
        <f t="shared" si="9"/>
        <v>197965.41</v>
      </c>
      <c r="I33" s="41">
        <f t="shared" si="9"/>
        <v>5741.59</v>
      </c>
      <c r="J33" s="41">
        <f t="shared" si="9"/>
        <v>203706.99999999997</v>
      </c>
      <c r="K33" s="41">
        <f t="shared" si="9"/>
        <v>122750</v>
      </c>
      <c r="L33" s="41">
        <f t="shared" si="9"/>
        <v>-4566.8749999999964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D36+F36+'02-02-2023'!H36</f>
        <v>0</v>
      </c>
      <c r="I36" s="13">
        <f>E36+G36+'02-02-2023'!I36</f>
        <v>0</v>
      </c>
      <c r="J36" s="13">
        <f t="shared" ref="J36:J58" si="10">H36+I36</f>
        <v>0</v>
      </c>
      <c r="K36" s="13">
        <f t="shared" ref="K36:K58" si="11">C36-J36</f>
        <v>0</v>
      </c>
      <c r="L36" s="13">
        <f t="shared" ref="L36:L58" si="12">C36-((J36/16)*26)</f>
        <v>0</v>
      </c>
    </row>
    <row r="37" spans="1:13" s="38" customFormat="1" ht="11.25" customHeight="1" x14ac:dyDescent="0.25">
      <c r="A37" s="37" t="s">
        <v>37</v>
      </c>
      <c r="B37" s="34" t="s">
        <v>36</v>
      </c>
      <c r="C37" s="13">
        <v>12000</v>
      </c>
      <c r="D37" s="14">
        <v>600</v>
      </c>
      <c r="E37" s="14">
        <v>7.8</v>
      </c>
      <c r="F37" s="14">
        <v>1360</v>
      </c>
      <c r="G37" s="14">
        <v>97.92</v>
      </c>
      <c r="H37" s="13">
        <f>D37+F37+'02-02-2023'!H37</f>
        <v>6603.25</v>
      </c>
      <c r="I37" s="13">
        <f>E37+G37+'02-02-2023'!I37</f>
        <v>864.67000000000007</v>
      </c>
      <c r="J37" s="13">
        <f t="shared" si="10"/>
        <v>7467.92</v>
      </c>
      <c r="K37" s="13">
        <f t="shared" si="11"/>
        <v>4532.08</v>
      </c>
      <c r="L37" s="13">
        <f t="shared" si="12"/>
        <v>-135.3700000000008</v>
      </c>
      <c r="M37" s="40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D38+F38+'02-02-2023'!H38</f>
        <v>0</v>
      </c>
      <c r="I38" s="13">
        <f>E38+G38+'02-02-2023'!I38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D39+F39+'02-02-2023'!H39</f>
        <v>0</v>
      </c>
      <c r="I39" s="13">
        <f>E39+G39+'02-02-2023'!I39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D40+F40+'02-02-2023'!H40</f>
        <v>0</v>
      </c>
      <c r="I40" s="13">
        <f>E40+G40+'02-02-2023'!I40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2" customFormat="1" ht="11.45" customHeight="1" x14ac:dyDescent="0.25">
      <c r="A41" s="27" t="s">
        <v>99</v>
      </c>
      <c r="B41" s="86" t="s">
        <v>100</v>
      </c>
      <c r="C41" s="13">
        <v>2877.04</v>
      </c>
      <c r="D41" s="14">
        <v>191.59</v>
      </c>
      <c r="E41" s="14">
        <v>2.4900000000000002</v>
      </c>
      <c r="F41" s="29">
        <v>0</v>
      </c>
      <c r="G41" s="29">
        <v>0</v>
      </c>
      <c r="H41" s="13">
        <f>D41+F41+'02-02-2023'!H41</f>
        <v>495.88</v>
      </c>
      <c r="I41" s="13">
        <f>E41+G41+'02-02-2023'!I41</f>
        <v>6.43</v>
      </c>
      <c r="J41" s="13">
        <f t="shared" si="10"/>
        <v>502.31</v>
      </c>
      <c r="K41" s="13">
        <f t="shared" si="11"/>
        <v>2374.73</v>
      </c>
      <c r="L41" s="13">
        <f t="shared" si="12"/>
        <v>2060.7862500000001</v>
      </c>
      <c r="M41" s="28"/>
    </row>
    <row r="42" spans="1:13" s="30" customFormat="1" ht="11.45" customHeight="1" x14ac:dyDescent="0.2">
      <c r="A42" s="27" t="s">
        <v>29</v>
      </c>
      <c r="B42" s="86" t="s">
        <v>28</v>
      </c>
      <c r="C42" s="13">
        <f>2500+5000</f>
        <v>7500</v>
      </c>
      <c r="D42" s="14">
        <v>23.2</v>
      </c>
      <c r="E42" s="14">
        <v>0.3</v>
      </c>
      <c r="F42" s="14">
        <v>0</v>
      </c>
      <c r="G42" s="14">
        <v>0</v>
      </c>
      <c r="H42" s="13">
        <f>D42+F42+'02-02-2023'!H42</f>
        <v>1988.9199999999998</v>
      </c>
      <c r="I42" s="13">
        <f>E42+G42+'02-02-2023'!I42</f>
        <v>25.78</v>
      </c>
      <c r="J42" s="13">
        <f t="shared" si="10"/>
        <v>2014.6999999999998</v>
      </c>
      <c r="K42" s="13">
        <f t="shared" si="11"/>
        <v>5485.3</v>
      </c>
      <c r="L42" s="13">
        <f t="shared" si="12"/>
        <v>4226.1125000000002</v>
      </c>
      <c r="M42" s="24"/>
    </row>
    <row r="43" spans="1:13" s="32" customFormat="1" ht="11.25" customHeight="1" x14ac:dyDescent="0.2">
      <c r="A43" s="27" t="s">
        <v>27</v>
      </c>
      <c r="B43" s="34" t="s">
        <v>26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D43+F43+'02-02-2023'!H43</f>
        <v>0</v>
      </c>
      <c r="I43" s="13">
        <f>E43+G43+'02-02-2023'!I43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hidden="1" customHeight="1" x14ac:dyDescent="0.2">
      <c r="A44" s="27" t="s">
        <v>25</v>
      </c>
      <c r="B44" s="34">
        <v>55110100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D44+F44+'02-02-2023'!H44</f>
        <v>0</v>
      </c>
      <c r="I44" s="13">
        <f>E44+G44+'02-02-2023'!I44</f>
        <v>0</v>
      </c>
      <c r="J44" s="21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2" customFormat="1" ht="11.25" customHeight="1" x14ac:dyDescent="0.2">
      <c r="A45" s="27" t="s">
        <v>24</v>
      </c>
      <c r="B45" s="86" t="s">
        <v>23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13">
        <f>D45+F45+'02-02-2023'!H45</f>
        <v>0</v>
      </c>
      <c r="I45" s="13">
        <f>E45+G45+'02-02-2023'!I45</f>
        <v>0</v>
      </c>
      <c r="J45" s="13">
        <f t="shared" si="10"/>
        <v>0</v>
      </c>
      <c r="K45" s="33">
        <f t="shared" si="11"/>
        <v>0</v>
      </c>
      <c r="L45" s="13">
        <f t="shared" si="12"/>
        <v>0</v>
      </c>
      <c r="M45" s="24"/>
    </row>
    <row r="46" spans="1:13" s="30" customFormat="1" ht="11.45" customHeight="1" x14ac:dyDescent="0.25">
      <c r="A46" s="27" t="s">
        <v>22</v>
      </c>
      <c r="B46" s="86" t="s">
        <v>21</v>
      </c>
      <c r="C46" s="13">
        <v>2770.95</v>
      </c>
      <c r="D46" s="14">
        <v>0</v>
      </c>
      <c r="E46" s="14">
        <v>0</v>
      </c>
      <c r="F46" s="14">
        <v>0</v>
      </c>
      <c r="G46" s="14">
        <v>0</v>
      </c>
      <c r="H46" s="13">
        <f>D46+F46+'02-02-2023'!H46</f>
        <v>0</v>
      </c>
      <c r="I46" s="13">
        <f>E46+G46+'02-02-2023'!I46</f>
        <v>0</v>
      </c>
      <c r="J46" s="13">
        <f t="shared" si="10"/>
        <v>0</v>
      </c>
      <c r="K46" s="13">
        <f t="shared" si="11"/>
        <v>2770.95</v>
      </c>
      <c r="L46" s="13">
        <f t="shared" si="12"/>
        <v>2770.95</v>
      </c>
      <c r="M46" s="28"/>
    </row>
    <row r="47" spans="1:13" s="30" customFormat="1" ht="11.45" customHeight="1" x14ac:dyDescent="0.25">
      <c r="A47" s="27" t="s">
        <v>20</v>
      </c>
      <c r="B47" s="86" t="s">
        <v>19</v>
      </c>
      <c r="C47" s="13">
        <v>6021.08</v>
      </c>
      <c r="D47" s="14">
        <v>29.45</v>
      </c>
      <c r="E47" s="14">
        <v>0.38</v>
      </c>
      <c r="F47" s="14">
        <v>0</v>
      </c>
      <c r="G47" s="14">
        <v>0</v>
      </c>
      <c r="H47" s="13">
        <f>D47+F47+'02-02-2023'!H47</f>
        <v>4352.625</v>
      </c>
      <c r="I47" s="13">
        <f>E47+G47+'02-02-2023'!I47</f>
        <v>56.49</v>
      </c>
      <c r="J47" s="13">
        <f t="shared" si="10"/>
        <v>4409.1149999999998</v>
      </c>
      <c r="K47" s="13">
        <f t="shared" si="11"/>
        <v>1611.9650000000001</v>
      </c>
      <c r="L47" s="13">
        <f t="shared" si="12"/>
        <v>-1143.7318749999995</v>
      </c>
      <c r="M47" s="28"/>
    </row>
    <row r="48" spans="1:13" s="30" customFormat="1" ht="11.45" customHeight="1" x14ac:dyDescent="0.2">
      <c r="A48" s="27" t="s">
        <v>18</v>
      </c>
      <c r="B48" s="31" t="s">
        <v>16</v>
      </c>
      <c r="C48" s="13">
        <f>10000+5000</f>
        <v>15000</v>
      </c>
      <c r="D48" s="14">
        <v>493.9</v>
      </c>
      <c r="E48" s="14">
        <v>6.42</v>
      </c>
      <c r="F48" s="14">
        <v>0</v>
      </c>
      <c r="G48" s="14">
        <v>0</v>
      </c>
      <c r="H48" s="13">
        <f>D48+F48+'02-02-2023'!H48</f>
        <v>3616.4700000000003</v>
      </c>
      <c r="I48" s="13">
        <f>E48+G48+'02-02-2023'!I48</f>
        <v>46.99</v>
      </c>
      <c r="J48" s="13">
        <f t="shared" si="10"/>
        <v>3663.46</v>
      </c>
      <c r="K48" s="13">
        <f t="shared" si="11"/>
        <v>11336.54</v>
      </c>
      <c r="L48" s="13">
        <f t="shared" si="12"/>
        <v>9046.8774999999987</v>
      </c>
      <c r="M48" s="24"/>
    </row>
    <row r="49" spans="1:13" s="30" customFormat="1" ht="11.45" customHeight="1" x14ac:dyDescent="0.2">
      <c r="A49" s="27" t="s">
        <v>17</v>
      </c>
      <c r="B49" s="31" t="s">
        <v>16</v>
      </c>
      <c r="C49" s="13">
        <f>294.43+700+700</f>
        <v>1694.43</v>
      </c>
      <c r="D49" s="14">
        <v>0</v>
      </c>
      <c r="E49" s="14">
        <v>0</v>
      </c>
      <c r="F49" s="14">
        <v>0</v>
      </c>
      <c r="G49" s="14">
        <v>0</v>
      </c>
      <c r="H49" s="13">
        <f>D49+F49+'02-02-2023'!H49</f>
        <v>1085.2</v>
      </c>
      <c r="I49" s="13">
        <f>E49+G49+'02-02-2023'!I49</f>
        <v>14.1</v>
      </c>
      <c r="J49" s="13">
        <f t="shared" si="10"/>
        <v>1099.3</v>
      </c>
      <c r="K49" s="13">
        <f t="shared" si="11"/>
        <v>595.13000000000011</v>
      </c>
      <c r="L49" s="13">
        <f t="shared" si="12"/>
        <v>-91.932499999999891</v>
      </c>
      <c r="M49" s="24"/>
    </row>
    <row r="50" spans="1:13" s="23" customFormat="1" ht="11.25" customHeight="1" x14ac:dyDescent="0.25">
      <c r="A50" s="27" t="s">
        <v>15</v>
      </c>
      <c r="B50" s="86" t="s">
        <v>14</v>
      </c>
      <c r="C50" s="13">
        <f>1686.24+250.84</f>
        <v>1937.08</v>
      </c>
      <c r="D50" s="14">
        <v>0</v>
      </c>
      <c r="E50" s="14">
        <v>0</v>
      </c>
      <c r="F50" s="14">
        <v>0</v>
      </c>
      <c r="G50" s="14">
        <v>0</v>
      </c>
      <c r="H50" s="13">
        <f>D50+F50+'02-02-2023'!H50</f>
        <v>1807</v>
      </c>
      <c r="I50" s="13">
        <f>E50+G50+'02-02-2023'!I50</f>
        <v>130.08000000000001</v>
      </c>
      <c r="J50" s="13">
        <f t="shared" si="10"/>
        <v>1937.08</v>
      </c>
      <c r="K50" s="13">
        <f t="shared" si="11"/>
        <v>0</v>
      </c>
      <c r="L50" s="13">
        <f t="shared" si="12"/>
        <v>-1210.6750000000002</v>
      </c>
      <c r="M50" s="74"/>
    </row>
    <row r="51" spans="1:13" s="23" customFormat="1" ht="11.25" customHeight="1" x14ac:dyDescent="0.25">
      <c r="A51" s="27" t="s">
        <v>13</v>
      </c>
      <c r="B51" s="86" t="s">
        <v>12</v>
      </c>
      <c r="C51" s="13">
        <f>3800+5500</f>
        <v>9300</v>
      </c>
      <c r="D51" s="14">
        <v>563.57000000000005</v>
      </c>
      <c r="E51" s="14">
        <v>7.31</v>
      </c>
      <c r="F51" s="14">
        <v>0</v>
      </c>
      <c r="G51" s="14">
        <v>0</v>
      </c>
      <c r="H51" s="13">
        <f>D51+F51+'02-02-2023'!H51</f>
        <v>6477.74</v>
      </c>
      <c r="I51" s="13">
        <f>E51+G51+'02-02-2023'!I51</f>
        <v>84.08</v>
      </c>
      <c r="J51" s="13">
        <f t="shared" si="10"/>
        <v>6561.82</v>
      </c>
      <c r="K51" s="13">
        <f t="shared" si="11"/>
        <v>2738.1800000000003</v>
      </c>
      <c r="L51" s="13">
        <f t="shared" si="12"/>
        <v>-1362.9575000000004</v>
      </c>
      <c r="M51" s="28"/>
    </row>
    <row r="52" spans="1:13" s="23" customFormat="1" ht="11.25" customHeight="1" x14ac:dyDescent="0.2">
      <c r="A52" s="27" t="s">
        <v>11</v>
      </c>
      <c r="B52" s="86" t="s">
        <v>10</v>
      </c>
      <c r="C52" s="13">
        <v>6800</v>
      </c>
      <c r="D52" s="14">
        <v>0</v>
      </c>
      <c r="E52" s="14">
        <v>0</v>
      </c>
      <c r="F52" s="14">
        <v>0</v>
      </c>
      <c r="G52" s="14">
        <v>0</v>
      </c>
      <c r="H52" s="13">
        <f>D52+F52+'02-02-2023'!H52</f>
        <v>2480</v>
      </c>
      <c r="I52" s="13">
        <f>E52+G52+'02-02-2023'!I52</f>
        <v>32.24</v>
      </c>
      <c r="J52" s="13">
        <f t="shared" si="10"/>
        <v>2512.2399999999998</v>
      </c>
      <c r="K52" s="13">
        <f t="shared" si="11"/>
        <v>4287.76</v>
      </c>
      <c r="L52" s="13">
        <f t="shared" si="12"/>
        <v>2717.6100000000006</v>
      </c>
      <c r="M52" s="24"/>
    </row>
    <row r="53" spans="1:13" s="23" customFormat="1" ht="11.25" customHeight="1" x14ac:dyDescent="0.2">
      <c r="A53" s="27" t="s">
        <v>9</v>
      </c>
      <c r="B53" s="86" t="s">
        <v>8</v>
      </c>
      <c r="C53" s="13">
        <v>1900</v>
      </c>
      <c r="D53" s="14">
        <v>0</v>
      </c>
      <c r="E53" s="14">
        <v>0</v>
      </c>
      <c r="F53" s="14">
        <v>0</v>
      </c>
      <c r="G53" s="14">
        <v>0</v>
      </c>
      <c r="H53" s="13">
        <f>D53+F53+'02-02-2023'!H53</f>
        <v>1574.72</v>
      </c>
      <c r="I53" s="13">
        <f>E53+G53+'02-02-2023'!I53</f>
        <v>113.33</v>
      </c>
      <c r="J53" s="13">
        <f t="shared" si="10"/>
        <v>1688.05</v>
      </c>
      <c r="K53" s="13">
        <f t="shared" si="11"/>
        <v>211.95000000000005</v>
      </c>
      <c r="L53" s="13">
        <f t="shared" si="12"/>
        <v>-843.08124999999973</v>
      </c>
      <c r="M53" s="24"/>
    </row>
    <row r="54" spans="1:13" s="23" customFormat="1" ht="11.25" customHeight="1" x14ac:dyDescent="0.2">
      <c r="A54" s="27" t="s">
        <v>97</v>
      </c>
      <c r="B54" s="86" t="s">
        <v>98</v>
      </c>
      <c r="C54" s="13">
        <v>5937</v>
      </c>
      <c r="D54" s="14">
        <v>360.64</v>
      </c>
      <c r="E54" s="14">
        <v>4.68</v>
      </c>
      <c r="F54" s="77">
        <v>0</v>
      </c>
      <c r="G54" s="77">
        <v>0</v>
      </c>
      <c r="H54" s="13">
        <f>D54+F54+'02-02-2023'!H54</f>
        <v>360.64</v>
      </c>
      <c r="I54" s="13">
        <f>E54+G54+'02-02-2023'!I54</f>
        <v>4.68</v>
      </c>
      <c r="J54" s="13">
        <f t="shared" si="10"/>
        <v>365.32</v>
      </c>
      <c r="K54" s="13">
        <f t="shared" si="11"/>
        <v>5571.68</v>
      </c>
      <c r="L54" s="13">
        <f t="shared" si="12"/>
        <v>5343.3549999999996</v>
      </c>
      <c r="M54" s="24"/>
    </row>
    <row r="55" spans="1:13" s="23" customFormat="1" ht="11.25" customHeight="1" x14ac:dyDescent="0.2">
      <c r="A55" s="27" t="s">
        <v>7</v>
      </c>
      <c r="B55" s="86" t="s">
        <v>6</v>
      </c>
      <c r="C55" s="25">
        <v>303.89999999999998</v>
      </c>
      <c r="D55" s="14">
        <v>0</v>
      </c>
      <c r="E55" s="14">
        <v>0</v>
      </c>
      <c r="F55" s="14">
        <v>0</v>
      </c>
      <c r="G55" s="14">
        <v>0</v>
      </c>
      <c r="H55" s="13">
        <f>D55+F55+'02-02-2023'!H55</f>
        <v>0</v>
      </c>
      <c r="I55" s="13">
        <f>E55+G55+'02-02-2023'!I55</f>
        <v>0</v>
      </c>
      <c r="J55" s="13">
        <f t="shared" si="10"/>
        <v>0</v>
      </c>
      <c r="K55" s="13">
        <f t="shared" si="11"/>
        <v>303.89999999999998</v>
      </c>
      <c r="L55" s="13">
        <f t="shared" si="12"/>
        <v>303.89999999999998</v>
      </c>
      <c r="M55" s="24"/>
    </row>
    <row r="56" spans="1:13" s="23" customFormat="1" ht="11.25" customHeight="1" x14ac:dyDescent="0.2">
      <c r="A56" s="27" t="s">
        <v>82</v>
      </c>
      <c r="B56" s="86" t="s">
        <v>83</v>
      </c>
      <c r="C56" s="25">
        <v>6300</v>
      </c>
      <c r="D56" s="14">
        <v>0</v>
      </c>
      <c r="E56" s="14">
        <v>0</v>
      </c>
      <c r="F56" s="14">
        <v>0</v>
      </c>
      <c r="G56" s="14">
        <v>0</v>
      </c>
      <c r="H56" s="13">
        <f>D56+F56+'02-02-2023'!H56</f>
        <v>0</v>
      </c>
      <c r="I56" s="13">
        <f>E56+G56+'02-02-2023'!I56</f>
        <v>0</v>
      </c>
      <c r="J56" s="13">
        <f t="shared" si="10"/>
        <v>0</v>
      </c>
      <c r="K56" s="13">
        <f t="shared" si="11"/>
        <v>6300</v>
      </c>
      <c r="L56" s="13">
        <f t="shared" si="12"/>
        <v>6300</v>
      </c>
      <c r="M56" s="24"/>
    </row>
    <row r="57" spans="1:13" s="23" customFormat="1" ht="11.25" customHeight="1" x14ac:dyDescent="0.2">
      <c r="A57" s="89" t="s">
        <v>104</v>
      </c>
      <c r="B57" s="86" t="s">
        <v>103</v>
      </c>
      <c r="C57" s="93">
        <v>2350</v>
      </c>
      <c r="D57" s="91">
        <v>325</v>
      </c>
      <c r="E57" s="91">
        <v>4.22</v>
      </c>
      <c r="F57" s="91">
        <v>0</v>
      </c>
      <c r="G57" s="91">
        <v>0</v>
      </c>
      <c r="H57" s="88">
        <f>D57+F57</f>
        <v>325</v>
      </c>
      <c r="I57" s="88">
        <f>E57+G57</f>
        <v>4.22</v>
      </c>
      <c r="J57" s="88">
        <f t="shared" ref="J57" si="13">H57+I57</f>
        <v>329.22</v>
      </c>
      <c r="K57" s="88">
        <f t="shared" ref="K57" si="14">C57-J57</f>
        <v>2020.78</v>
      </c>
      <c r="L57" s="88">
        <f t="shared" ref="L57" si="15">C57-((J57/16)*26)</f>
        <v>1815.0174999999999</v>
      </c>
      <c r="M57" s="92"/>
    </row>
    <row r="58" spans="1:13" s="23" customFormat="1" ht="11.25" customHeight="1" x14ac:dyDescent="0.2">
      <c r="A58" s="27" t="s">
        <v>85</v>
      </c>
      <c r="B58" s="86" t="s">
        <v>88</v>
      </c>
      <c r="C58" s="25">
        <v>7467.05</v>
      </c>
      <c r="D58" s="14">
        <v>0</v>
      </c>
      <c r="E58" s="14">
        <v>0</v>
      </c>
      <c r="F58" s="14">
        <v>250</v>
      </c>
      <c r="G58" s="14">
        <v>18</v>
      </c>
      <c r="H58" s="13">
        <f>D58+F58+'02-02-2023'!H57</f>
        <v>2475</v>
      </c>
      <c r="I58" s="13">
        <f>E58+G58+'02-02-2023'!I57</f>
        <v>178.2</v>
      </c>
      <c r="J58" s="13">
        <f t="shared" si="10"/>
        <v>2653.2</v>
      </c>
      <c r="K58" s="13">
        <f t="shared" si="11"/>
        <v>4813.8500000000004</v>
      </c>
      <c r="L58" s="13">
        <f t="shared" si="12"/>
        <v>3155.6000000000004</v>
      </c>
      <c r="M58" s="24"/>
    </row>
    <row r="59" spans="1:13" ht="21.6" customHeight="1" x14ac:dyDescent="0.25">
      <c r="A59" s="94" t="s">
        <v>5</v>
      </c>
      <c r="B59" s="95"/>
      <c r="C59" s="10">
        <f>SUM(C36:C58)</f>
        <v>90158.53</v>
      </c>
      <c r="D59" s="10">
        <f t="shared" ref="D59:K59" si="16">SUM(D36:D58)</f>
        <v>2587.35</v>
      </c>
      <c r="E59" s="10">
        <f t="shared" si="16"/>
        <v>33.6</v>
      </c>
      <c r="F59" s="10">
        <f t="shared" si="16"/>
        <v>1610</v>
      </c>
      <c r="G59" s="10">
        <f t="shared" si="16"/>
        <v>115.92</v>
      </c>
      <c r="H59" s="10">
        <f t="shared" si="16"/>
        <v>33642.445</v>
      </c>
      <c r="I59" s="10">
        <f t="shared" si="16"/>
        <v>1561.29</v>
      </c>
      <c r="J59" s="10">
        <f t="shared" si="16"/>
        <v>35203.735000000001</v>
      </c>
      <c r="K59" s="10">
        <f t="shared" si="16"/>
        <v>54954.794999999998</v>
      </c>
      <c r="L59" s="10">
        <f>SUM(L36:L58)</f>
        <v>32952.460625</v>
      </c>
      <c r="M59" s="22"/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"/>
    </row>
    <row r="61" spans="1:13" ht="10.9" customHeight="1" x14ac:dyDescent="0.25">
      <c r="A61" s="19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3" s="11" customFormat="1" ht="10.9" customHeight="1" x14ac:dyDescent="0.25">
      <c r="A62" s="16" t="s">
        <v>4</v>
      </c>
      <c r="B62" s="15" t="s">
        <v>3</v>
      </c>
      <c r="C62" s="13">
        <v>62583</v>
      </c>
      <c r="D62" s="13">
        <f>383.63+2816.48</f>
        <v>3200.11</v>
      </c>
      <c r="E62" s="13">
        <f>4.98+36.61</f>
        <v>41.59</v>
      </c>
      <c r="F62" s="13">
        <v>0</v>
      </c>
      <c r="G62" s="13">
        <v>0</v>
      </c>
      <c r="H62" s="13">
        <f>D62+F62+'02-02-2023'!H61</f>
        <v>29057.850000000002</v>
      </c>
      <c r="I62" s="13">
        <f>E62+G62+'02-02-2023'!I61</f>
        <v>377.58999999999992</v>
      </c>
      <c r="J62" s="13">
        <f>H62+I62</f>
        <v>29435.440000000002</v>
      </c>
      <c r="K62" s="13">
        <f>C62-J62</f>
        <v>33147.56</v>
      </c>
      <c r="L62" s="13">
        <f t="shared" ref="L62:L63" si="17">C62-((J62/16)*26)</f>
        <v>14750.409999999996</v>
      </c>
      <c r="M62" s="12"/>
    </row>
    <row r="63" spans="1:13" s="11" customFormat="1" ht="10.9" customHeight="1" x14ac:dyDescent="0.25">
      <c r="A63" s="16" t="s">
        <v>76</v>
      </c>
      <c r="B63" s="15" t="s">
        <v>102</v>
      </c>
      <c r="C63" s="13">
        <v>1000</v>
      </c>
      <c r="D63" s="14">
        <v>622.5</v>
      </c>
      <c r="E63" s="14">
        <v>8.09</v>
      </c>
      <c r="F63" s="14">
        <v>0</v>
      </c>
      <c r="G63" s="14">
        <v>0</v>
      </c>
      <c r="H63" s="13">
        <f>D63+F63+'02-02-2023'!H62</f>
        <v>903.75</v>
      </c>
      <c r="I63" s="13">
        <f>E63+G63+'02-02-2023'!I62</f>
        <v>11.74</v>
      </c>
      <c r="J63" s="13">
        <f>H63+I63</f>
        <v>915.49</v>
      </c>
      <c r="K63" s="13">
        <f>C63-J63</f>
        <v>84.509999999999991</v>
      </c>
      <c r="L63" s="13">
        <f t="shared" si="17"/>
        <v>-487.6712500000001</v>
      </c>
      <c r="M63" s="12"/>
    </row>
    <row r="64" spans="1:13" ht="21.6" customHeight="1" x14ac:dyDescent="0.25">
      <c r="A64" s="94" t="s">
        <v>2</v>
      </c>
      <c r="B64" s="95"/>
      <c r="C64" s="20">
        <f>SUM(C62:C63)</f>
        <v>63583</v>
      </c>
      <c r="D64" s="20">
        <f>SUM(D62:D63)</f>
        <v>3822.61</v>
      </c>
      <c r="E64" s="20">
        <f>SUM(E62:E63)</f>
        <v>49.680000000000007</v>
      </c>
      <c r="F64" s="20">
        <f>SUM(F62:F63)</f>
        <v>0</v>
      </c>
      <c r="G64" s="20">
        <f>SUM(G62:G63)</f>
        <v>0</v>
      </c>
      <c r="H64" s="20">
        <f t="shared" ref="H64:L64" si="18">SUM(H62:H63)</f>
        <v>29961.600000000002</v>
      </c>
      <c r="I64" s="20">
        <f t="shared" si="18"/>
        <v>389.32999999999993</v>
      </c>
      <c r="J64" s="20">
        <f t="shared" si="18"/>
        <v>30350.930000000004</v>
      </c>
      <c r="K64" s="20">
        <f t="shared" si="18"/>
        <v>33232.07</v>
      </c>
      <c r="L64" s="20">
        <f t="shared" si="18"/>
        <v>14262.738749999997</v>
      </c>
    </row>
    <row r="65" spans="1:18" ht="10.9" customHeight="1" x14ac:dyDescent="0.25">
      <c r="A65" s="19"/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8" ht="10.9" customHeight="1" x14ac:dyDescent="0.25">
      <c r="A66" s="19"/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8" s="11" customFormat="1" ht="10.9" customHeight="1" x14ac:dyDescent="0.25">
      <c r="A67" s="16" t="s">
        <v>1</v>
      </c>
      <c r="B67" s="15">
        <v>55180000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13">
        <f>D67+F67+'02-02-2023'!H66</f>
        <v>0</v>
      </c>
      <c r="I67" s="13">
        <f>E67+G67+'02-02-2023'!I66</f>
        <v>0</v>
      </c>
      <c r="J67" s="13">
        <f>H67+I67</f>
        <v>0</v>
      </c>
      <c r="K67" s="13">
        <f>C67-J67</f>
        <v>0</v>
      </c>
      <c r="L67" s="13">
        <f>C67-((J67/16)*26)</f>
        <v>0</v>
      </c>
      <c r="M67" s="12"/>
    </row>
    <row r="68" spans="1:18" s="5" customFormat="1" ht="21.6" customHeight="1" x14ac:dyDescent="0.25">
      <c r="A68" s="94" t="s">
        <v>0</v>
      </c>
      <c r="B68" s="95"/>
      <c r="C68" s="10">
        <f t="shared" ref="C68:L68" si="19">SUM(C67)</f>
        <v>0</v>
      </c>
      <c r="D68" s="10">
        <f t="shared" si="19"/>
        <v>0</v>
      </c>
      <c r="E68" s="10">
        <f t="shared" si="19"/>
        <v>0</v>
      </c>
      <c r="F68" s="10">
        <f t="shared" si="19"/>
        <v>0</v>
      </c>
      <c r="G68" s="10">
        <f t="shared" si="19"/>
        <v>0</v>
      </c>
      <c r="H68" s="10">
        <f t="shared" si="19"/>
        <v>0</v>
      </c>
      <c r="I68" s="10">
        <f t="shared" si="19"/>
        <v>0</v>
      </c>
      <c r="J68" s="10">
        <f t="shared" si="19"/>
        <v>0</v>
      </c>
      <c r="K68" s="10">
        <f t="shared" si="19"/>
        <v>0</v>
      </c>
      <c r="L68" s="10">
        <f t="shared" si="19"/>
        <v>0</v>
      </c>
      <c r="M68" s="6"/>
    </row>
    <row r="69" spans="1:18" s="5" customFormat="1" ht="11.25" customHeight="1" x14ac:dyDescent="0.25">
      <c r="A69" s="9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6"/>
    </row>
    <row r="70" spans="1:18" ht="10.5" customHeight="1" x14ac:dyDescent="0.25">
      <c r="A70" s="101" t="s">
        <v>80</v>
      </c>
      <c r="B70" s="101"/>
      <c r="C70" s="101"/>
      <c r="D70" s="101"/>
      <c r="E70" s="101"/>
      <c r="F70" s="101"/>
      <c r="G70" s="79">
        <v>700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78</v>
      </c>
      <c r="B71" s="101"/>
      <c r="C71" s="101"/>
      <c r="D71" s="101"/>
      <c r="E71" s="101"/>
      <c r="F71" s="101"/>
      <c r="G71" s="79">
        <v>15000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79</v>
      </c>
      <c r="B72" s="101"/>
      <c r="C72" s="101"/>
      <c r="D72" s="101"/>
      <c r="E72" s="101"/>
      <c r="F72" s="101"/>
      <c r="G72" s="79">
        <v>3800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81</v>
      </c>
      <c r="B73" s="101"/>
      <c r="C73" s="101"/>
      <c r="D73" s="101"/>
      <c r="E73" s="101"/>
      <c r="F73" s="101"/>
      <c r="G73" s="79">
        <v>5000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84</v>
      </c>
      <c r="B74" s="101"/>
      <c r="C74" s="101"/>
      <c r="D74" s="101"/>
      <c r="E74" s="101"/>
      <c r="F74" s="101"/>
      <c r="G74" s="79">
        <v>6300</v>
      </c>
      <c r="M74" s="102"/>
      <c r="N74" s="102"/>
      <c r="O74" s="102"/>
      <c r="P74" s="102"/>
      <c r="Q74" s="102"/>
      <c r="R74" s="102"/>
    </row>
    <row r="75" spans="1:18" ht="10.5" customHeight="1" x14ac:dyDescent="0.25">
      <c r="A75" s="101" t="s">
        <v>87</v>
      </c>
      <c r="B75" s="101"/>
      <c r="C75" s="101"/>
      <c r="D75" s="101"/>
      <c r="E75" s="101"/>
      <c r="F75" s="101"/>
      <c r="G75" s="79">
        <v>7467.05</v>
      </c>
      <c r="M75" s="102"/>
      <c r="N75" s="102"/>
      <c r="O75" s="102"/>
      <c r="P75" s="102"/>
      <c r="Q75" s="102"/>
      <c r="R75" s="102"/>
    </row>
    <row r="76" spans="1:18" ht="10.5" customHeight="1" x14ac:dyDescent="0.25">
      <c r="A76" s="101" t="s">
        <v>89</v>
      </c>
      <c r="B76" s="101"/>
      <c r="C76" s="101"/>
      <c r="D76" s="101"/>
      <c r="E76" s="101"/>
      <c r="F76" s="101"/>
      <c r="G76" s="79">
        <v>5500</v>
      </c>
      <c r="M76" s="102"/>
      <c r="N76" s="102"/>
      <c r="O76" s="102"/>
      <c r="P76" s="102"/>
      <c r="Q76" s="102"/>
      <c r="R76" s="102"/>
    </row>
    <row r="77" spans="1:18" ht="10.5" customHeight="1" x14ac:dyDescent="0.25">
      <c r="A77" s="101" t="s">
        <v>92</v>
      </c>
      <c r="B77" s="101"/>
      <c r="C77" s="101"/>
      <c r="D77" s="101"/>
      <c r="E77" s="101"/>
      <c r="F77" s="101"/>
      <c r="G77" s="79">
        <v>3400</v>
      </c>
      <c r="M77" s="102"/>
      <c r="N77" s="102"/>
      <c r="O77" s="102"/>
      <c r="P77" s="102"/>
      <c r="Q77" s="102"/>
      <c r="R77" s="102"/>
    </row>
    <row r="78" spans="1:18" ht="10.5" customHeight="1" x14ac:dyDescent="0.25">
      <c r="A78" s="101" t="s">
        <v>91</v>
      </c>
      <c r="B78" s="101"/>
      <c r="C78" s="101"/>
      <c r="D78" s="101"/>
      <c r="E78" s="101"/>
      <c r="F78" s="101"/>
      <c r="G78" s="79">
        <v>5000</v>
      </c>
      <c r="M78" s="102"/>
      <c r="N78" s="102"/>
      <c r="O78" s="102"/>
      <c r="P78" s="102"/>
      <c r="Q78" s="102"/>
      <c r="R78" s="102"/>
    </row>
    <row r="79" spans="1:18" ht="10.5" customHeight="1" x14ac:dyDescent="0.25">
      <c r="A79" s="101" t="s">
        <v>93</v>
      </c>
      <c r="B79" s="101"/>
      <c r="C79" s="101"/>
      <c r="D79" s="101"/>
      <c r="E79" s="101"/>
      <c r="F79" s="101"/>
      <c r="G79" s="79">
        <v>12340</v>
      </c>
      <c r="M79" s="102"/>
      <c r="N79" s="102"/>
      <c r="O79" s="102"/>
      <c r="P79" s="102"/>
      <c r="Q79" s="102"/>
      <c r="R79" s="102"/>
    </row>
    <row r="80" spans="1:18" ht="10.5" customHeight="1" x14ac:dyDescent="0.25">
      <c r="A80" s="101" t="s">
        <v>94</v>
      </c>
      <c r="B80" s="101"/>
      <c r="C80" s="101"/>
      <c r="D80" s="101"/>
      <c r="E80" s="101"/>
      <c r="F80" s="101"/>
      <c r="G80" s="79">
        <v>5000</v>
      </c>
      <c r="M80" s="102"/>
      <c r="N80" s="102"/>
      <c r="O80" s="102"/>
      <c r="P80" s="102"/>
      <c r="Q80" s="102"/>
      <c r="R80" s="102"/>
    </row>
    <row r="81" spans="1:18" ht="10.5" customHeight="1" x14ac:dyDescent="0.25">
      <c r="A81" s="101" t="s">
        <v>95</v>
      </c>
      <c r="B81" s="101"/>
      <c r="C81" s="101"/>
      <c r="D81" s="101"/>
      <c r="E81" s="101"/>
      <c r="F81" s="101"/>
      <c r="G81" s="79">
        <v>12000</v>
      </c>
      <c r="M81" s="102"/>
      <c r="N81" s="102"/>
      <c r="O81" s="102"/>
      <c r="P81" s="102"/>
      <c r="Q81" s="102"/>
      <c r="R81" s="102"/>
    </row>
    <row r="82" spans="1:18" ht="10.5" customHeight="1" x14ac:dyDescent="0.25">
      <c r="A82" s="101" t="s">
        <v>96</v>
      </c>
      <c r="B82" s="101"/>
      <c r="C82" s="101"/>
      <c r="D82" s="101"/>
      <c r="E82" s="101"/>
      <c r="F82" s="101"/>
      <c r="G82" s="79">
        <v>5937</v>
      </c>
      <c r="M82" s="102"/>
      <c r="N82" s="102"/>
      <c r="O82" s="102"/>
      <c r="P82" s="102"/>
      <c r="Q82" s="102"/>
      <c r="R82" s="102"/>
    </row>
    <row r="83" spans="1:18" ht="10.5" customHeight="1" x14ac:dyDescent="0.25">
      <c r="A83" s="101" t="s">
        <v>101</v>
      </c>
      <c r="B83" s="101"/>
      <c r="C83" s="101"/>
      <c r="D83" s="101"/>
      <c r="E83" s="101"/>
      <c r="F83" s="101"/>
      <c r="G83" s="79">
        <v>2877.04</v>
      </c>
      <c r="M83" s="102"/>
      <c r="N83" s="102"/>
      <c r="O83" s="102"/>
      <c r="P83" s="102"/>
      <c r="Q83" s="102"/>
      <c r="R83" s="102"/>
    </row>
    <row r="84" spans="1:18" ht="10.5" customHeight="1" x14ac:dyDescent="0.25">
      <c r="A84" s="101" t="s">
        <v>105</v>
      </c>
      <c r="B84" s="101"/>
      <c r="C84" s="101"/>
      <c r="D84" s="101"/>
      <c r="E84" s="101"/>
      <c r="F84" s="101"/>
      <c r="G84" s="79">
        <v>2350</v>
      </c>
      <c r="M84" s="102"/>
      <c r="N84" s="102"/>
      <c r="O84" s="102"/>
      <c r="P84" s="102"/>
      <c r="Q84" s="102"/>
      <c r="R84" s="102"/>
    </row>
    <row r="130" spans="13:13" x14ac:dyDescent="0.25">
      <c r="M130" s="2">
        <f>SUM(M34:M128)</f>
        <v>0</v>
      </c>
    </row>
  </sheetData>
  <mergeCells count="38">
    <mergeCell ref="A82:F82"/>
    <mergeCell ref="M82:R82"/>
    <mergeCell ref="A83:F83"/>
    <mergeCell ref="M83:R83"/>
    <mergeCell ref="A79:F79"/>
    <mergeCell ref="M79:R79"/>
    <mergeCell ref="A80:F80"/>
    <mergeCell ref="M80:R80"/>
    <mergeCell ref="A81:F81"/>
    <mergeCell ref="M81:R81"/>
    <mergeCell ref="A76:F76"/>
    <mergeCell ref="M76:R76"/>
    <mergeCell ref="A77:F77"/>
    <mergeCell ref="M77:R77"/>
    <mergeCell ref="A78:F78"/>
    <mergeCell ref="M78:R78"/>
    <mergeCell ref="A73:F73"/>
    <mergeCell ref="M73:R73"/>
    <mergeCell ref="A74:F74"/>
    <mergeCell ref="M74:R74"/>
    <mergeCell ref="A75:F75"/>
    <mergeCell ref="M75:R75"/>
    <mergeCell ref="A84:F84"/>
    <mergeCell ref="M84:R84"/>
    <mergeCell ref="A59:B59"/>
    <mergeCell ref="A5:B5"/>
    <mergeCell ref="A17:B17"/>
    <mergeCell ref="A23:B23"/>
    <mergeCell ref="A30:B30"/>
    <mergeCell ref="A33:B33"/>
    <mergeCell ref="A64:B64"/>
    <mergeCell ref="A68:B68"/>
    <mergeCell ref="A70:F70"/>
    <mergeCell ref="M70:R70"/>
    <mergeCell ref="A71:F71"/>
    <mergeCell ref="M71:R71"/>
    <mergeCell ref="A72:F72"/>
    <mergeCell ref="M72:R72"/>
  </mergeCells>
  <pageMargins left="0.25" right="0" top="0.4" bottom="0" header="0.3" footer="0"/>
  <pageSetup scale="72" fitToWidth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7F41-4809-4F86-BEB4-A9FE773097C5}">
  <sheetPr>
    <pageSetUpPr fitToPage="1"/>
  </sheetPr>
  <dimension ref="A1:R130"/>
  <sheetViews>
    <sheetView tabSelected="1" zoomScale="160" zoomScaleNormal="160" workbookViewId="0">
      <pane ySplit="2" topLeftCell="A3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8.140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44987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585</v>
      </c>
      <c r="E3" s="14">
        <v>7.6</v>
      </c>
      <c r="F3" s="14">
        <v>0</v>
      </c>
      <c r="G3" s="14">
        <v>0</v>
      </c>
      <c r="H3" s="13">
        <f>D3+F3+'02-16-2023'!H3</f>
        <v>4063</v>
      </c>
      <c r="I3" s="13">
        <f>E3+G3+'02-16-2023'!I3</f>
        <v>242.04</v>
      </c>
      <c r="J3" s="13">
        <f>H3+I3</f>
        <v>4305.04</v>
      </c>
      <c r="K3" s="13">
        <f>C3-J3</f>
        <v>6494.96</v>
      </c>
      <c r="L3" s="13">
        <f>C3-((J3/17)*26)</f>
        <v>4215.8211764705884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1520</v>
      </c>
      <c r="G4" s="14">
        <v>1090.43</v>
      </c>
      <c r="H4" s="13">
        <f>D4+F4+'02-16-2023'!H4</f>
        <v>17260</v>
      </c>
      <c r="I4" s="13">
        <f>E4+G4+'02-16-2023'!I4</f>
        <v>2216.61</v>
      </c>
      <c r="J4" s="13">
        <f>H4+I4</f>
        <v>19476.61</v>
      </c>
      <c r="K4" s="87">
        <f>C4-J4</f>
        <v>-9876.61</v>
      </c>
      <c r="L4" s="13">
        <f>C4-((J4/17)*26)</f>
        <v>-20187.756470588236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585</v>
      </c>
      <c r="E5" s="55">
        <f t="shared" si="0"/>
        <v>7.6</v>
      </c>
      <c r="F5" s="55">
        <f t="shared" si="0"/>
        <v>1520</v>
      </c>
      <c r="G5" s="55">
        <f t="shared" si="0"/>
        <v>1090.43</v>
      </c>
      <c r="H5" s="55">
        <f t="shared" si="0"/>
        <v>21323</v>
      </c>
      <c r="I5" s="55">
        <f t="shared" si="0"/>
        <v>2458.65</v>
      </c>
      <c r="J5" s="55">
        <f t="shared" si="0"/>
        <v>23781.65</v>
      </c>
      <c r="K5" s="55">
        <f t="shared" si="0"/>
        <v>-3381.6500000000005</v>
      </c>
      <c r="L5" s="55">
        <f t="shared" si="0"/>
        <v>-15971.935294117648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D8+F8+'02-16-2023'!H8</f>
        <v>0</v>
      </c>
      <c r="I8" s="13">
        <f>E8+G8+'02-16-2023'!I8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C8-((J8/17)*26)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732.5</v>
      </c>
      <c r="E9" s="21">
        <v>9.51</v>
      </c>
      <c r="F9" s="21">
        <v>0</v>
      </c>
      <c r="G9" s="21">
        <v>0</v>
      </c>
      <c r="H9" s="13">
        <f>D9+F9+'02-16-2023'!H9</f>
        <v>12908.960000000001</v>
      </c>
      <c r="I9" s="13">
        <f>E9+G9+'02-16-2023'!I9</f>
        <v>209.39999999999998</v>
      </c>
      <c r="J9" s="13">
        <f t="shared" si="1"/>
        <v>13118.36</v>
      </c>
      <c r="K9" s="13">
        <f t="shared" si="2"/>
        <v>11530.64</v>
      </c>
      <c r="L9" s="13">
        <f t="shared" si="3"/>
        <v>4585.6258823529388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f>17974+3400+12340</f>
        <v>33714</v>
      </c>
      <c r="D10" s="21">
        <f>-82.82+878.93</f>
        <v>796.1099999999999</v>
      </c>
      <c r="E10" s="21">
        <f>-1.07+11.42</f>
        <v>10.35</v>
      </c>
      <c r="F10" s="21">
        <v>1141.76</v>
      </c>
      <c r="G10" s="21">
        <v>82.2</v>
      </c>
      <c r="H10" s="13">
        <f>D10+F10+'02-16-2023'!H10</f>
        <v>30576.34</v>
      </c>
      <c r="I10" s="13">
        <f>E10+G10+'02-16-2023'!I10</f>
        <v>1507.09</v>
      </c>
      <c r="J10" s="13">
        <f t="shared" si="1"/>
        <v>32083.43</v>
      </c>
      <c r="K10" s="13">
        <f t="shared" si="2"/>
        <v>1630.5699999999997</v>
      </c>
      <c r="L10" s="13">
        <f t="shared" si="3"/>
        <v>-15354.775294117644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205.72</v>
      </c>
      <c r="E11" s="21">
        <v>2.66</v>
      </c>
      <c r="F11" s="21">
        <v>0</v>
      </c>
      <c r="G11" s="21">
        <v>0</v>
      </c>
      <c r="H11" s="13">
        <f>D11+F11+'02-16-2023'!H11</f>
        <v>8531.34</v>
      </c>
      <c r="I11" s="13">
        <f>E11+G11+'02-16-2023'!I11</f>
        <v>110.79000000000002</v>
      </c>
      <c r="J11" s="13">
        <f t="shared" si="1"/>
        <v>8642.130000000001</v>
      </c>
      <c r="K11" s="13">
        <f t="shared" si="2"/>
        <v>9331.869999999999</v>
      </c>
      <c r="L11" s="13">
        <f t="shared" si="3"/>
        <v>4756.6247058823519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f>14.53+1634.02</f>
        <v>1648.55</v>
      </c>
      <c r="E12" s="21">
        <f>0.16+21.23</f>
        <v>21.39</v>
      </c>
      <c r="F12" s="21">
        <v>0</v>
      </c>
      <c r="G12" s="21">
        <v>0</v>
      </c>
      <c r="H12" s="13">
        <f>D12+F12+'02-16-2023'!H12</f>
        <v>22398.45</v>
      </c>
      <c r="I12" s="13">
        <f>E12+G12+'02-16-2023'!I12</f>
        <v>290.98</v>
      </c>
      <c r="J12" s="13">
        <f t="shared" si="1"/>
        <v>22689.43</v>
      </c>
      <c r="K12" s="13">
        <f t="shared" si="2"/>
        <v>1640.5699999999997</v>
      </c>
      <c r="L12" s="13">
        <f t="shared" si="3"/>
        <v>-10371.481176470588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1382.51</v>
      </c>
      <c r="E13" s="13">
        <v>17.95</v>
      </c>
      <c r="F13" s="13">
        <v>0</v>
      </c>
      <c r="G13" s="13">
        <v>0</v>
      </c>
      <c r="H13" s="13">
        <f>D13+F13+'02-16-2023'!H13</f>
        <v>24943.899999999998</v>
      </c>
      <c r="I13" s="13">
        <f>E13+G13+'02-16-2023'!I13</f>
        <v>324.08000000000004</v>
      </c>
      <c r="J13" s="13">
        <f t="shared" si="1"/>
        <v>25267.98</v>
      </c>
      <c r="K13" s="13">
        <f t="shared" si="2"/>
        <v>8732.02</v>
      </c>
      <c r="L13" s="13">
        <f t="shared" si="3"/>
        <v>-4645.1458823529392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f>42741+5000</f>
        <v>47741</v>
      </c>
      <c r="D14" s="14">
        <f>-47.88+1300.15</f>
        <v>1252.27</v>
      </c>
      <c r="E14" s="14">
        <f>-0.62+16.89</f>
        <v>16.27</v>
      </c>
      <c r="F14" s="14">
        <v>0</v>
      </c>
      <c r="G14" s="14">
        <v>0</v>
      </c>
      <c r="H14" s="13">
        <f>D14+F14+'02-16-2023'!H14</f>
        <v>29392.829999999994</v>
      </c>
      <c r="I14" s="13">
        <f>E14+G14+'02-16-2023'!I14</f>
        <v>617.65</v>
      </c>
      <c r="J14" s="13">
        <f t="shared" si="1"/>
        <v>30010.479999999996</v>
      </c>
      <c r="K14" s="13">
        <f t="shared" si="2"/>
        <v>17730.520000000004</v>
      </c>
      <c r="L14" s="13">
        <f t="shared" si="3"/>
        <v>1842.6188235294176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595.91</v>
      </c>
      <c r="E15" s="21">
        <v>7.74</v>
      </c>
      <c r="F15" s="21">
        <v>0</v>
      </c>
      <c r="G15" s="21">
        <v>0</v>
      </c>
      <c r="H15" s="13">
        <f>D15+F15+'02-16-2023'!H15</f>
        <v>8571.9499999999989</v>
      </c>
      <c r="I15" s="13">
        <f>E15+G15+'02-16-2023'!I15</f>
        <v>111.31</v>
      </c>
      <c r="J15" s="13">
        <f t="shared" si="1"/>
        <v>8683.2599999999984</v>
      </c>
      <c r="K15" s="13">
        <f t="shared" si="2"/>
        <v>15489.740000000002</v>
      </c>
      <c r="L15" s="13">
        <f t="shared" si="3"/>
        <v>10892.720000000003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14">
        <v>272.60000000000002</v>
      </c>
      <c r="E16" s="14">
        <v>3.53</v>
      </c>
      <c r="F16" s="14">
        <v>0</v>
      </c>
      <c r="G16" s="14">
        <v>0</v>
      </c>
      <c r="H16" s="13">
        <f>D16+F16+'02-16-2023'!H16</f>
        <v>2504.8199999999997</v>
      </c>
      <c r="I16" s="13">
        <f>E16+G16+'02-16-2023'!I16</f>
        <v>34.190000000000005</v>
      </c>
      <c r="J16" s="13">
        <f t="shared" si="1"/>
        <v>2539.0099999999998</v>
      </c>
      <c r="K16" s="13">
        <f t="shared" si="2"/>
        <v>3460.9900000000002</v>
      </c>
      <c r="L16" s="13">
        <f t="shared" si="3"/>
        <v>2116.8082352941178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215498</v>
      </c>
      <c r="D17" s="55">
        <f t="shared" ref="D17:L17" si="4">SUM(D8:D16)</f>
        <v>6886.17</v>
      </c>
      <c r="E17" s="55">
        <f t="shared" si="4"/>
        <v>89.399999999999991</v>
      </c>
      <c r="F17" s="55">
        <f t="shared" si="4"/>
        <v>1141.76</v>
      </c>
      <c r="G17" s="55">
        <f t="shared" si="4"/>
        <v>82.2</v>
      </c>
      <c r="H17" s="55">
        <f t="shared" si="4"/>
        <v>139828.59</v>
      </c>
      <c r="I17" s="55">
        <f t="shared" si="4"/>
        <v>3205.49</v>
      </c>
      <c r="J17" s="55">
        <f t="shared" si="4"/>
        <v>143034.08000000002</v>
      </c>
      <c r="K17" s="55">
        <f t="shared" si="4"/>
        <v>72463.920000000013</v>
      </c>
      <c r="L17" s="55">
        <f t="shared" si="4"/>
        <v>-3260.0047058823407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D20+F20+'02-16-2023'!H20</f>
        <v>0</v>
      </c>
      <c r="I20" s="13">
        <f>E20+G20+'02-16-2023'!I20</f>
        <v>0</v>
      </c>
      <c r="J20" s="13">
        <f>H20+I20</f>
        <v>0</v>
      </c>
      <c r="K20" s="13">
        <f>C20-J20</f>
        <v>2109</v>
      </c>
      <c r="L20" s="13">
        <f t="shared" ref="L20:L22" si="5">C20-((J20/17)*26)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733.32</v>
      </c>
      <c r="E21" s="14">
        <v>9.52</v>
      </c>
      <c r="F21" s="14">
        <v>792.08</v>
      </c>
      <c r="G21" s="14">
        <v>57.02</v>
      </c>
      <c r="H21" s="13">
        <f>D21+F21+'02-16-2023'!H21</f>
        <v>21955.490000000005</v>
      </c>
      <c r="I21" s="13">
        <f>E21+G21+'02-16-2023'!I21</f>
        <v>959.57</v>
      </c>
      <c r="J21" s="13">
        <f>H21+I21</f>
        <v>22915.060000000005</v>
      </c>
      <c r="K21" s="13">
        <f>C21-J21</f>
        <v>2084.9399999999951</v>
      </c>
      <c r="L21" s="13">
        <f t="shared" si="5"/>
        <v>-10046.562352941182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322.74</v>
      </c>
      <c r="E22" s="14">
        <v>4.1900000000000004</v>
      </c>
      <c r="F22" s="14">
        <v>0</v>
      </c>
      <c r="G22" s="14">
        <v>0</v>
      </c>
      <c r="H22" s="13">
        <f>D22+F22+'02-16-2023'!H22</f>
        <v>3861.59</v>
      </c>
      <c r="I22" s="13">
        <f>E22+G22+'02-16-2023'!I22</f>
        <v>50.179999999999993</v>
      </c>
      <c r="J22" s="13">
        <f>H22+I22</f>
        <v>3911.77</v>
      </c>
      <c r="K22" s="13">
        <f>C22-J22</f>
        <v>8088.23</v>
      </c>
      <c r="L22" s="13">
        <f t="shared" si="5"/>
        <v>6017.2929411764708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1056.06</v>
      </c>
      <c r="E23" s="10">
        <f t="shared" si="6"/>
        <v>13.71</v>
      </c>
      <c r="F23" s="10">
        <f t="shared" si="6"/>
        <v>792.08</v>
      </c>
      <c r="G23" s="10">
        <f t="shared" si="6"/>
        <v>57.02</v>
      </c>
      <c r="H23" s="10">
        <f t="shared" si="6"/>
        <v>25817.080000000005</v>
      </c>
      <c r="I23" s="10">
        <f t="shared" si="6"/>
        <v>1009.75</v>
      </c>
      <c r="J23" s="10">
        <f t="shared" si="6"/>
        <v>26826.830000000005</v>
      </c>
      <c r="K23" s="10">
        <f t="shared" si="6"/>
        <v>12282.169999999995</v>
      </c>
      <c r="L23" s="10">
        <f t="shared" si="6"/>
        <v>-1920.2694117647115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646.88</v>
      </c>
      <c r="E26" s="14">
        <v>8.39</v>
      </c>
      <c r="F26" s="14">
        <v>0</v>
      </c>
      <c r="G26" s="14">
        <v>0</v>
      </c>
      <c r="H26" s="13">
        <f>D26+F26+'02-16-2023'!H26</f>
        <v>6928.1900000000014</v>
      </c>
      <c r="I26" s="13">
        <f>E26+G26+'02-16-2023'!I26</f>
        <v>140.66999999999996</v>
      </c>
      <c r="J26" s="13">
        <f>H26+I26</f>
        <v>7068.8600000000015</v>
      </c>
      <c r="K26" s="13">
        <f>C26-J26</f>
        <v>7931.1399999999985</v>
      </c>
      <c r="L26" s="13">
        <f t="shared" ref="L26:L29" si="7">C26-((J26/17)*26)</f>
        <v>4188.802352941173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D27+F27+'02-16-2023'!H27</f>
        <v>0</v>
      </c>
      <c r="I27" s="13">
        <f>E27+G27+'02-16-2023'!I27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1418</v>
      </c>
      <c r="E28" s="21">
        <v>18.399999999999999</v>
      </c>
      <c r="F28" s="21">
        <v>0</v>
      </c>
      <c r="G28" s="21">
        <v>0</v>
      </c>
      <c r="H28" s="13">
        <f>D28+F28+'02-16-2023'!H28</f>
        <v>18114.5</v>
      </c>
      <c r="I28" s="13">
        <f>E28+G28+'02-16-2023'!I28</f>
        <v>294.17999999999995</v>
      </c>
      <c r="J28" s="13">
        <f>H28+I28</f>
        <v>18408.68</v>
      </c>
      <c r="K28" s="13">
        <f>C28-J28</f>
        <v>6591.32</v>
      </c>
      <c r="L28" s="13">
        <f t="shared" si="7"/>
        <v>-3154.4517647058856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D29+F29+'02-16-2023'!H29</f>
        <v>0</v>
      </c>
      <c r="I29" s="13">
        <f>E29+G29+'02-16-2023'!I29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2064.88</v>
      </c>
      <c r="E30" s="48">
        <f t="shared" si="8"/>
        <v>26.79</v>
      </c>
      <c r="F30" s="48">
        <f t="shared" si="8"/>
        <v>0</v>
      </c>
      <c r="G30" s="48">
        <f t="shared" si="8"/>
        <v>0</v>
      </c>
      <c r="H30" s="48">
        <f t="shared" si="8"/>
        <v>25042.690000000002</v>
      </c>
      <c r="I30" s="48">
        <f t="shared" si="8"/>
        <v>434.84999999999991</v>
      </c>
      <c r="J30" s="48">
        <f t="shared" si="8"/>
        <v>25477.54</v>
      </c>
      <c r="K30" s="48">
        <f t="shared" si="8"/>
        <v>25972.46</v>
      </c>
      <c r="L30" s="48">
        <f t="shared" si="8"/>
        <v>12484.350588235287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326457</v>
      </c>
      <c r="D33" s="41">
        <f t="shared" ref="D33:L33" si="9">D17+D23+D30+D5</f>
        <v>10592.11</v>
      </c>
      <c r="E33" s="41">
        <f t="shared" si="9"/>
        <v>137.49999999999997</v>
      </c>
      <c r="F33" s="41">
        <f t="shared" si="9"/>
        <v>3453.84</v>
      </c>
      <c r="G33" s="41">
        <f t="shared" si="9"/>
        <v>1229.6500000000001</v>
      </c>
      <c r="H33" s="41">
        <f t="shared" si="9"/>
        <v>212011.36000000002</v>
      </c>
      <c r="I33" s="41">
        <f t="shared" si="9"/>
        <v>7108.74</v>
      </c>
      <c r="J33" s="41">
        <f t="shared" si="9"/>
        <v>219120.10000000003</v>
      </c>
      <c r="K33" s="41">
        <f t="shared" si="9"/>
        <v>107336.90000000002</v>
      </c>
      <c r="L33" s="41">
        <f t="shared" si="9"/>
        <v>-8667.8588235294119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D36+F36+'02-16-2023'!H36</f>
        <v>0</v>
      </c>
      <c r="I36" s="13">
        <f>E36+G36+'02-16-2023'!I36</f>
        <v>0</v>
      </c>
      <c r="J36" s="13">
        <f t="shared" ref="J36:J58" si="10">H36+I36</f>
        <v>0</v>
      </c>
      <c r="K36" s="13">
        <f t="shared" ref="K36:K58" si="11">C36-J36</f>
        <v>0</v>
      </c>
      <c r="L36" s="13">
        <f>C36-((J36/17)*26)</f>
        <v>0</v>
      </c>
    </row>
    <row r="37" spans="1:13" s="38" customFormat="1" ht="11.25" customHeight="1" x14ac:dyDescent="0.25">
      <c r="A37" s="37" t="s">
        <v>37</v>
      </c>
      <c r="B37" s="34" t="s">
        <v>36</v>
      </c>
      <c r="C37" s="13">
        <v>12000</v>
      </c>
      <c r="D37" s="14">
        <v>60</v>
      </c>
      <c r="E37" s="14">
        <v>0.78</v>
      </c>
      <c r="F37" s="14">
        <v>1360</v>
      </c>
      <c r="G37" s="14">
        <v>97.91</v>
      </c>
      <c r="H37" s="13">
        <f>D37+F37+'02-16-2023'!H37</f>
        <v>8023.25</v>
      </c>
      <c r="I37" s="13">
        <f>E37+G37+'02-16-2023'!I37</f>
        <v>963.36000000000013</v>
      </c>
      <c r="J37" s="13">
        <f t="shared" si="10"/>
        <v>8986.61</v>
      </c>
      <c r="K37" s="13">
        <f t="shared" si="11"/>
        <v>3013.3899999999994</v>
      </c>
      <c r="L37" s="13">
        <f t="shared" ref="L37:L58" si="12">C37-((J37/17)*26)</f>
        <v>-1744.2270588235297</v>
      </c>
      <c r="M37" s="40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D38+F38+'02-16-2023'!H38</f>
        <v>0</v>
      </c>
      <c r="I38" s="13">
        <f>E38+G38+'02-16-2023'!I38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D39+F39+'02-16-2023'!H39</f>
        <v>0</v>
      </c>
      <c r="I39" s="13">
        <f>E39+G39+'02-16-2023'!I39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D40+F40+'02-16-2023'!H40</f>
        <v>0</v>
      </c>
      <c r="I40" s="13">
        <f>E40+G40+'02-16-2023'!I40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2" customFormat="1" ht="11.45" customHeight="1" x14ac:dyDescent="0.25">
      <c r="A41" s="27" t="s">
        <v>99</v>
      </c>
      <c r="B41" s="86" t="s">
        <v>100</v>
      </c>
      <c r="C41" s="13">
        <v>2877.04</v>
      </c>
      <c r="D41" s="14">
        <v>191.59</v>
      </c>
      <c r="E41" s="14">
        <v>2.48</v>
      </c>
      <c r="F41" s="29">
        <v>0</v>
      </c>
      <c r="G41" s="29">
        <v>0</v>
      </c>
      <c r="H41" s="13">
        <f>D41+F41+'02-16-2023'!H41</f>
        <v>687.47</v>
      </c>
      <c r="I41" s="13">
        <f>E41+G41+'02-16-2023'!I41</f>
        <v>8.91</v>
      </c>
      <c r="J41" s="13">
        <f t="shared" si="10"/>
        <v>696.38</v>
      </c>
      <c r="K41" s="13">
        <f t="shared" si="11"/>
        <v>2180.66</v>
      </c>
      <c r="L41" s="13">
        <f t="shared" si="12"/>
        <v>1811.9882352941177</v>
      </c>
      <c r="M41" s="28"/>
    </row>
    <row r="42" spans="1:13" s="30" customFormat="1" ht="11.45" customHeight="1" x14ac:dyDescent="0.2">
      <c r="A42" s="27" t="s">
        <v>29</v>
      </c>
      <c r="B42" s="86" t="s">
        <v>28</v>
      </c>
      <c r="C42" s="13">
        <f>2500+5000</f>
        <v>7500</v>
      </c>
      <c r="D42" s="14"/>
      <c r="E42" s="14"/>
      <c r="F42" s="14"/>
      <c r="G42" s="14"/>
      <c r="H42" s="13">
        <f>D42+F42+'02-16-2023'!H42</f>
        <v>1988.9199999999998</v>
      </c>
      <c r="I42" s="13">
        <f>E42+G42+'02-16-2023'!I42</f>
        <v>25.78</v>
      </c>
      <c r="J42" s="13">
        <f t="shared" si="10"/>
        <v>2014.6999999999998</v>
      </c>
      <c r="K42" s="13">
        <f t="shared" si="11"/>
        <v>5485.3</v>
      </c>
      <c r="L42" s="13">
        <f t="shared" si="12"/>
        <v>4418.6941176470591</v>
      </c>
      <c r="M42" s="24"/>
    </row>
    <row r="43" spans="1:13" s="32" customFormat="1" ht="11.25" customHeight="1" x14ac:dyDescent="0.2">
      <c r="A43" s="27" t="s">
        <v>27</v>
      </c>
      <c r="B43" s="34" t="s">
        <v>26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D43+F43+'02-16-2023'!H43</f>
        <v>0</v>
      </c>
      <c r="I43" s="13">
        <f>E43+G43+'02-16-2023'!I43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hidden="1" customHeight="1" x14ac:dyDescent="0.2">
      <c r="A44" s="27" t="s">
        <v>25</v>
      </c>
      <c r="B44" s="34">
        <v>55110100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D44+F44+'02-16-2023'!H44</f>
        <v>0</v>
      </c>
      <c r="I44" s="13">
        <f>E44+G44+'02-16-2023'!I44</f>
        <v>0</v>
      </c>
      <c r="J44" s="21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2" customFormat="1" ht="11.25" customHeight="1" x14ac:dyDescent="0.2">
      <c r="A45" s="27" t="s">
        <v>24</v>
      </c>
      <c r="B45" s="86" t="s">
        <v>23</v>
      </c>
      <c r="C45" s="77">
        <v>0</v>
      </c>
      <c r="D45" s="77">
        <v>0</v>
      </c>
      <c r="E45" s="77">
        <v>0</v>
      </c>
      <c r="F45" s="77">
        <v>0</v>
      </c>
      <c r="G45" s="77">
        <v>0</v>
      </c>
      <c r="H45" s="13">
        <f>D45+F45+'02-16-2023'!H45</f>
        <v>0</v>
      </c>
      <c r="I45" s="13">
        <f>E45+G45+'02-16-2023'!I45</f>
        <v>0</v>
      </c>
      <c r="J45" s="13">
        <f t="shared" si="10"/>
        <v>0</v>
      </c>
      <c r="K45" s="33">
        <f t="shared" si="11"/>
        <v>0</v>
      </c>
      <c r="L45" s="13">
        <f t="shared" si="12"/>
        <v>0</v>
      </c>
      <c r="M45" s="24"/>
    </row>
    <row r="46" spans="1:13" s="30" customFormat="1" ht="11.45" customHeight="1" x14ac:dyDescent="0.25">
      <c r="A46" s="27" t="s">
        <v>22</v>
      </c>
      <c r="B46" s="86" t="s">
        <v>21</v>
      </c>
      <c r="C46" s="13">
        <v>2770.95</v>
      </c>
      <c r="D46" s="14"/>
      <c r="E46" s="14"/>
      <c r="F46" s="14"/>
      <c r="G46" s="14"/>
      <c r="H46" s="13">
        <f>D46+F46+'02-16-2023'!H46</f>
        <v>0</v>
      </c>
      <c r="I46" s="13">
        <f>E46+G46+'02-16-2023'!I46</f>
        <v>0</v>
      </c>
      <c r="J46" s="13">
        <f t="shared" si="10"/>
        <v>0</v>
      </c>
      <c r="K46" s="13">
        <f t="shared" si="11"/>
        <v>2770.95</v>
      </c>
      <c r="L46" s="13">
        <f t="shared" si="12"/>
        <v>2770.95</v>
      </c>
      <c r="M46" s="28"/>
    </row>
    <row r="47" spans="1:13" s="30" customFormat="1" ht="11.45" customHeight="1" x14ac:dyDescent="0.25">
      <c r="A47" s="27" t="s">
        <v>20</v>
      </c>
      <c r="B47" s="86" t="s">
        <v>19</v>
      </c>
      <c r="C47" s="13">
        <v>6021.08</v>
      </c>
      <c r="D47" s="14">
        <v>382.86</v>
      </c>
      <c r="E47" s="14">
        <v>4.97</v>
      </c>
      <c r="F47" s="14">
        <v>0</v>
      </c>
      <c r="G47" s="14">
        <v>0</v>
      </c>
      <c r="H47" s="13">
        <f>D47+F47+'02-16-2023'!H47</f>
        <v>4735.4849999999997</v>
      </c>
      <c r="I47" s="13">
        <f>E47+G47+'02-16-2023'!I47</f>
        <v>61.46</v>
      </c>
      <c r="J47" s="13">
        <f t="shared" si="10"/>
        <v>4796.9449999999997</v>
      </c>
      <c r="K47" s="13">
        <f t="shared" si="11"/>
        <v>1224.1350000000002</v>
      </c>
      <c r="L47" s="13">
        <f t="shared" si="12"/>
        <v>-1315.4241176470578</v>
      </c>
      <c r="M47" s="28"/>
    </row>
    <row r="48" spans="1:13" s="30" customFormat="1" ht="11.45" customHeight="1" x14ac:dyDescent="0.2">
      <c r="A48" s="27" t="s">
        <v>18</v>
      </c>
      <c r="B48" s="31" t="s">
        <v>16</v>
      </c>
      <c r="C48" s="13">
        <f>10000+5000</f>
        <v>15000</v>
      </c>
      <c r="D48" s="14">
        <v>314.3</v>
      </c>
      <c r="E48" s="14">
        <v>4.07</v>
      </c>
      <c r="F48" s="14">
        <v>0</v>
      </c>
      <c r="G48" s="14">
        <v>0</v>
      </c>
      <c r="H48" s="13">
        <f>D48+F48+'02-16-2023'!H48</f>
        <v>3930.7700000000004</v>
      </c>
      <c r="I48" s="13">
        <f>E48+G48+'02-16-2023'!I48</f>
        <v>51.06</v>
      </c>
      <c r="J48" s="13">
        <f t="shared" si="10"/>
        <v>3981.8300000000004</v>
      </c>
      <c r="K48" s="13">
        <f t="shared" si="11"/>
        <v>11018.17</v>
      </c>
      <c r="L48" s="13">
        <f t="shared" si="12"/>
        <v>8910.1423529411768</v>
      </c>
      <c r="M48" s="24"/>
    </row>
    <row r="49" spans="1:13" s="30" customFormat="1" ht="11.45" customHeight="1" x14ac:dyDescent="0.2">
      <c r="A49" s="27" t="s">
        <v>17</v>
      </c>
      <c r="B49" s="31" t="s">
        <v>16</v>
      </c>
      <c r="C49" s="13">
        <f>294.43+700+700</f>
        <v>1694.43</v>
      </c>
      <c r="D49" s="14">
        <v>0</v>
      </c>
      <c r="E49" s="14">
        <v>0</v>
      </c>
      <c r="F49" s="14">
        <v>0</v>
      </c>
      <c r="G49" s="14">
        <v>0</v>
      </c>
      <c r="H49" s="13">
        <f>D49+F49+'02-16-2023'!H49</f>
        <v>1085.2</v>
      </c>
      <c r="I49" s="13">
        <f>E49+G49+'02-16-2023'!I49</f>
        <v>14.1</v>
      </c>
      <c r="J49" s="13">
        <f t="shared" si="10"/>
        <v>1099.3</v>
      </c>
      <c r="K49" s="13">
        <f t="shared" si="11"/>
        <v>595.13000000000011</v>
      </c>
      <c r="L49" s="13">
        <f t="shared" si="12"/>
        <v>13.14764705882385</v>
      </c>
      <c r="M49" s="24"/>
    </row>
    <row r="50" spans="1:13" s="23" customFormat="1" ht="11.25" customHeight="1" x14ac:dyDescent="0.25">
      <c r="A50" s="27" t="s">
        <v>15</v>
      </c>
      <c r="B50" s="86" t="s">
        <v>14</v>
      </c>
      <c r="C50" s="13">
        <f>1686.24+250.84</f>
        <v>1937.08</v>
      </c>
      <c r="D50" s="14">
        <v>0</v>
      </c>
      <c r="E50" s="14">
        <v>0</v>
      </c>
      <c r="F50" s="14">
        <v>0</v>
      </c>
      <c r="G50" s="14">
        <v>0</v>
      </c>
      <c r="H50" s="13">
        <f>D50+F50+'02-16-2023'!H50</f>
        <v>1807</v>
      </c>
      <c r="I50" s="13">
        <f>E50+G50+'02-16-2023'!I50</f>
        <v>130.08000000000001</v>
      </c>
      <c r="J50" s="13">
        <f t="shared" si="10"/>
        <v>1937.08</v>
      </c>
      <c r="K50" s="13">
        <f t="shared" si="11"/>
        <v>0</v>
      </c>
      <c r="L50" s="13">
        <f t="shared" si="12"/>
        <v>-1025.5129411764706</v>
      </c>
      <c r="M50" s="74"/>
    </row>
    <row r="51" spans="1:13" s="23" customFormat="1" ht="11.25" customHeight="1" x14ac:dyDescent="0.25">
      <c r="A51" s="27" t="s">
        <v>13</v>
      </c>
      <c r="B51" s="86" t="s">
        <v>12</v>
      </c>
      <c r="C51" s="13">
        <f>3800+5500</f>
        <v>9300</v>
      </c>
      <c r="D51" s="14">
        <v>572.59</v>
      </c>
      <c r="E51" s="14">
        <v>7.44</v>
      </c>
      <c r="F51" s="14">
        <v>0</v>
      </c>
      <c r="G51" s="14">
        <v>0</v>
      </c>
      <c r="H51" s="13">
        <f>D51+F51+'02-16-2023'!H51</f>
        <v>7050.33</v>
      </c>
      <c r="I51" s="13">
        <f>E51+G51+'02-16-2023'!I51</f>
        <v>91.52</v>
      </c>
      <c r="J51" s="13">
        <f t="shared" si="10"/>
        <v>7141.85</v>
      </c>
      <c r="K51" s="13">
        <f t="shared" si="11"/>
        <v>2158.1499999999996</v>
      </c>
      <c r="L51" s="13">
        <f t="shared" si="12"/>
        <v>-1622.8294117647056</v>
      </c>
      <c r="M51" s="28"/>
    </row>
    <row r="52" spans="1:13" s="23" customFormat="1" ht="11.25" customHeight="1" x14ac:dyDescent="0.2">
      <c r="A52" s="27" t="s">
        <v>11</v>
      </c>
      <c r="B52" s="86" t="s">
        <v>10</v>
      </c>
      <c r="C52" s="13">
        <v>6800</v>
      </c>
      <c r="D52" s="14">
        <v>0</v>
      </c>
      <c r="E52" s="14">
        <v>0</v>
      </c>
      <c r="F52" s="14">
        <v>0</v>
      </c>
      <c r="G52" s="14">
        <v>0</v>
      </c>
      <c r="H52" s="13">
        <f>D52+F52+'02-16-2023'!H52</f>
        <v>2480</v>
      </c>
      <c r="I52" s="13">
        <f>E52+G52+'02-16-2023'!I52</f>
        <v>32.24</v>
      </c>
      <c r="J52" s="13">
        <f t="shared" si="10"/>
        <v>2512.2399999999998</v>
      </c>
      <c r="K52" s="13">
        <f t="shared" si="11"/>
        <v>4287.76</v>
      </c>
      <c r="L52" s="13">
        <f t="shared" si="12"/>
        <v>2957.7505882352948</v>
      </c>
      <c r="M52" s="24"/>
    </row>
    <row r="53" spans="1:13" s="23" customFormat="1" ht="11.25" customHeight="1" x14ac:dyDescent="0.2">
      <c r="A53" s="27" t="s">
        <v>9</v>
      </c>
      <c r="B53" s="86" t="s">
        <v>8</v>
      </c>
      <c r="C53" s="13">
        <v>1900</v>
      </c>
      <c r="D53" s="14">
        <v>150</v>
      </c>
      <c r="E53" s="14">
        <v>1.94</v>
      </c>
      <c r="F53" s="14">
        <v>0</v>
      </c>
      <c r="G53" s="14">
        <v>0</v>
      </c>
      <c r="H53" s="13">
        <f>D53+F53+'02-16-2023'!H53</f>
        <v>1724.72</v>
      </c>
      <c r="I53" s="13">
        <f>E53+G53+'02-16-2023'!I53</f>
        <v>115.27</v>
      </c>
      <c r="J53" s="13">
        <f t="shared" si="10"/>
        <v>1839.99</v>
      </c>
      <c r="K53" s="13">
        <f t="shared" si="11"/>
        <v>60.009999999999991</v>
      </c>
      <c r="L53" s="13">
        <f t="shared" si="12"/>
        <v>-914.10235294117638</v>
      </c>
      <c r="M53" s="24"/>
    </row>
    <row r="54" spans="1:13" s="23" customFormat="1" ht="11.25" customHeight="1" x14ac:dyDescent="0.2">
      <c r="A54" s="27" t="s">
        <v>97</v>
      </c>
      <c r="B54" s="86" t="s">
        <v>98</v>
      </c>
      <c r="C54" s="13">
        <v>5937</v>
      </c>
      <c r="D54" s="14">
        <f>78.89+371.91</f>
        <v>450.8</v>
      </c>
      <c r="E54" s="14">
        <f>1.02+4.82</f>
        <v>5.84</v>
      </c>
      <c r="F54" s="77">
        <v>0</v>
      </c>
      <c r="G54" s="77">
        <v>0</v>
      </c>
      <c r="H54" s="13">
        <f>D54+F54+'02-16-2023'!H54</f>
        <v>811.44</v>
      </c>
      <c r="I54" s="13">
        <f>E54+G54+'02-16-2023'!I54</f>
        <v>10.52</v>
      </c>
      <c r="J54" s="13">
        <f t="shared" si="10"/>
        <v>821.96</v>
      </c>
      <c r="K54" s="13">
        <f t="shared" si="11"/>
        <v>5115.04</v>
      </c>
      <c r="L54" s="13">
        <f t="shared" si="12"/>
        <v>4679.884705882353</v>
      </c>
      <c r="M54" s="24"/>
    </row>
    <row r="55" spans="1:13" s="23" customFormat="1" ht="11.25" customHeight="1" x14ac:dyDescent="0.2">
      <c r="A55" s="27" t="s">
        <v>7</v>
      </c>
      <c r="B55" s="86" t="s">
        <v>6</v>
      </c>
      <c r="C55" s="25">
        <v>303.89999999999998</v>
      </c>
      <c r="D55" s="14">
        <v>0</v>
      </c>
      <c r="E55" s="14">
        <v>0</v>
      </c>
      <c r="F55" s="14">
        <v>0</v>
      </c>
      <c r="G55" s="14">
        <v>0</v>
      </c>
      <c r="H55" s="13">
        <f>D55+F55+'02-16-2023'!H55</f>
        <v>0</v>
      </c>
      <c r="I55" s="13">
        <f>E55+G55+'02-16-2023'!I55</f>
        <v>0</v>
      </c>
      <c r="J55" s="13">
        <f t="shared" si="10"/>
        <v>0</v>
      </c>
      <c r="K55" s="13">
        <f t="shared" si="11"/>
        <v>303.89999999999998</v>
      </c>
      <c r="L55" s="13">
        <f t="shared" si="12"/>
        <v>303.89999999999998</v>
      </c>
      <c r="M55" s="24"/>
    </row>
    <row r="56" spans="1:13" s="23" customFormat="1" ht="11.25" customHeight="1" x14ac:dyDescent="0.2">
      <c r="A56" s="27" t="s">
        <v>82</v>
      </c>
      <c r="B56" s="86" t="s">
        <v>83</v>
      </c>
      <c r="C56" s="25">
        <v>6300</v>
      </c>
      <c r="D56" s="14">
        <v>0</v>
      </c>
      <c r="E56" s="14">
        <v>0</v>
      </c>
      <c r="F56" s="14">
        <v>0</v>
      </c>
      <c r="G56" s="14">
        <v>0</v>
      </c>
      <c r="H56" s="13">
        <f>D56+F56+'02-16-2023'!H56</f>
        <v>0</v>
      </c>
      <c r="I56" s="13">
        <f>E56+G56+'02-16-2023'!I56</f>
        <v>0</v>
      </c>
      <c r="J56" s="13">
        <f t="shared" si="10"/>
        <v>0</v>
      </c>
      <c r="K56" s="13">
        <f t="shared" si="11"/>
        <v>6300</v>
      </c>
      <c r="L56" s="13">
        <f t="shared" si="12"/>
        <v>6300</v>
      </c>
      <c r="M56" s="24"/>
    </row>
    <row r="57" spans="1:13" s="23" customFormat="1" ht="11.25" customHeight="1" x14ac:dyDescent="0.2">
      <c r="A57" s="27" t="s">
        <v>104</v>
      </c>
      <c r="B57" s="86" t="s">
        <v>103</v>
      </c>
      <c r="C57" s="25">
        <v>2350</v>
      </c>
      <c r="D57" s="29">
        <v>299</v>
      </c>
      <c r="E57" s="29">
        <v>3.88</v>
      </c>
      <c r="F57" s="29">
        <v>0</v>
      </c>
      <c r="G57" s="29">
        <v>0</v>
      </c>
      <c r="H57" s="13">
        <f>D57+F57+'02-16-2023'!H57</f>
        <v>624</v>
      </c>
      <c r="I57" s="13">
        <f>E57+G57+'02-16-2023'!I57</f>
        <v>8.1</v>
      </c>
      <c r="J57" s="13">
        <f t="shared" si="10"/>
        <v>632.1</v>
      </c>
      <c r="K57" s="13">
        <f t="shared" si="11"/>
        <v>1717.9</v>
      </c>
      <c r="L57" s="13">
        <f t="shared" si="12"/>
        <v>1383.2588235294115</v>
      </c>
      <c r="M57" s="92"/>
    </row>
    <row r="58" spans="1:13" s="23" customFormat="1" ht="11.25" customHeight="1" x14ac:dyDescent="0.2">
      <c r="A58" s="27" t="s">
        <v>85</v>
      </c>
      <c r="B58" s="86" t="s">
        <v>88</v>
      </c>
      <c r="C58" s="25">
        <v>7467.05</v>
      </c>
      <c r="D58" s="14">
        <v>0</v>
      </c>
      <c r="E58" s="14">
        <v>0</v>
      </c>
      <c r="F58" s="14">
        <v>250</v>
      </c>
      <c r="G58" s="14">
        <v>17.989999999999998</v>
      </c>
      <c r="H58" s="13">
        <f>D58+F58+'02-16-2023'!H58</f>
        <v>2725</v>
      </c>
      <c r="I58" s="13">
        <f>E58+G58+'02-16-2023'!I58</f>
        <v>196.19</v>
      </c>
      <c r="J58" s="13">
        <f t="shared" si="10"/>
        <v>2921.19</v>
      </c>
      <c r="K58" s="13">
        <f t="shared" si="11"/>
        <v>4545.8600000000006</v>
      </c>
      <c r="L58" s="13">
        <f t="shared" si="12"/>
        <v>2999.3476470588239</v>
      </c>
      <c r="M58" s="24"/>
    </row>
    <row r="59" spans="1:13" ht="21.6" customHeight="1" x14ac:dyDescent="0.25">
      <c r="A59" s="94" t="s">
        <v>5</v>
      </c>
      <c r="B59" s="95"/>
      <c r="C59" s="10">
        <f>SUM(C36:C58)</f>
        <v>90158.53</v>
      </c>
      <c r="D59" s="10">
        <f t="shared" ref="D59:K59" si="13">SUM(D36:D58)</f>
        <v>2421.1400000000003</v>
      </c>
      <c r="E59" s="10">
        <f t="shared" si="13"/>
        <v>31.400000000000002</v>
      </c>
      <c r="F59" s="10">
        <f t="shared" si="13"/>
        <v>1610</v>
      </c>
      <c r="G59" s="10">
        <f t="shared" si="13"/>
        <v>115.89999999999999</v>
      </c>
      <c r="H59" s="10">
        <f t="shared" si="13"/>
        <v>37673.585000000006</v>
      </c>
      <c r="I59" s="10">
        <f t="shared" si="13"/>
        <v>1708.5899999999997</v>
      </c>
      <c r="J59" s="10">
        <f t="shared" si="13"/>
        <v>39382.174999999996</v>
      </c>
      <c r="K59" s="10">
        <f t="shared" si="13"/>
        <v>50776.35500000001</v>
      </c>
      <c r="L59" s="10">
        <f>SUM(L36:L58)</f>
        <v>29926.96823529412</v>
      </c>
      <c r="M59" s="22"/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22"/>
    </row>
    <row r="61" spans="1:13" ht="10.9" customHeight="1" x14ac:dyDescent="0.25">
      <c r="A61" s="19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3" s="11" customFormat="1" ht="10.9" customHeight="1" x14ac:dyDescent="0.25">
      <c r="A62" s="16" t="s">
        <v>4</v>
      </c>
      <c r="B62" s="15" t="s">
        <v>3</v>
      </c>
      <c r="C62" s="13">
        <v>62583</v>
      </c>
      <c r="D62" s="13">
        <v>3090.94</v>
      </c>
      <c r="E62" s="13">
        <v>40.17</v>
      </c>
      <c r="F62" s="13">
        <v>0</v>
      </c>
      <c r="G62" s="13">
        <v>0</v>
      </c>
      <c r="H62" s="13">
        <f>D62+F62+'02-16-2023'!H62</f>
        <v>32148.79</v>
      </c>
      <c r="I62" s="13">
        <f>E62+G62+'02-16-2023'!I62</f>
        <v>417.75999999999993</v>
      </c>
      <c r="J62" s="13">
        <f>H62+I62</f>
        <v>32566.55</v>
      </c>
      <c r="K62" s="13">
        <f>C62-J62</f>
        <v>30016.45</v>
      </c>
      <c r="L62" s="13">
        <f t="shared" ref="L62:L63" si="14">C62-((J62/17)*26)</f>
        <v>12775.335294117642</v>
      </c>
      <c r="M62" s="12"/>
    </row>
    <row r="63" spans="1:13" s="11" customFormat="1" ht="10.9" customHeight="1" x14ac:dyDescent="0.25">
      <c r="A63" s="16" t="s">
        <v>76</v>
      </c>
      <c r="B63" s="15" t="s">
        <v>102</v>
      </c>
      <c r="C63" s="13">
        <v>1000</v>
      </c>
      <c r="D63" s="14">
        <v>157.5</v>
      </c>
      <c r="E63" s="14">
        <v>2.04</v>
      </c>
      <c r="F63" s="14">
        <v>0</v>
      </c>
      <c r="G63" s="14">
        <v>0</v>
      </c>
      <c r="H63" s="13">
        <f>D63+F63+'02-16-2023'!H63</f>
        <v>1061.25</v>
      </c>
      <c r="I63" s="13">
        <f>E63+G63+'02-16-2023'!I63</f>
        <v>13.780000000000001</v>
      </c>
      <c r="J63" s="13">
        <f>H63+I63</f>
        <v>1075.03</v>
      </c>
      <c r="K63" s="87">
        <f>C63-J63</f>
        <v>-75.029999999999973</v>
      </c>
      <c r="L63" s="13">
        <f t="shared" si="14"/>
        <v>-644.16352941176456</v>
      </c>
      <c r="M63" s="12"/>
    </row>
    <row r="64" spans="1:13" ht="21.6" customHeight="1" x14ac:dyDescent="0.25">
      <c r="A64" s="94" t="s">
        <v>2</v>
      </c>
      <c r="B64" s="95"/>
      <c r="C64" s="20">
        <f>SUM(C62:C63)</f>
        <v>63583</v>
      </c>
      <c r="D64" s="20">
        <f>SUM(D62:D63)</f>
        <v>3248.44</v>
      </c>
      <c r="E64" s="20">
        <f>SUM(E62:E63)</f>
        <v>42.21</v>
      </c>
      <c r="F64" s="20">
        <f>SUM(F62:F63)</f>
        <v>0</v>
      </c>
      <c r="G64" s="20">
        <f>SUM(G62:G63)</f>
        <v>0</v>
      </c>
      <c r="H64" s="20">
        <f t="shared" ref="H64:L64" si="15">SUM(H62:H63)</f>
        <v>33210.04</v>
      </c>
      <c r="I64" s="20">
        <f t="shared" si="15"/>
        <v>431.53999999999996</v>
      </c>
      <c r="J64" s="20">
        <f t="shared" si="15"/>
        <v>33641.58</v>
      </c>
      <c r="K64" s="20">
        <f t="shared" si="15"/>
        <v>29941.420000000002</v>
      </c>
      <c r="L64" s="20">
        <f t="shared" si="15"/>
        <v>12131.171764705878</v>
      </c>
    </row>
    <row r="65" spans="1:18" ht="10.9" customHeight="1" x14ac:dyDescent="0.25">
      <c r="A65" s="19"/>
      <c r="B65" s="18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8" ht="10.9" customHeight="1" x14ac:dyDescent="0.25">
      <c r="A66" s="19"/>
      <c r="B66" s="18"/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1:18" s="11" customFormat="1" ht="10.9" customHeight="1" x14ac:dyDescent="0.25">
      <c r="A67" s="16" t="s">
        <v>1</v>
      </c>
      <c r="B67" s="15">
        <v>55180000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13">
        <f>D67+F67+'02-16-2023'!H67</f>
        <v>0</v>
      </c>
      <c r="I67" s="13">
        <f>E67+G67+'02-16-2023'!I67</f>
        <v>0</v>
      </c>
      <c r="J67" s="13">
        <f>H67+I67</f>
        <v>0</v>
      </c>
      <c r="K67" s="13">
        <f>C67-J67</f>
        <v>0</v>
      </c>
      <c r="L67" s="13">
        <f>C67-((J67/17)*26)</f>
        <v>0</v>
      </c>
      <c r="M67" s="12"/>
    </row>
    <row r="68" spans="1:18" s="5" customFormat="1" ht="21.6" customHeight="1" x14ac:dyDescent="0.25">
      <c r="A68" s="94" t="s">
        <v>0</v>
      </c>
      <c r="B68" s="95"/>
      <c r="C68" s="10">
        <f t="shared" ref="C68:L68" si="16">SUM(C67)</f>
        <v>0</v>
      </c>
      <c r="D68" s="10">
        <f t="shared" si="16"/>
        <v>0</v>
      </c>
      <c r="E68" s="10">
        <f t="shared" si="16"/>
        <v>0</v>
      </c>
      <c r="F68" s="10">
        <f t="shared" si="16"/>
        <v>0</v>
      </c>
      <c r="G68" s="10">
        <f t="shared" si="16"/>
        <v>0</v>
      </c>
      <c r="H68" s="10">
        <f t="shared" si="16"/>
        <v>0</v>
      </c>
      <c r="I68" s="10">
        <f t="shared" si="16"/>
        <v>0</v>
      </c>
      <c r="J68" s="10">
        <f t="shared" si="16"/>
        <v>0</v>
      </c>
      <c r="K68" s="10">
        <f t="shared" si="16"/>
        <v>0</v>
      </c>
      <c r="L68" s="10">
        <f t="shared" si="16"/>
        <v>0</v>
      </c>
      <c r="M68" s="6"/>
    </row>
    <row r="69" spans="1:18" s="5" customFormat="1" ht="11.25" customHeight="1" x14ac:dyDescent="0.25">
      <c r="A69" s="9"/>
      <c r="B69" s="8"/>
      <c r="C69" s="7"/>
      <c r="D69" s="7"/>
      <c r="E69" s="7"/>
      <c r="F69" s="7"/>
      <c r="G69" s="7"/>
      <c r="H69" s="7"/>
      <c r="I69" s="7"/>
      <c r="J69" s="7"/>
      <c r="K69" s="7"/>
      <c r="L69" s="7"/>
      <c r="M69" s="6"/>
    </row>
    <row r="70" spans="1:18" ht="10.5" customHeight="1" x14ac:dyDescent="0.25">
      <c r="A70" s="101" t="s">
        <v>80</v>
      </c>
      <c r="B70" s="101"/>
      <c r="C70" s="101"/>
      <c r="D70" s="101"/>
      <c r="E70" s="101"/>
      <c r="F70" s="101"/>
      <c r="G70" s="79">
        <v>700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78</v>
      </c>
      <c r="B71" s="101"/>
      <c r="C71" s="101"/>
      <c r="D71" s="101"/>
      <c r="E71" s="101"/>
      <c r="F71" s="101"/>
      <c r="G71" s="79">
        <v>15000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79</v>
      </c>
      <c r="B72" s="101"/>
      <c r="C72" s="101"/>
      <c r="D72" s="101"/>
      <c r="E72" s="101"/>
      <c r="F72" s="101"/>
      <c r="G72" s="79">
        <v>3800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81</v>
      </c>
      <c r="B73" s="101"/>
      <c r="C73" s="101"/>
      <c r="D73" s="101"/>
      <c r="E73" s="101"/>
      <c r="F73" s="101"/>
      <c r="G73" s="79">
        <v>5000</v>
      </c>
      <c r="M73" s="102"/>
      <c r="N73" s="102"/>
      <c r="O73" s="102"/>
      <c r="P73" s="102"/>
      <c r="Q73" s="102"/>
      <c r="R73" s="102"/>
    </row>
    <row r="74" spans="1:18" ht="10.5" customHeight="1" x14ac:dyDescent="0.25">
      <c r="A74" s="101" t="s">
        <v>84</v>
      </c>
      <c r="B74" s="101"/>
      <c r="C74" s="101"/>
      <c r="D74" s="101"/>
      <c r="E74" s="101"/>
      <c r="F74" s="101"/>
      <c r="G74" s="79">
        <v>6300</v>
      </c>
      <c r="M74" s="102"/>
      <c r="N74" s="102"/>
      <c r="O74" s="102"/>
      <c r="P74" s="102"/>
      <c r="Q74" s="102"/>
      <c r="R74" s="102"/>
    </row>
    <row r="75" spans="1:18" ht="10.5" customHeight="1" x14ac:dyDescent="0.25">
      <c r="A75" s="101" t="s">
        <v>87</v>
      </c>
      <c r="B75" s="101"/>
      <c r="C75" s="101"/>
      <c r="D75" s="101"/>
      <c r="E75" s="101"/>
      <c r="F75" s="101"/>
      <c r="G75" s="79">
        <v>7467.05</v>
      </c>
      <c r="M75" s="102"/>
      <c r="N75" s="102"/>
      <c r="O75" s="102"/>
      <c r="P75" s="102"/>
      <c r="Q75" s="102"/>
      <c r="R75" s="102"/>
    </row>
    <row r="76" spans="1:18" ht="10.5" customHeight="1" x14ac:dyDescent="0.25">
      <c r="A76" s="101" t="s">
        <v>89</v>
      </c>
      <c r="B76" s="101"/>
      <c r="C76" s="101"/>
      <c r="D76" s="101"/>
      <c r="E76" s="101"/>
      <c r="F76" s="101"/>
      <c r="G76" s="79">
        <v>5500</v>
      </c>
      <c r="M76" s="102"/>
      <c r="N76" s="102"/>
      <c r="O76" s="102"/>
      <c r="P76" s="102"/>
      <c r="Q76" s="102"/>
      <c r="R76" s="102"/>
    </row>
    <row r="77" spans="1:18" ht="10.5" customHeight="1" x14ac:dyDescent="0.25">
      <c r="A77" s="101" t="s">
        <v>92</v>
      </c>
      <c r="B77" s="101"/>
      <c r="C77" s="101"/>
      <c r="D77" s="101"/>
      <c r="E77" s="101"/>
      <c r="F77" s="101"/>
      <c r="G77" s="79">
        <v>3400</v>
      </c>
      <c r="M77" s="102"/>
      <c r="N77" s="102"/>
      <c r="O77" s="102"/>
      <c r="P77" s="102"/>
      <c r="Q77" s="102"/>
      <c r="R77" s="102"/>
    </row>
    <row r="78" spans="1:18" ht="10.5" customHeight="1" x14ac:dyDescent="0.25">
      <c r="A78" s="101" t="s">
        <v>91</v>
      </c>
      <c r="B78" s="101"/>
      <c r="C78" s="101"/>
      <c r="D78" s="101"/>
      <c r="E78" s="101"/>
      <c r="F78" s="101"/>
      <c r="G78" s="79">
        <v>5000</v>
      </c>
      <c r="M78" s="102"/>
      <c r="N78" s="102"/>
      <c r="O78" s="102"/>
      <c r="P78" s="102"/>
      <c r="Q78" s="102"/>
      <c r="R78" s="102"/>
    </row>
    <row r="79" spans="1:18" ht="10.5" customHeight="1" x14ac:dyDescent="0.25">
      <c r="A79" s="101" t="s">
        <v>93</v>
      </c>
      <c r="B79" s="101"/>
      <c r="C79" s="101"/>
      <c r="D79" s="101"/>
      <c r="E79" s="101"/>
      <c r="F79" s="101"/>
      <c r="G79" s="79">
        <v>12340</v>
      </c>
      <c r="M79" s="102"/>
      <c r="N79" s="102"/>
      <c r="O79" s="102"/>
      <c r="P79" s="102"/>
      <c r="Q79" s="102"/>
      <c r="R79" s="102"/>
    </row>
    <row r="80" spans="1:18" ht="10.5" customHeight="1" x14ac:dyDescent="0.25">
      <c r="A80" s="101" t="s">
        <v>94</v>
      </c>
      <c r="B80" s="101"/>
      <c r="C80" s="101"/>
      <c r="D80" s="101"/>
      <c r="E80" s="101"/>
      <c r="F80" s="101"/>
      <c r="G80" s="79">
        <v>5000</v>
      </c>
      <c r="M80" s="102"/>
      <c r="N80" s="102"/>
      <c r="O80" s="102"/>
      <c r="P80" s="102"/>
      <c r="Q80" s="102"/>
      <c r="R80" s="102"/>
    </row>
    <row r="81" spans="1:18" ht="10.5" customHeight="1" x14ac:dyDescent="0.25">
      <c r="A81" s="101" t="s">
        <v>95</v>
      </c>
      <c r="B81" s="101"/>
      <c r="C81" s="101"/>
      <c r="D81" s="101"/>
      <c r="E81" s="101"/>
      <c r="F81" s="101"/>
      <c r="G81" s="79">
        <v>12000</v>
      </c>
      <c r="M81" s="102"/>
      <c r="N81" s="102"/>
      <c r="O81" s="102"/>
      <c r="P81" s="102"/>
      <c r="Q81" s="102"/>
      <c r="R81" s="102"/>
    </row>
    <row r="82" spans="1:18" ht="10.5" customHeight="1" x14ac:dyDescent="0.25">
      <c r="A82" s="101" t="s">
        <v>96</v>
      </c>
      <c r="B82" s="101"/>
      <c r="C82" s="101"/>
      <c r="D82" s="101"/>
      <c r="E82" s="101"/>
      <c r="F82" s="101"/>
      <c r="G82" s="79">
        <v>5937</v>
      </c>
      <c r="M82" s="102"/>
      <c r="N82" s="102"/>
      <c r="O82" s="102"/>
      <c r="P82" s="102"/>
      <c r="Q82" s="102"/>
      <c r="R82" s="102"/>
    </row>
    <row r="83" spans="1:18" ht="10.5" customHeight="1" x14ac:dyDescent="0.25">
      <c r="A83" s="101" t="s">
        <v>101</v>
      </c>
      <c r="B83" s="101"/>
      <c r="C83" s="101"/>
      <c r="D83" s="101"/>
      <c r="E83" s="101"/>
      <c r="F83" s="101"/>
      <c r="G83" s="79">
        <v>2877.04</v>
      </c>
      <c r="M83" s="102"/>
      <c r="N83" s="102"/>
      <c r="O83" s="102"/>
      <c r="P83" s="102"/>
      <c r="Q83" s="102"/>
      <c r="R83" s="102"/>
    </row>
    <row r="84" spans="1:18" ht="10.5" customHeight="1" x14ac:dyDescent="0.25">
      <c r="A84" s="101" t="s">
        <v>105</v>
      </c>
      <c r="B84" s="101"/>
      <c r="C84" s="101"/>
      <c r="D84" s="101"/>
      <c r="E84" s="101"/>
      <c r="F84" s="101"/>
      <c r="G84" s="79">
        <v>2350</v>
      </c>
      <c r="M84" s="102"/>
      <c r="N84" s="102"/>
      <c r="O84" s="102"/>
      <c r="P84" s="102"/>
      <c r="Q84" s="102"/>
      <c r="R84" s="102"/>
    </row>
    <row r="130" spans="13:13" x14ac:dyDescent="0.25">
      <c r="M130" s="2">
        <f>SUM(M34:M128)</f>
        <v>0</v>
      </c>
    </row>
  </sheetData>
  <mergeCells count="38">
    <mergeCell ref="A59:B59"/>
    <mergeCell ref="A5:B5"/>
    <mergeCell ref="A17:B17"/>
    <mergeCell ref="A23:B23"/>
    <mergeCell ref="A30:B30"/>
    <mergeCell ref="A33:B33"/>
    <mergeCell ref="A64:B64"/>
    <mergeCell ref="A68:B68"/>
    <mergeCell ref="A70:F70"/>
    <mergeCell ref="M70:R70"/>
    <mergeCell ref="A71:F71"/>
    <mergeCell ref="M71:R71"/>
    <mergeCell ref="A72:F72"/>
    <mergeCell ref="M72:R72"/>
    <mergeCell ref="A73:F73"/>
    <mergeCell ref="M73:R73"/>
    <mergeCell ref="A74:F74"/>
    <mergeCell ref="M74:R74"/>
    <mergeCell ref="A75:F75"/>
    <mergeCell ref="M75:R75"/>
    <mergeCell ref="A76:F76"/>
    <mergeCell ref="M76:R76"/>
    <mergeCell ref="A77:F77"/>
    <mergeCell ref="M77:R77"/>
    <mergeCell ref="A78:F78"/>
    <mergeCell ref="M78:R78"/>
    <mergeCell ref="A79:F79"/>
    <mergeCell ref="M79:R79"/>
    <mergeCell ref="A80:F80"/>
    <mergeCell ref="M80:R80"/>
    <mergeCell ref="A84:F84"/>
    <mergeCell ref="M84:R84"/>
    <mergeCell ref="A81:F81"/>
    <mergeCell ref="M81:R81"/>
    <mergeCell ref="A82:F82"/>
    <mergeCell ref="M82:R82"/>
    <mergeCell ref="A83:F83"/>
    <mergeCell ref="M83:R83"/>
  </mergeCells>
  <pageMargins left="0.25" right="0" top="0.4" bottom="0" header="0.3" footer="0"/>
  <pageSetup scale="7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35CDE-EFCF-48B2-8B5C-E531F73DBD2B}">
  <sheetPr>
    <pageSetUpPr fitToPage="1"/>
  </sheetPr>
  <dimension ref="A1:M63"/>
  <sheetViews>
    <sheetView zoomScale="145" zoomScaleNormal="145" workbookViewId="0">
      <pane ySplit="2" topLeftCell="A38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6.2851562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44763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D3+F3+'07-07-2022'!H3</f>
        <v>0</v>
      </c>
      <c r="I3" s="13">
        <f>E3+G3+'07-07-2022'!I3</f>
        <v>0</v>
      </c>
      <c r="J3" s="13">
        <f>H3+I3</f>
        <v>0</v>
      </c>
      <c r="K3" s="13">
        <f>C3-J3</f>
        <v>10800</v>
      </c>
      <c r="L3" s="13">
        <f t="shared" ref="L3:L4" si="0">C3-((J3/2)*26)</f>
        <v>10800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>D4+F4+'07-07-2022'!H4</f>
        <v>0</v>
      </c>
      <c r="I4" s="13">
        <f>E4+G4+'07-07-2022'!I4</f>
        <v>0</v>
      </c>
      <c r="J4" s="13">
        <f>H4+I4</f>
        <v>0</v>
      </c>
      <c r="K4" s="13">
        <f>C4-J4</f>
        <v>9600</v>
      </c>
      <c r="L4" s="13">
        <f t="shared" si="0"/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1">SUM(D3:D4)</f>
        <v>0</v>
      </c>
      <c r="E5" s="55">
        <f t="shared" si="1"/>
        <v>0</v>
      </c>
      <c r="F5" s="55">
        <f t="shared" si="1"/>
        <v>0</v>
      </c>
      <c r="G5" s="55">
        <f t="shared" si="1"/>
        <v>0</v>
      </c>
      <c r="H5" s="55">
        <f t="shared" si="1"/>
        <v>0</v>
      </c>
      <c r="I5" s="55">
        <f t="shared" si="1"/>
        <v>0</v>
      </c>
      <c r="J5" s="55">
        <f t="shared" si="1"/>
        <v>0</v>
      </c>
      <c r="K5" s="55">
        <f t="shared" si="1"/>
        <v>20400</v>
      </c>
      <c r="L5" s="55">
        <f t="shared" si="1"/>
        <v>20400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D8+F8+'07-07-2022'!H8</f>
        <v>0</v>
      </c>
      <c r="I8" s="13">
        <f>E8+G8+'07-07-2022'!I8</f>
        <v>0</v>
      </c>
      <c r="J8" s="13">
        <f t="shared" ref="J8:J16" si="2">H8+I8</f>
        <v>0</v>
      </c>
      <c r="K8" s="13">
        <f t="shared" ref="K8:K16" si="3">C8-J8</f>
        <v>2917</v>
      </c>
      <c r="L8" s="13">
        <f t="shared" ref="L8:L16" si="4">C8-((J8/2)*26)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f>44.06+901.8</f>
        <v>945.8599999999999</v>
      </c>
      <c r="E9" s="21">
        <f>0.57+11.72</f>
        <v>12.290000000000001</v>
      </c>
      <c r="F9" s="21">
        <v>653.26</v>
      </c>
      <c r="G9" s="21">
        <v>47.03</v>
      </c>
      <c r="H9" s="13">
        <f>D9+F9+'07-07-2022'!H9</f>
        <v>2310.1499999999996</v>
      </c>
      <c r="I9" s="13">
        <f>E9+G9+'07-07-2022'!I9</f>
        <v>92.75</v>
      </c>
      <c r="J9" s="13">
        <f t="shared" si="2"/>
        <v>2402.8999999999996</v>
      </c>
      <c r="K9" s="13">
        <f t="shared" si="3"/>
        <v>22246.1</v>
      </c>
      <c r="L9" s="13">
        <f t="shared" si="4"/>
        <v>-6588.6999999999971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f>33.48+631.76</f>
        <v>665.24</v>
      </c>
      <c r="E10" s="21">
        <f>0.43+8.21</f>
        <v>8.64</v>
      </c>
      <c r="F10" s="21">
        <v>1008</v>
      </c>
      <c r="G10" s="21">
        <v>72.569999999999993</v>
      </c>
      <c r="H10" s="13">
        <f>D10+F10+'07-07-2022'!H10</f>
        <v>1955.16</v>
      </c>
      <c r="I10" s="13">
        <f>E10+G10+'07-07-2022'!I10</f>
        <v>84.86999999999999</v>
      </c>
      <c r="J10" s="13">
        <f t="shared" si="2"/>
        <v>2040.03</v>
      </c>
      <c r="K10" s="13">
        <f t="shared" si="3"/>
        <v>15933.97</v>
      </c>
      <c r="L10" s="13">
        <f t="shared" si="4"/>
        <v>-8546.39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694.22</v>
      </c>
      <c r="E11" s="21">
        <v>9.02</v>
      </c>
      <c r="F11" s="21">
        <v>0</v>
      </c>
      <c r="G11" s="21">
        <v>0</v>
      </c>
      <c r="H11" s="13">
        <f>D11+F11+'07-07-2022'!H11</f>
        <v>1059.55</v>
      </c>
      <c r="I11" s="13">
        <f>E11+G11+'07-07-2022'!I11</f>
        <v>13.76</v>
      </c>
      <c r="J11" s="13">
        <f t="shared" si="2"/>
        <v>1073.31</v>
      </c>
      <c r="K11" s="13">
        <f t="shared" si="3"/>
        <v>16900.689999999999</v>
      </c>
      <c r="L11" s="13">
        <f t="shared" si="4"/>
        <v>4020.9700000000012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2224.6</v>
      </c>
      <c r="E12" s="21">
        <v>28.91</v>
      </c>
      <c r="F12" s="21">
        <v>0</v>
      </c>
      <c r="G12" s="21">
        <v>0</v>
      </c>
      <c r="H12" s="13">
        <f>D12+F12+'07-07-2022'!H12</f>
        <v>2904.47</v>
      </c>
      <c r="I12" s="13">
        <f>E12+G12+'07-07-2022'!I12</f>
        <v>37.74</v>
      </c>
      <c r="J12" s="13">
        <f t="shared" si="2"/>
        <v>2942.2099999999996</v>
      </c>
      <c r="K12" s="13">
        <f t="shared" si="3"/>
        <v>21387.79</v>
      </c>
      <c r="L12" s="13">
        <f t="shared" si="4"/>
        <v>-13918.729999999996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f>17.19+1154.13</f>
        <v>1171.3200000000002</v>
      </c>
      <c r="E13" s="13">
        <f>0.22+15</f>
        <v>15.22</v>
      </c>
      <c r="F13" s="13">
        <v>0</v>
      </c>
      <c r="G13" s="13">
        <v>0</v>
      </c>
      <c r="H13" s="13">
        <f>D13+F13+'07-07-2022'!H13</f>
        <v>1582.6100000000001</v>
      </c>
      <c r="I13" s="13">
        <f>E13+G13+'07-07-2022'!I13</f>
        <v>20.560000000000002</v>
      </c>
      <c r="J13" s="13">
        <f t="shared" si="2"/>
        <v>1603.17</v>
      </c>
      <c r="K13" s="13">
        <f t="shared" si="3"/>
        <v>32396.83</v>
      </c>
      <c r="L13" s="13">
        <f t="shared" si="4"/>
        <v>13158.79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2451.92</v>
      </c>
      <c r="E14" s="13">
        <v>31.87</v>
      </c>
      <c r="F14" s="13">
        <v>163.19999999999999</v>
      </c>
      <c r="G14" s="13">
        <v>11.75</v>
      </c>
      <c r="H14" s="13">
        <f>D14+F14+'07-07-2022'!H14</f>
        <v>3885.0699999999997</v>
      </c>
      <c r="I14" s="13">
        <f>E14+G14+'07-07-2022'!I14</f>
        <v>69.75</v>
      </c>
      <c r="J14" s="13">
        <f t="shared" si="2"/>
        <v>3954.8199999999997</v>
      </c>
      <c r="K14" s="13">
        <f t="shared" si="3"/>
        <v>38786.18</v>
      </c>
      <c r="L14" s="13">
        <f t="shared" si="4"/>
        <v>-8671.6599999999962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505.56</v>
      </c>
      <c r="E15" s="21">
        <v>6.57</v>
      </c>
      <c r="F15" s="21">
        <v>0</v>
      </c>
      <c r="G15" s="21">
        <v>0</v>
      </c>
      <c r="H15" s="13">
        <f>D15+F15+'07-07-2022'!H15</f>
        <v>748.29</v>
      </c>
      <c r="I15" s="13">
        <f>E15+G15+'07-07-2022'!I15</f>
        <v>9.7200000000000006</v>
      </c>
      <c r="J15" s="13">
        <f t="shared" si="2"/>
        <v>758.01</v>
      </c>
      <c r="K15" s="13">
        <f t="shared" si="3"/>
        <v>23414.99</v>
      </c>
      <c r="L15" s="13">
        <f t="shared" si="4"/>
        <v>14318.87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300.5</v>
      </c>
      <c r="E16" s="21">
        <v>3.9</v>
      </c>
      <c r="F16" s="21">
        <v>0</v>
      </c>
      <c r="G16" s="21">
        <v>0</v>
      </c>
      <c r="H16" s="13">
        <f>D16+F16+'07-07-2022'!H16</f>
        <v>432.72</v>
      </c>
      <c r="I16" s="13">
        <f>E16+G16+'07-07-2022'!I16</f>
        <v>5.6099999999999994</v>
      </c>
      <c r="J16" s="13">
        <f t="shared" si="2"/>
        <v>438.33000000000004</v>
      </c>
      <c r="K16" s="13">
        <f t="shared" si="3"/>
        <v>5561.67</v>
      </c>
      <c r="L16" s="13">
        <f t="shared" si="4"/>
        <v>301.70999999999913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5">SUM(D8:D16)</f>
        <v>8959.2199999999993</v>
      </c>
      <c r="E17" s="55">
        <f t="shared" si="5"/>
        <v>116.42000000000002</v>
      </c>
      <c r="F17" s="55">
        <f t="shared" si="5"/>
        <v>1824.46</v>
      </c>
      <c r="G17" s="55">
        <f t="shared" si="5"/>
        <v>131.35</v>
      </c>
      <c r="H17" s="55">
        <f t="shared" si="5"/>
        <v>14878.019999999999</v>
      </c>
      <c r="I17" s="55">
        <f t="shared" si="5"/>
        <v>334.76000000000005</v>
      </c>
      <c r="J17" s="55">
        <f t="shared" si="5"/>
        <v>15212.779999999999</v>
      </c>
      <c r="K17" s="55">
        <f t="shared" si="5"/>
        <v>179545.22</v>
      </c>
      <c r="L17" s="55">
        <f t="shared" si="5"/>
        <v>-3008.1399999999867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D20+F20+'07-07-2022'!H20</f>
        <v>0</v>
      </c>
      <c r="I20" s="13">
        <f>E20+G20+'07-07-2022'!I20</f>
        <v>0</v>
      </c>
      <c r="J20" s="13">
        <f>H20+I20</f>
        <v>0</v>
      </c>
      <c r="K20" s="13">
        <f>C20-J20</f>
        <v>2109</v>
      </c>
      <c r="L20" s="13">
        <f t="shared" ref="L20:L22" si="6">C20-((J20/2)*26)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793.44</v>
      </c>
      <c r="E21" s="14">
        <v>10.31</v>
      </c>
      <c r="F21" s="14">
        <v>0</v>
      </c>
      <c r="G21" s="14">
        <v>0</v>
      </c>
      <c r="H21" s="13">
        <f>D21+F21+'07-07-2022'!H21</f>
        <v>1077.58</v>
      </c>
      <c r="I21" s="13">
        <f>E21+G21+'07-07-2022'!I21</f>
        <v>14</v>
      </c>
      <c r="J21" s="13">
        <f>H21+I21</f>
        <v>1091.58</v>
      </c>
      <c r="K21" s="13">
        <f>C21-J21</f>
        <v>23908.42</v>
      </c>
      <c r="L21" s="13">
        <f t="shared" si="6"/>
        <v>10809.460000000001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D22+F22+'07-07-2022'!H22</f>
        <v>0</v>
      </c>
      <c r="I22" s="13">
        <f>E22+G22+'07-07-2022'!I22</f>
        <v>0</v>
      </c>
      <c r="J22" s="13">
        <f>H22+I22</f>
        <v>0</v>
      </c>
      <c r="K22" s="13">
        <f>C22-J22</f>
        <v>12000</v>
      </c>
      <c r="L22" s="13">
        <f t="shared" si="6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7">SUM(C20:C22)</f>
        <v>39109</v>
      </c>
      <c r="D23" s="10">
        <f t="shared" si="7"/>
        <v>793.44</v>
      </c>
      <c r="E23" s="10">
        <f t="shared" si="7"/>
        <v>10.31</v>
      </c>
      <c r="F23" s="10">
        <f t="shared" si="7"/>
        <v>0</v>
      </c>
      <c r="G23" s="10">
        <f t="shared" si="7"/>
        <v>0</v>
      </c>
      <c r="H23" s="10">
        <f t="shared" si="7"/>
        <v>1077.58</v>
      </c>
      <c r="I23" s="10">
        <f t="shared" si="7"/>
        <v>14</v>
      </c>
      <c r="J23" s="10">
        <f t="shared" si="7"/>
        <v>1091.58</v>
      </c>
      <c r="K23" s="10">
        <f t="shared" si="7"/>
        <v>38017.42</v>
      </c>
      <c r="L23" s="10">
        <f t="shared" si="7"/>
        <v>24918.46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78">
        <v>0</v>
      </c>
      <c r="D26" s="14">
        <v>350</v>
      </c>
      <c r="E26" s="14">
        <v>4.55</v>
      </c>
      <c r="F26" s="14">
        <v>0</v>
      </c>
      <c r="G26" s="14">
        <v>0</v>
      </c>
      <c r="H26" s="13">
        <f>D26+F26+'07-07-2022'!H26</f>
        <v>568.75</v>
      </c>
      <c r="I26" s="13">
        <f>E26+G26+'07-07-2022'!I26</f>
        <v>7.39</v>
      </c>
      <c r="J26" s="13">
        <f>H26+I26</f>
        <v>576.14</v>
      </c>
      <c r="K26" s="13">
        <f>C26-J26</f>
        <v>-576.14</v>
      </c>
      <c r="L26" s="13">
        <f>C26-((J26/2)*26)</f>
        <v>-7489.82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D27+F27+'07-07-2022'!H27</f>
        <v>0</v>
      </c>
      <c r="I27" s="13">
        <f>E27+G27+'07-07-2022'!I27</f>
        <v>0</v>
      </c>
      <c r="J27" s="13">
        <f>H27+I27</f>
        <v>0</v>
      </c>
      <c r="K27" s="13">
        <f>C27-J27</f>
        <v>6450</v>
      </c>
      <c r="L27" s="13">
        <f>C27-((J27/2)*26)</f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5336</v>
      </c>
      <c r="E28" s="21">
        <v>69.36</v>
      </c>
      <c r="F28" s="21">
        <v>596.25</v>
      </c>
      <c r="G28" s="21">
        <v>42.93</v>
      </c>
      <c r="H28" s="13">
        <f>D28+F28+'07-07-2022'!H28</f>
        <v>6577.25</v>
      </c>
      <c r="I28" s="13">
        <f>E28+G28+'07-07-2022'!I28</f>
        <v>131.29</v>
      </c>
      <c r="J28" s="13">
        <f>H28+I28</f>
        <v>6708.54</v>
      </c>
      <c r="K28" s="13">
        <f>C28-J28</f>
        <v>18291.46</v>
      </c>
      <c r="L28" s="13">
        <f>C28-((J28/2)*26)</f>
        <v>-62211.020000000004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 t="shared" ref="H29:I29" si="8">D29+F29</f>
        <v>0</v>
      </c>
      <c r="I29" s="13">
        <f t="shared" si="8"/>
        <v>0</v>
      </c>
      <c r="J29" s="13">
        <f>H29+I29</f>
        <v>0</v>
      </c>
      <c r="K29" s="13">
        <f>C29-J29</f>
        <v>5000</v>
      </c>
      <c r="L29" s="13">
        <f>C29-((J29/1)*26)</f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36450</v>
      </c>
      <c r="D30" s="48">
        <f t="shared" ref="D30:L30" si="9">SUM(D26:D29)</f>
        <v>5686</v>
      </c>
      <c r="E30" s="48">
        <f t="shared" si="9"/>
        <v>73.91</v>
      </c>
      <c r="F30" s="48">
        <f t="shared" si="9"/>
        <v>596.25</v>
      </c>
      <c r="G30" s="48">
        <f t="shared" si="9"/>
        <v>42.93</v>
      </c>
      <c r="H30" s="48">
        <f t="shared" si="9"/>
        <v>7146</v>
      </c>
      <c r="I30" s="48">
        <f t="shared" si="9"/>
        <v>138.67999999999998</v>
      </c>
      <c r="J30" s="48">
        <f t="shared" si="9"/>
        <v>7284.68</v>
      </c>
      <c r="K30" s="48">
        <f t="shared" si="9"/>
        <v>29165.32</v>
      </c>
      <c r="L30" s="48">
        <f t="shared" si="9"/>
        <v>-58250.840000000004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290717</v>
      </c>
      <c r="D33" s="41">
        <f t="shared" ref="D33:L33" si="10">D17+D23+D30+D5</f>
        <v>15438.66</v>
      </c>
      <c r="E33" s="41">
        <f t="shared" si="10"/>
        <v>200.64000000000001</v>
      </c>
      <c r="F33" s="41">
        <f t="shared" si="10"/>
        <v>2420.71</v>
      </c>
      <c r="G33" s="41">
        <f t="shared" si="10"/>
        <v>174.28</v>
      </c>
      <c r="H33" s="41">
        <f t="shared" si="10"/>
        <v>23101.599999999999</v>
      </c>
      <c r="I33" s="41">
        <f t="shared" si="10"/>
        <v>487.44000000000005</v>
      </c>
      <c r="J33" s="41">
        <f t="shared" si="10"/>
        <v>23589.040000000001</v>
      </c>
      <c r="K33" s="41">
        <f t="shared" si="10"/>
        <v>267127.96000000002</v>
      </c>
      <c r="L33" s="41">
        <f t="shared" si="10"/>
        <v>-15940.51999999999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14"/>
      <c r="E36" s="14"/>
      <c r="F36" s="14"/>
      <c r="G36" s="14"/>
      <c r="H36" s="13">
        <f>D36+F36+'07-07-2022'!H36</f>
        <v>0</v>
      </c>
      <c r="I36" s="13">
        <f>E36+G36+'07-07-2022'!I36</f>
        <v>0</v>
      </c>
      <c r="J36" s="13">
        <f t="shared" ref="J36:J53" si="11">H36+I36</f>
        <v>0</v>
      </c>
      <c r="K36" s="13">
        <f t="shared" ref="K36:K53" si="12">C36-J36</f>
        <v>0</v>
      </c>
      <c r="L36" s="13">
        <f t="shared" ref="L36:L53" si="13">C36-((J36/2)*26)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14"/>
      <c r="E37" s="14"/>
      <c r="F37" s="14"/>
      <c r="G37" s="14"/>
      <c r="H37" s="13">
        <f>D37+F37+'07-07-2022'!H37</f>
        <v>0</v>
      </c>
      <c r="I37" s="13">
        <f>E37+G37+'07-07-2022'!I37</f>
        <v>0</v>
      </c>
      <c r="J37" s="13">
        <f t="shared" si="11"/>
        <v>0</v>
      </c>
      <c r="K37" s="13">
        <f t="shared" si="12"/>
        <v>0</v>
      </c>
      <c r="L37" s="13">
        <f t="shared" si="13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14"/>
      <c r="E38" s="14"/>
      <c r="F38" s="14"/>
      <c r="G38" s="14"/>
      <c r="H38" s="13">
        <f>D38+F38+'07-07-2022'!H38</f>
        <v>0</v>
      </c>
      <c r="I38" s="13">
        <f>E38+G38+'07-07-2022'!I38</f>
        <v>0</v>
      </c>
      <c r="J38" s="13">
        <f t="shared" si="11"/>
        <v>0</v>
      </c>
      <c r="K38" s="13">
        <f t="shared" si="12"/>
        <v>0</v>
      </c>
      <c r="L38" s="13">
        <f t="shared" si="13"/>
        <v>0</v>
      </c>
      <c r="M38" s="35"/>
    </row>
    <row r="39" spans="1:13" s="32" customFormat="1" ht="11.25" customHeight="1" x14ac:dyDescent="0.25">
      <c r="A39" s="27" t="s">
        <v>33</v>
      </c>
      <c r="B39" s="26" t="s">
        <v>32</v>
      </c>
      <c r="C39" s="77">
        <v>0</v>
      </c>
      <c r="D39" s="14"/>
      <c r="E39" s="14"/>
      <c r="F39" s="14"/>
      <c r="G39" s="14"/>
      <c r="H39" s="13">
        <f>D39+F39+'07-07-2022'!H39</f>
        <v>0</v>
      </c>
      <c r="I39" s="13">
        <f>E39+G39+'07-07-2022'!I39</f>
        <v>0</v>
      </c>
      <c r="J39" s="13">
        <f t="shared" si="11"/>
        <v>0</v>
      </c>
      <c r="K39" s="13">
        <f t="shared" si="12"/>
        <v>0</v>
      </c>
      <c r="L39" s="13">
        <f t="shared" si="13"/>
        <v>0</v>
      </c>
      <c r="M39" s="36"/>
    </row>
    <row r="40" spans="1:13" s="32" customFormat="1" ht="11.45" customHeight="1" x14ac:dyDescent="0.25">
      <c r="A40" s="27" t="s">
        <v>31</v>
      </c>
      <c r="B40" s="26" t="s">
        <v>30</v>
      </c>
      <c r="C40" s="77">
        <v>0</v>
      </c>
      <c r="D40" s="14"/>
      <c r="E40" s="14"/>
      <c r="F40" s="14"/>
      <c r="G40" s="14"/>
      <c r="H40" s="13">
        <f>D40+F40+'07-07-2022'!H40</f>
        <v>0</v>
      </c>
      <c r="I40" s="13">
        <f>E40+G40+'07-07-2022'!I40</f>
        <v>0</v>
      </c>
      <c r="J40" s="13">
        <f t="shared" si="11"/>
        <v>0</v>
      </c>
      <c r="K40" s="13">
        <f t="shared" si="12"/>
        <v>0</v>
      </c>
      <c r="L40" s="13">
        <f t="shared" si="13"/>
        <v>0</v>
      </c>
      <c r="M40" s="35"/>
    </row>
    <row r="41" spans="1:13" s="30" customFormat="1" ht="11.45" customHeight="1" x14ac:dyDescent="0.2">
      <c r="A41" s="27" t="s">
        <v>29</v>
      </c>
      <c r="B41" s="26" t="s">
        <v>28</v>
      </c>
      <c r="C41" s="13">
        <v>2500</v>
      </c>
      <c r="D41" s="14">
        <v>551.25</v>
      </c>
      <c r="E41" s="14">
        <v>7.16</v>
      </c>
      <c r="F41" s="14">
        <v>0</v>
      </c>
      <c r="G41" s="14">
        <v>0</v>
      </c>
      <c r="H41" s="13">
        <f>D41+F41+'07-07-2022'!H41</f>
        <v>824.06</v>
      </c>
      <c r="I41" s="13">
        <f>E41+G41+'07-07-2022'!I41</f>
        <v>10.7</v>
      </c>
      <c r="J41" s="13">
        <f t="shared" si="11"/>
        <v>834.76</v>
      </c>
      <c r="K41" s="13">
        <f t="shared" si="12"/>
        <v>1665.24</v>
      </c>
      <c r="L41" s="13">
        <f t="shared" si="13"/>
        <v>-8351.8799999999992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14"/>
      <c r="E42" s="14"/>
      <c r="F42" s="14"/>
      <c r="G42" s="14"/>
      <c r="H42" s="13">
        <f>D42+F42+'07-07-2022'!H42</f>
        <v>0</v>
      </c>
      <c r="I42" s="13">
        <f>E42+G42+'07-07-2022'!I42</f>
        <v>0</v>
      </c>
      <c r="J42" s="21">
        <f t="shared" si="11"/>
        <v>0</v>
      </c>
      <c r="K42" s="33">
        <f t="shared" si="12"/>
        <v>0</v>
      </c>
      <c r="L42" s="13">
        <f t="shared" si="13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14"/>
      <c r="E43" s="14"/>
      <c r="F43" s="14"/>
      <c r="G43" s="14"/>
      <c r="H43" s="13">
        <f>D43+F43+'07-07-2022'!H43</f>
        <v>0</v>
      </c>
      <c r="I43" s="13">
        <f>E43+G43+'07-07-2022'!I43</f>
        <v>0</v>
      </c>
      <c r="J43" s="21">
        <f t="shared" si="11"/>
        <v>0</v>
      </c>
      <c r="K43" s="33">
        <f t="shared" si="12"/>
        <v>0</v>
      </c>
      <c r="L43" s="13">
        <f t="shared" si="13"/>
        <v>0</v>
      </c>
      <c r="M43" s="24"/>
    </row>
    <row r="44" spans="1:13" s="32" customFormat="1" ht="11.25" customHeight="1" x14ac:dyDescent="0.2">
      <c r="A44" s="27" t="s">
        <v>24</v>
      </c>
      <c r="B44" s="26" t="s">
        <v>23</v>
      </c>
      <c r="C44" s="77">
        <v>0</v>
      </c>
      <c r="D44" s="14"/>
      <c r="E44" s="14"/>
      <c r="F44" s="14"/>
      <c r="G44" s="14"/>
      <c r="H44" s="13">
        <f>D44+F44+'07-07-2022'!H44</f>
        <v>0</v>
      </c>
      <c r="I44" s="13">
        <f>E44+G44+'07-07-2022'!I44</f>
        <v>0</v>
      </c>
      <c r="J44" s="13">
        <f t="shared" si="11"/>
        <v>0</v>
      </c>
      <c r="K44" s="33">
        <f t="shared" si="12"/>
        <v>0</v>
      </c>
      <c r="L44" s="13">
        <f t="shared" si="13"/>
        <v>0</v>
      </c>
      <c r="M44" s="24"/>
    </row>
    <row r="45" spans="1:13" s="30" customFormat="1" ht="11.45" customHeight="1" x14ac:dyDescent="0.25">
      <c r="A45" s="27" t="s">
        <v>22</v>
      </c>
      <c r="B45" s="2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D45+F45+'07-07-2022'!H45</f>
        <v>0</v>
      </c>
      <c r="I45" s="13">
        <f>E45+G45+'07-07-2022'!I45</f>
        <v>0</v>
      </c>
      <c r="J45" s="13">
        <f t="shared" si="11"/>
        <v>0</v>
      </c>
      <c r="K45" s="13">
        <f t="shared" si="12"/>
        <v>2770.95</v>
      </c>
      <c r="L45" s="13">
        <f t="shared" si="13"/>
        <v>2770.95</v>
      </c>
      <c r="M45" s="28"/>
    </row>
    <row r="46" spans="1:13" s="30" customFormat="1" ht="11.45" customHeight="1" x14ac:dyDescent="0.25">
      <c r="A46" s="27" t="s">
        <v>20</v>
      </c>
      <c r="B46" s="26" t="s">
        <v>19</v>
      </c>
      <c r="C46" s="13">
        <v>6021.08</v>
      </c>
      <c r="D46" s="14">
        <v>359.29</v>
      </c>
      <c r="E46" s="14">
        <v>4.67</v>
      </c>
      <c r="F46" s="14">
        <v>0</v>
      </c>
      <c r="G46" s="14">
        <v>0</v>
      </c>
      <c r="H46" s="13">
        <f>D46+F46+'07-07-2022'!H46</f>
        <v>382.85</v>
      </c>
      <c r="I46" s="13">
        <f>E46+G46+'07-07-2022'!I46</f>
        <v>4.97</v>
      </c>
      <c r="J46" s="13">
        <f t="shared" si="11"/>
        <v>387.82000000000005</v>
      </c>
      <c r="K46" s="13">
        <f t="shared" si="12"/>
        <v>5633.26</v>
      </c>
      <c r="L46" s="13">
        <f t="shared" si="13"/>
        <v>979.41999999999916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902.44</v>
      </c>
      <c r="E47" s="14">
        <v>11.73</v>
      </c>
      <c r="F47" s="14">
        <v>0</v>
      </c>
      <c r="G47" s="14">
        <v>0</v>
      </c>
      <c r="H47" s="13">
        <f>D47+F47+'07-07-2022'!H47</f>
        <v>1230.6000000000001</v>
      </c>
      <c r="I47" s="13">
        <f>E47+G47+'07-07-2022'!I47</f>
        <v>15.99</v>
      </c>
      <c r="J47" s="13">
        <f t="shared" si="11"/>
        <v>1246.5900000000001</v>
      </c>
      <c r="K47" s="13">
        <f t="shared" si="12"/>
        <v>8753.41</v>
      </c>
      <c r="L47" s="13">
        <f t="shared" si="13"/>
        <v>-6205.6700000000019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</f>
        <v>994.43000000000006</v>
      </c>
      <c r="D48" s="14">
        <v>420</v>
      </c>
      <c r="E48" s="14">
        <v>5.46</v>
      </c>
      <c r="F48" s="14">
        <v>0</v>
      </c>
      <c r="G48" s="14">
        <v>0</v>
      </c>
      <c r="H48" s="13">
        <f>D48+F48+'07-07-2022'!H48</f>
        <v>675</v>
      </c>
      <c r="I48" s="13">
        <f>E48+G48+'07-07-2022'!I48</f>
        <v>8.77</v>
      </c>
      <c r="J48" s="13">
        <f t="shared" si="11"/>
        <v>683.77</v>
      </c>
      <c r="K48" s="13">
        <f t="shared" si="12"/>
        <v>310.66000000000008</v>
      </c>
      <c r="L48" s="13">
        <f t="shared" si="13"/>
        <v>-7894.58</v>
      </c>
      <c r="M48" s="24"/>
    </row>
    <row r="49" spans="1:13" s="23" customFormat="1" ht="11.25" customHeight="1" x14ac:dyDescent="0.25">
      <c r="A49" s="27" t="s">
        <v>15</v>
      </c>
      <c r="B49" s="26" t="s">
        <v>14</v>
      </c>
      <c r="C49" s="13">
        <v>675.89</v>
      </c>
      <c r="D49" s="14">
        <v>0</v>
      </c>
      <c r="E49" s="14">
        <v>0</v>
      </c>
      <c r="F49" s="14">
        <v>474.5</v>
      </c>
      <c r="G49" s="14">
        <v>34.159999999999997</v>
      </c>
      <c r="H49" s="13">
        <f>D49+F49+'07-07-2022'!H49</f>
        <v>630.5</v>
      </c>
      <c r="I49" s="13">
        <f>E49+G49+'07-07-2022'!I49</f>
        <v>45.39</v>
      </c>
      <c r="J49" s="13">
        <f t="shared" si="11"/>
        <v>675.89</v>
      </c>
      <c r="K49" s="13">
        <f t="shared" si="12"/>
        <v>0</v>
      </c>
      <c r="L49" s="13">
        <f t="shared" si="13"/>
        <v>-8110.6799999999994</v>
      </c>
      <c r="M49" s="74"/>
    </row>
    <row r="50" spans="1:13" s="23" customFormat="1" ht="11.25" customHeight="1" x14ac:dyDescent="0.25">
      <c r="A50" s="27" t="s">
        <v>13</v>
      </c>
      <c r="B50" s="26" t="s">
        <v>12</v>
      </c>
      <c r="C50" s="77">
        <v>0</v>
      </c>
      <c r="D50" s="14"/>
      <c r="E50" s="14"/>
      <c r="F50" s="14"/>
      <c r="G50" s="14"/>
      <c r="H50" s="13">
        <f>D50+F50+'07-07-2022'!H50</f>
        <v>0</v>
      </c>
      <c r="I50" s="13">
        <f>E50+G50+'07-07-2022'!I50</f>
        <v>0</v>
      </c>
      <c r="J50" s="13">
        <f t="shared" si="11"/>
        <v>0</v>
      </c>
      <c r="K50" s="13">
        <f t="shared" si="12"/>
        <v>0</v>
      </c>
      <c r="L50" s="13">
        <f t="shared" si="13"/>
        <v>0</v>
      </c>
      <c r="M50" s="28"/>
    </row>
    <row r="51" spans="1:13" s="23" customFormat="1" ht="11.25" customHeight="1" x14ac:dyDescent="0.2">
      <c r="A51" s="27" t="s">
        <v>11</v>
      </c>
      <c r="B51" s="26" t="s">
        <v>10</v>
      </c>
      <c r="C51" s="13">
        <v>6800</v>
      </c>
      <c r="D51" s="14">
        <v>800</v>
      </c>
      <c r="E51" s="14">
        <v>10.4</v>
      </c>
      <c r="F51" s="14">
        <v>0</v>
      </c>
      <c r="G51" s="14">
        <v>0</v>
      </c>
      <c r="H51" s="13">
        <f>D51+F51+'07-07-2022'!H51</f>
        <v>1120</v>
      </c>
      <c r="I51" s="13">
        <f>E51+G51+'07-07-2022'!I51</f>
        <v>14.56</v>
      </c>
      <c r="J51" s="13">
        <f t="shared" si="11"/>
        <v>1134.56</v>
      </c>
      <c r="K51" s="13">
        <f t="shared" si="12"/>
        <v>5665.4400000000005</v>
      </c>
      <c r="L51" s="13">
        <f t="shared" si="13"/>
        <v>-7949.2799999999988</v>
      </c>
      <c r="M51" s="24"/>
    </row>
    <row r="52" spans="1:13" s="23" customFormat="1" ht="11.25" customHeight="1" x14ac:dyDescent="0.2">
      <c r="A52" s="27" t="s">
        <v>9</v>
      </c>
      <c r="B52" s="26" t="s">
        <v>8</v>
      </c>
      <c r="C52" s="13">
        <v>1900</v>
      </c>
      <c r="D52" s="14">
        <v>0</v>
      </c>
      <c r="E52" s="14">
        <v>0</v>
      </c>
      <c r="F52" s="14">
        <v>284.16000000000003</v>
      </c>
      <c r="G52" s="14">
        <v>20.45</v>
      </c>
      <c r="H52" s="13">
        <f>D52+F52+'07-07-2022'!H52</f>
        <v>355.20000000000005</v>
      </c>
      <c r="I52" s="13">
        <f>E52+G52+'07-07-2022'!I52</f>
        <v>25.56</v>
      </c>
      <c r="J52" s="13">
        <f t="shared" si="11"/>
        <v>380.76000000000005</v>
      </c>
      <c r="K52" s="13">
        <f t="shared" si="12"/>
        <v>1519.24</v>
      </c>
      <c r="L52" s="13">
        <f t="shared" si="13"/>
        <v>-3049.880000000001</v>
      </c>
      <c r="M52" s="24"/>
    </row>
    <row r="53" spans="1:13" s="23" customFormat="1" ht="11.25" customHeight="1" x14ac:dyDescent="0.2">
      <c r="A53" s="27" t="s">
        <v>7</v>
      </c>
      <c r="B53" s="2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D53+F53+'07-07-2022'!H53</f>
        <v>0</v>
      </c>
      <c r="I53" s="13">
        <f>E53+G53+'07-07-2022'!I53</f>
        <v>0</v>
      </c>
      <c r="J53" s="13">
        <f t="shared" si="11"/>
        <v>0</v>
      </c>
      <c r="K53" s="13">
        <f t="shared" si="12"/>
        <v>303.89999999999998</v>
      </c>
      <c r="L53" s="13">
        <f t="shared" si="13"/>
        <v>303.89999999999998</v>
      </c>
      <c r="M53" s="24"/>
    </row>
    <row r="54" spans="1:13" ht="21.6" customHeight="1" x14ac:dyDescent="0.25">
      <c r="A54" s="94" t="s">
        <v>5</v>
      </c>
      <c r="B54" s="95"/>
      <c r="C54" s="10">
        <f t="shared" ref="C54:L54" si="14">SUM(C36:C53)</f>
        <v>31966.25</v>
      </c>
      <c r="D54" s="10">
        <f t="shared" si="14"/>
        <v>3032.98</v>
      </c>
      <c r="E54" s="10">
        <f t="shared" si="14"/>
        <v>39.42</v>
      </c>
      <c r="F54" s="10">
        <f t="shared" si="14"/>
        <v>758.66000000000008</v>
      </c>
      <c r="G54" s="10">
        <f t="shared" si="14"/>
        <v>54.61</v>
      </c>
      <c r="H54" s="10">
        <f t="shared" si="14"/>
        <v>5218.21</v>
      </c>
      <c r="I54" s="10">
        <f t="shared" si="14"/>
        <v>125.94</v>
      </c>
      <c r="J54" s="10">
        <f t="shared" si="14"/>
        <v>5344.15</v>
      </c>
      <c r="K54" s="10">
        <f t="shared" si="14"/>
        <v>26622.100000000002</v>
      </c>
      <c r="L54" s="10">
        <f t="shared" si="14"/>
        <v>-37507.700000000004</v>
      </c>
      <c r="M54" s="22"/>
    </row>
    <row r="55" spans="1:13" ht="10.9" customHeight="1" x14ac:dyDescent="0.25">
      <c r="A55" s="19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2"/>
    </row>
    <row r="56" spans="1:13" ht="10.9" customHeight="1" x14ac:dyDescent="0.25">
      <c r="A56" s="19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3" s="11" customFormat="1" ht="10.9" customHeight="1" x14ac:dyDescent="0.25">
      <c r="A57" s="16" t="s">
        <v>4</v>
      </c>
      <c r="B57" s="15" t="s">
        <v>3</v>
      </c>
      <c r="C57" s="13">
        <v>62583</v>
      </c>
      <c r="D57" s="21">
        <f>157.56+956.06</f>
        <v>1113.6199999999999</v>
      </c>
      <c r="E57" s="21">
        <f>2.04+12.42</f>
        <v>14.46</v>
      </c>
      <c r="F57" s="21">
        <v>0</v>
      </c>
      <c r="G57" s="21">
        <v>0</v>
      </c>
      <c r="H57" s="13">
        <f>D57+F57+'07-07-2022'!H57</f>
        <v>1524.4499999999998</v>
      </c>
      <c r="I57" s="13">
        <f>E57+G57+'07-07-2022'!I57</f>
        <v>19.8</v>
      </c>
      <c r="J57" s="13">
        <f>H57+I57</f>
        <v>1544.2499999999998</v>
      </c>
      <c r="K57" s="13">
        <f>C57-J57</f>
        <v>61038.75</v>
      </c>
      <c r="L57" s="13">
        <f t="shared" ref="L57" si="15">C57-((J57/2)*26)</f>
        <v>42507.75</v>
      </c>
      <c r="M57" s="12"/>
    </row>
    <row r="58" spans="1:13" ht="21.6" customHeight="1" x14ac:dyDescent="0.25">
      <c r="A58" s="94" t="s">
        <v>2</v>
      </c>
      <c r="B58" s="95"/>
      <c r="C58" s="20">
        <f>SUM(C57)</f>
        <v>62583</v>
      </c>
      <c r="D58" s="20">
        <f t="shared" ref="D58:L58" si="16">SUM(D57)</f>
        <v>1113.6199999999999</v>
      </c>
      <c r="E58" s="20">
        <f t="shared" si="16"/>
        <v>14.46</v>
      </c>
      <c r="F58" s="20">
        <f t="shared" si="16"/>
        <v>0</v>
      </c>
      <c r="G58" s="20">
        <f t="shared" si="16"/>
        <v>0</v>
      </c>
      <c r="H58" s="20">
        <f t="shared" si="16"/>
        <v>1524.4499999999998</v>
      </c>
      <c r="I58" s="20">
        <f t="shared" si="16"/>
        <v>19.8</v>
      </c>
      <c r="J58" s="20">
        <f t="shared" si="16"/>
        <v>1544.2499999999998</v>
      </c>
      <c r="K58" s="20">
        <f t="shared" si="16"/>
        <v>61038.75</v>
      </c>
      <c r="L58" s="20">
        <f t="shared" si="16"/>
        <v>42507.75</v>
      </c>
    </row>
    <row r="59" spans="1:13" ht="10.9" customHeight="1" x14ac:dyDescent="0.25">
      <c r="A59" s="19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3" s="11" customFormat="1" ht="10.9" customHeight="1" x14ac:dyDescent="0.25">
      <c r="A61" s="16" t="s">
        <v>1</v>
      </c>
      <c r="B61" s="15">
        <v>55180000</v>
      </c>
      <c r="C61" s="77">
        <v>0</v>
      </c>
      <c r="D61" s="14"/>
      <c r="E61" s="14"/>
      <c r="F61" s="14"/>
      <c r="G61" s="14"/>
      <c r="H61" s="13">
        <f>D61+F61+'07-07-2022'!H61</f>
        <v>0</v>
      </c>
      <c r="I61" s="13">
        <f>E61+G61+'07-07-2022'!I61</f>
        <v>0</v>
      </c>
      <c r="J61" s="13">
        <f>H61+I61</f>
        <v>0</v>
      </c>
      <c r="K61" s="13">
        <f>C61-J61</f>
        <v>0</v>
      </c>
      <c r="L61" s="13">
        <f>C61-((J61/2)*26)</f>
        <v>0</v>
      </c>
      <c r="M61" s="12"/>
    </row>
    <row r="62" spans="1:13" s="5" customFormat="1" ht="21.6" customHeight="1" x14ac:dyDescent="0.25">
      <c r="A62" s="94" t="s">
        <v>0</v>
      </c>
      <c r="B62" s="95"/>
      <c r="C62" s="10">
        <f t="shared" ref="C62:L62" si="17">SUM(C61)</f>
        <v>0</v>
      </c>
      <c r="D62" s="10">
        <f t="shared" si="17"/>
        <v>0</v>
      </c>
      <c r="E62" s="10">
        <f t="shared" si="17"/>
        <v>0</v>
      </c>
      <c r="F62" s="10">
        <f t="shared" si="17"/>
        <v>0</v>
      </c>
      <c r="G62" s="10">
        <f t="shared" si="17"/>
        <v>0</v>
      </c>
      <c r="H62" s="10">
        <f t="shared" si="17"/>
        <v>0</v>
      </c>
      <c r="I62" s="10">
        <f t="shared" si="17"/>
        <v>0</v>
      </c>
      <c r="J62" s="10">
        <f t="shared" si="17"/>
        <v>0</v>
      </c>
      <c r="K62" s="10">
        <f t="shared" si="17"/>
        <v>0</v>
      </c>
      <c r="L62" s="10">
        <f t="shared" si="17"/>
        <v>0</v>
      </c>
      <c r="M62" s="6"/>
    </row>
    <row r="63" spans="1:13" s="5" customFormat="1" ht="11.25" customHeight="1" x14ac:dyDescent="0.25">
      <c r="A63" s="9"/>
      <c r="B63" s="8"/>
      <c r="C63" s="7"/>
      <c r="D63" s="7"/>
      <c r="E63" s="7"/>
      <c r="F63" s="7"/>
      <c r="G63" s="7"/>
      <c r="H63" s="7"/>
      <c r="I63" s="7"/>
      <c r="J63" s="7"/>
      <c r="K63" s="7"/>
      <c r="L63" s="7"/>
      <c r="M63" s="6"/>
    </row>
  </sheetData>
  <mergeCells count="8">
    <mergeCell ref="A58:B58"/>
    <mergeCell ref="A62:B62"/>
    <mergeCell ref="A5:B5"/>
    <mergeCell ref="A17:B17"/>
    <mergeCell ref="A23:B23"/>
    <mergeCell ref="A30:B30"/>
    <mergeCell ref="A33:B33"/>
    <mergeCell ref="A54:B54"/>
  </mergeCells>
  <pageMargins left="0.25" right="0" top="0.4" bottom="0" header="0.3" footer="0"/>
  <pageSetup scale="68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5335-5E59-46CD-B442-D7BA857647BA}">
  <sheetPr>
    <pageSetUpPr fitToPage="1"/>
  </sheetPr>
  <dimension ref="A1:R66"/>
  <sheetViews>
    <sheetView zoomScale="145" zoomScaleNormal="145" workbookViewId="0">
      <pane ySplit="2" topLeftCell="A46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44777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D3+F3+'07-21-2022'!H3</f>
        <v>0</v>
      </c>
      <c r="I3" s="13">
        <f>E3+G3+'07-21-2022'!I3</f>
        <v>0</v>
      </c>
      <c r="J3" s="13">
        <f>H3+I3</f>
        <v>0</v>
      </c>
      <c r="K3" s="13">
        <f>C3-J3</f>
        <v>10800</v>
      </c>
      <c r="L3" s="13">
        <f>C3-((J3/3)*26)</f>
        <v>10800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>D4+F4+'07-21-2022'!H4</f>
        <v>0</v>
      </c>
      <c r="I4" s="13">
        <f>E4+G4+'07-21-2022'!I4</f>
        <v>0</v>
      </c>
      <c r="J4" s="13">
        <f>H4+I4</f>
        <v>0</v>
      </c>
      <c r="K4" s="13">
        <f>C4-J4</f>
        <v>9600</v>
      </c>
      <c r="L4" s="13">
        <f>C4-((J4/3)*26)</f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20400</v>
      </c>
      <c r="L5" s="55">
        <f t="shared" si="0"/>
        <v>20400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D8+F8+'07-21-2022'!H8</f>
        <v>0</v>
      </c>
      <c r="I8" s="13">
        <f>E8+G8+'07-21-2022'!I8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C8-((J8/3)*26)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858.68</v>
      </c>
      <c r="E9" s="21">
        <v>11.15</v>
      </c>
      <c r="F9" s="21">
        <f>-628.14+272</f>
        <v>-356.14</v>
      </c>
      <c r="G9" s="21">
        <f>-45.22+19.58</f>
        <v>-25.64</v>
      </c>
      <c r="H9" s="13">
        <f>D9+F9+'07-21-2022'!H9</f>
        <v>2812.6899999999996</v>
      </c>
      <c r="I9" s="13">
        <f>E9+G9+'07-21-2022'!I9</f>
        <v>78.260000000000005</v>
      </c>
      <c r="J9" s="13">
        <f t="shared" si="1"/>
        <v>2890.95</v>
      </c>
      <c r="K9" s="13">
        <f t="shared" si="2"/>
        <v>21758.05</v>
      </c>
      <c r="L9" s="13">
        <f t="shared" si="3"/>
        <v>-405.89999999999782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639.15</v>
      </c>
      <c r="E10" s="21">
        <v>8.3000000000000007</v>
      </c>
      <c r="F10" s="21">
        <v>784</v>
      </c>
      <c r="G10" s="21">
        <v>56.44</v>
      </c>
      <c r="H10" s="13">
        <f>D10+F10+'07-21-2022'!H10</f>
        <v>3378.3100000000004</v>
      </c>
      <c r="I10" s="13">
        <f>E10+G10+'07-21-2022'!I10</f>
        <v>149.60999999999999</v>
      </c>
      <c r="J10" s="13">
        <f t="shared" si="1"/>
        <v>3527.9200000000005</v>
      </c>
      <c r="K10" s="13">
        <f t="shared" si="2"/>
        <v>14446.08</v>
      </c>
      <c r="L10" s="13">
        <f t="shared" si="3"/>
        <v>-12601.306666666675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296.17</v>
      </c>
      <c r="E11" s="21">
        <v>3.85</v>
      </c>
      <c r="F11" s="21">
        <v>0</v>
      </c>
      <c r="G11" s="21">
        <v>0</v>
      </c>
      <c r="H11" s="13">
        <f>D11+F11+'07-21-2022'!H11</f>
        <v>1355.72</v>
      </c>
      <c r="I11" s="13">
        <f>E11+G11+'07-21-2022'!I11</f>
        <v>17.61</v>
      </c>
      <c r="J11" s="13">
        <f t="shared" si="1"/>
        <v>1373.33</v>
      </c>
      <c r="K11" s="13">
        <f t="shared" si="2"/>
        <v>16600.669999999998</v>
      </c>
      <c r="L11" s="13">
        <f t="shared" si="3"/>
        <v>6071.8066666666673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2003.49</v>
      </c>
      <c r="E12" s="21">
        <v>26.03</v>
      </c>
      <c r="F12" s="21">
        <v>0</v>
      </c>
      <c r="G12" s="21">
        <v>0</v>
      </c>
      <c r="H12" s="13">
        <f>D12+F12+'07-21-2022'!H12</f>
        <v>4907.96</v>
      </c>
      <c r="I12" s="13">
        <f>E12+G12+'07-21-2022'!I12</f>
        <v>63.77</v>
      </c>
      <c r="J12" s="13">
        <f t="shared" si="1"/>
        <v>4971.7300000000005</v>
      </c>
      <c r="K12" s="13">
        <f t="shared" si="2"/>
        <v>19358.27</v>
      </c>
      <c r="L12" s="13">
        <f t="shared" si="3"/>
        <v>-18758.326666666675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f>37.17+1238.52</f>
        <v>1275.69</v>
      </c>
      <c r="E13" s="13">
        <f>0.48+16.09</f>
        <v>16.57</v>
      </c>
      <c r="F13" s="13">
        <v>0</v>
      </c>
      <c r="G13" s="13">
        <v>0</v>
      </c>
      <c r="H13" s="13">
        <f>D13+F13+'07-21-2022'!H13</f>
        <v>2858.3</v>
      </c>
      <c r="I13" s="13">
        <f>E13+G13+'07-21-2022'!I13</f>
        <v>37.130000000000003</v>
      </c>
      <c r="J13" s="13">
        <f t="shared" si="1"/>
        <v>2895.4300000000003</v>
      </c>
      <c r="K13" s="13">
        <f t="shared" si="2"/>
        <v>31104.57</v>
      </c>
      <c r="L13" s="13">
        <f t="shared" si="3"/>
        <v>8906.2733333333308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2317.9</v>
      </c>
      <c r="E14" s="13">
        <v>30.12</v>
      </c>
      <c r="F14" s="13">
        <v>0</v>
      </c>
      <c r="G14" s="13">
        <v>0</v>
      </c>
      <c r="H14" s="13">
        <f>D14+F14+'07-21-2022'!H14</f>
        <v>6202.9699999999993</v>
      </c>
      <c r="I14" s="13">
        <f>E14+G14+'07-21-2022'!I14</f>
        <v>99.87</v>
      </c>
      <c r="J14" s="13">
        <f t="shared" si="1"/>
        <v>6302.8399999999992</v>
      </c>
      <c r="K14" s="13">
        <f t="shared" si="2"/>
        <v>36438.160000000003</v>
      </c>
      <c r="L14" s="13">
        <f t="shared" si="3"/>
        <v>-11883.61333333332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540.02</v>
      </c>
      <c r="E15" s="21">
        <v>7.01</v>
      </c>
      <c r="F15" s="21">
        <v>0</v>
      </c>
      <c r="G15" s="21">
        <v>0</v>
      </c>
      <c r="H15" s="13">
        <f>D15+F15+'07-21-2022'!H15</f>
        <v>1288.31</v>
      </c>
      <c r="I15" s="13">
        <f>E15+G15+'07-21-2022'!I15</f>
        <v>16.73</v>
      </c>
      <c r="J15" s="13">
        <f t="shared" si="1"/>
        <v>1305.04</v>
      </c>
      <c r="K15" s="13">
        <f t="shared" si="2"/>
        <v>22867.96</v>
      </c>
      <c r="L15" s="13">
        <f t="shared" si="3"/>
        <v>12862.653333333334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216.36</v>
      </c>
      <c r="E16" s="21">
        <v>2.81</v>
      </c>
      <c r="F16" s="21">
        <v>0</v>
      </c>
      <c r="G16" s="21">
        <v>0</v>
      </c>
      <c r="H16" s="13">
        <f>D16+F16+'07-21-2022'!H16</f>
        <v>649.08000000000004</v>
      </c>
      <c r="I16" s="13">
        <f>E16+G16+'07-21-2022'!I16</f>
        <v>8.42</v>
      </c>
      <c r="J16" s="13">
        <f t="shared" si="1"/>
        <v>657.5</v>
      </c>
      <c r="K16" s="13">
        <f t="shared" si="2"/>
        <v>5342.5</v>
      </c>
      <c r="L16" s="13">
        <f t="shared" si="3"/>
        <v>301.66666666666697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8147.46</v>
      </c>
      <c r="E17" s="55">
        <f t="shared" si="4"/>
        <v>105.84000000000002</v>
      </c>
      <c r="F17" s="55">
        <f t="shared" si="4"/>
        <v>427.86</v>
      </c>
      <c r="G17" s="55">
        <f t="shared" si="4"/>
        <v>30.799999999999997</v>
      </c>
      <c r="H17" s="55">
        <f t="shared" si="4"/>
        <v>23453.34</v>
      </c>
      <c r="I17" s="55">
        <f t="shared" si="4"/>
        <v>471.40000000000003</v>
      </c>
      <c r="J17" s="55">
        <f t="shared" si="4"/>
        <v>23924.74</v>
      </c>
      <c r="K17" s="55">
        <f t="shared" si="4"/>
        <v>170833.25999999998</v>
      </c>
      <c r="L17" s="55">
        <f t="shared" si="4"/>
        <v>-12589.74666666667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D20+F20+'07-21-2022'!H20</f>
        <v>0</v>
      </c>
      <c r="I20" s="13">
        <f>E20+G20+'07-21-2022'!I20</f>
        <v>0</v>
      </c>
      <c r="J20" s="13">
        <f>H20+I20</f>
        <v>0</v>
      </c>
      <c r="K20" s="13">
        <f>C20-J20</f>
        <v>2109</v>
      </c>
      <c r="L20" s="13">
        <f t="shared" ref="L20:L22" si="5">C20-((J20/3)*26)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709.29</v>
      </c>
      <c r="E21" s="14">
        <v>9.2100000000000009</v>
      </c>
      <c r="F21" s="14">
        <v>0</v>
      </c>
      <c r="G21" s="14">
        <v>0</v>
      </c>
      <c r="H21" s="13">
        <f>D21+F21+'07-21-2022'!H21</f>
        <v>1786.87</v>
      </c>
      <c r="I21" s="13">
        <f>E21+G21+'07-21-2022'!I21</f>
        <v>23.21</v>
      </c>
      <c r="J21" s="13">
        <f>H21+I21</f>
        <v>1810.08</v>
      </c>
      <c r="K21" s="13">
        <f>C21-J21</f>
        <v>23189.919999999998</v>
      </c>
      <c r="L21" s="13">
        <f t="shared" si="5"/>
        <v>9312.64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D22+F22+'07-21-2022'!H22</f>
        <v>0</v>
      </c>
      <c r="I22" s="13">
        <f>E22+G22+'07-21-2022'!I22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709.29</v>
      </c>
      <c r="E23" s="10">
        <f t="shared" si="6"/>
        <v>9.2100000000000009</v>
      </c>
      <c r="F23" s="10">
        <f t="shared" si="6"/>
        <v>0</v>
      </c>
      <c r="G23" s="10">
        <f t="shared" si="6"/>
        <v>0</v>
      </c>
      <c r="H23" s="10">
        <f t="shared" si="6"/>
        <v>1786.87</v>
      </c>
      <c r="I23" s="10">
        <f t="shared" si="6"/>
        <v>23.21</v>
      </c>
      <c r="J23" s="10">
        <f t="shared" si="6"/>
        <v>1810.08</v>
      </c>
      <c r="K23" s="10">
        <f t="shared" si="6"/>
        <v>37298.92</v>
      </c>
      <c r="L23" s="10">
        <f t="shared" si="6"/>
        <v>23421.64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487.5</v>
      </c>
      <c r="E26" s="14">
        <v>6.33</v>
      </c>
      <c r="F26" s="14">
        <f>628.14+131.25</f>
        <v>759.39</v>
      </c>
      <c r="G26" s="14">
        <f>45.22+9.45</f>
        <v>54.67</v>
      </c>
      <c r="H26" s="13">
        <f>D26+F26+'07-21-2022'!H26</f>
        <v>1815.6399999999999</v>
      </c>
      <c r="I26" s="13">
        <f>E26+G26+'07-21-2022'!I26</f>
        <v>68.39</v>
      </c>
      <c r="J26" s="13">
        <f>H26+I26</f>
        <v>1884.03</v>
      </c>
      <c r="K26" s="13">
        <f>C26-J26</f>
        <v>13115.97</v>
      </c>
      <c r="L26" s="13">
        <f t="shared" ref="L26:L29" si="7">C26-((J26/3)*26)</f>
        <v>-1328.2600000000002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D27+F27+'07-21-2022'!H27</f>
        <v>0</v>
      </c>
      <c r="I27" s="13">
        <f>E27+G27+'07-21-2022'!I27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2070</v>
      </c>
      <c r="E28" s="21">
        <v>26.88</v>
      </c>
      <c r="F28" s="21">
        <v>90</v>
      </c>
      <c r="G28" s="21">
        <v>6.48</v>
      </c>
      <c r="H28" s="13">
        <f>D28+F28+'07-21-2022'!H28</f>
        <v>8737.25</v>
      </c>
      <c r="I28" s="13">
        <f>E28+G28+'07-21-2022'!I28</f>
        <v>164.64999999999998</v>
      </c>
      <c r="J28" s="13">
        <f>H28+I28</f>
        <v>8901.9</v>
      </c>
      <c r="K28" s="13">
        <f>C28-J28</f>
        <v>16098.1</v>
      </c>
      <c r="L28" s="13">
        <f t="shared" si="7"/>
        <v>-52149.799999999988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D29+F29+'07-21-2022'!H29</f>
        <v>0</v>
      </c>
      <c r="I29" s="13">
        <f>E29+G29+'07-21-2022'!I29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2557.5</v>
      </c>
      <c r="E30" s="48">
        <f t="shared" si="8"/>
        <v>33.21</v>
      </c>
      <c r="F30" s="48">
        <f t="shared" si="8"/>
        <v>849.39</v>
      </c>
      <c r="G30" s="48">
        <f t="shared" si="8"/>
        <v>61.150000000000006</v>
      </c>
      <c r="H30" s="48">
        <f t="shared" si="8"/>
        <v>10552.89</v>
      </c>
      <c r="I30" s="48">
        <f t="shared" si="8"/>
        <v>233.03999999999996</v>
      </c>
      <c r="J30" s="48">
        <f t="shared" si="8"/>
        <v>10785.93</v>
      </c>
      <c r="K30" s="48">
        <f t="shared" si="8"/>
        <v>40664.07</v>
      </c>
      <c r="L30" s="48">
        <f t="shared" si="8"/>
        <v>-42028.05999999999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11414.25</v>
      </c>
      <c r="E33" s="41">
        <f t="shared" si="9"/>
        <v>148.26000000000002</v>
      </c>
      <c r="F33" s="41">
        <f t="shared" si="9"/>
        <v>1277.25</v>
      </c>
      <c r="G33" s="41">
        <f t="shared" si="9"/>
        <v>91.95</v>
      </c>
      <c r="H33" s="41">
        <f t="shared" si="9"/>
        <v>35793.1</v>
      </c>
      <c r="I33" s="41">
        <f t="shared" si="9"/>
        <v>727.65</v>
      </c>
      <c r="J33" s="41">
        <f t="shared" si="9"/>
        <v>36520.75</v>
      </c>
      <c r="K33" s="41">
        <f t="shared" si="9"/>
        <v>269196.25</v>
      </c>
      <c r="L33" s="41">
        <f t="shared" si="9"/>
        <v>-10796.166666666661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14"/>
      <c r="E36" s="14"/>
      <c r="F36" s="14"/>
      <c r="G36" s="14"/>
      <c r="H36" s="13">
        <f>D36+F36+'07-21-2022'!H36</f>
        <v>0</v>
      </c>
      <c r="I36" s="13">
        <f>E36+G36+'07-21-2022'!I36</f>
        <v>0</v>
      </c>
      <c r="J36" s="13">
        <f t="shared" ref="J36:J53" si="10">H36+I36</f>
        <v>0</v>
      </c>
      <c r="K36" s="13">
        <f t="shared" ref="K36:K53" si="11">C36-J36</f>
        <v>0</v>
      </c>
      <c r="L36" s="13">
        <f t="shared" ref="L36:L53" si="12">C36-((J36/3)*26)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14"/>
      <c r="E37" s="14"/>
      <c r="F37" s="14"/>
      <c r="G37" s="14"/>
      <c r="H37" s="13">
        <f>D37+F37+'07-21-2022'!H37</f>
        <v>0</v>
      </c>
      <c r="I37" s="13">
        <f>E37+G37+'07-21-2022'!I37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14"/>
      <c r="E38" s="14"/>
      <c r="F38" s="14"/>
      <c r="G38" s="14"/>
      <c r="H38" s="13">
        <f>D38+F38+'07-21-2022'!H38</f>
        <v>0</v>
      </c>
      <c r="I38" s="13">
        <f>E38+G38+'07-21-2022'!I38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26" t="s">
        <v>32</v>
      </c>
      <c r="C39" s="77">
        <v>0</v>
      </c>
      <c r="D39" s="14"/>
      <c r="E39" s="14"/>
      <c r="F39" s="14"/>
      <c r="G39" s="14"/>
      <c r="H39" s="13">
        <f>D39+F39+'07-21-2022'!H39</f>
        <v>0</v>
      </c>
      <c r="I39" s="13">
        <f>E39+G39+'07-21-2022'!I39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26" t="s">
        <v>30</v>
      </c>
      <c r="C40" s="77">
        <v>0</v>
      </c>
      <c r="D40" s="14"/>
      <c r="E40" s="14"/>
      <c r="F40" s="14"/>
      <c r="G40" s="14"/>
      <c r="H40" s="13">
        <f>D40+F40+'07-21-2022'!H40</f>
        <v>0</v>
      </c>
      <c r="I40" s="13">
        <f>E40+G40+'07-21-2022'!I40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26" t="s">
        <v>28</v>
      </c>
      <c r="C41" s="13">
        <v>2500</v>
      </c>
      <c r="D41" s="14">
        <v>540</v>
      </c>
      <c r="E41" s="14">
        <v>7.01</v>
      </c>
      <c r="F41" s="14">
        <v>0</v>
      </c>
      <c r="G41" s="14">
        <v>0</v>
      </c>
      <c r="H41" s="13">
        <f>D41+F41+'07-21-2022'!H41</f>
        <v>1364.06</v>
      </c>
      <c r="I41" s="13">
        <f>E41+G41+'07-21-2022'!I41</f>
        <v>17.71</v>
      </c>
      <c r="J41" s="13">
        <f t="shared" si="10"/>
        <v>1381.77</v>
      </c>
      <c r="K41" s="13">
        <f t="shared" si="11"/>
        <v>1118.23</v>
      </c>
      <c r="L41" s="13">
        <f t="shared" si="12"/>
        <v>-9475.34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14"/>
      <c r="E42" s="14"/>
      <c r="F42" s="14"/>
      <c r="G42" s="14"/>
      <c r="H42" s="13">
        <f>D42+F42+'07-21-2022'!H42</f>
        <v>0</v>
      </c>
      <c r="I42" s="13">
        <f>E42+G42+'07-21-2022'!I42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14"/>
      <c r="E43" s="14"/>
      <c r="F43" s="14"/>
      <c r="G43" s="14"/>
      <c r="H43" s="13">
        <f>D43+F43+'07-21-2022'!H43</f>
        <v>0</v>
      </c>
      <c r="I43" s="13">
        <f>E43+G43+'07-21-2022'!I43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26" t="s">
        <v>23</v>
      </c>
      <c r="C44" s="77">
        <v>0</v>
      </c>
      <c r="D44" s="14"/>
      <c r="E44" s="14"/>
      <c r="F44" s="14"/>
      <c r="G44" s="14"/>
      <c r="H44" s="13">
        <f>D44+F44+'07-21-2022'!H44</f>
        <v>0</v>
      </c>
      <c r="I44" s="13">
        <f>E44+G44+'07-21-2022'!I44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2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D45+F45+'07-21-2022'!H45</f>
        <v>0</v>
      </c>
      <c r="I45" s="13">
        <f>E45+G45+'07-21-2022'!I45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26" t="s">
        <v>19</v>
      </c>
      <c r="C46" s="13">
        <v>6021.08</v>
      </c>
      <c r="D46" s="14">
        <v>323.95</v>
      </c>
      <c r="E46" s="14">
        <v>4.2</v>
      </c>
      <c r="F46" s="14">
        <v>0</v>
      </c>
      <c r="G46" s="14">
        <v>0</v>
      </c>
      <c r="H46" s="13">
        <f>D46+F46+'07-21-2022'!H46</f>
        <v>706.8</v>
      </c>
      <c r="I46" s="13">
        <f>E46+G46+'07-21-2022'!I46</f>
        <v>9.17</v>
      </c>
      <c r="J46" s="13">
        <f t="shared" si="10"/>
        <v>715.96999999999991</v>
      </c>
      <c r="K46" s="13">
        <f t="shared" si="11"/>
        <v>5305.11</v>
      </c>
      <c r="L46" s="13">
        <f t="shared" si="12"/>
        <v>-183.99333333333288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30</v>
      </c>
      <c r="E47" s="14">
        <v>0.39</v>
      </c>
      <c r="F47" s="14">
        <v>0</v>
      </c>
      <c r="G47" s="14">
        <v>0</v>
      </c>
      <c r="H47" s="13">
        <f>D47+F47+'07-21-2022'!H47</f>
        <v>1260.6000000000001</v>
      </c>
      <c r="I47" s="13">
        <f>E47+G47+'07-21-2022'!I47</f>
        <v>16.38</v>
      </c>
      <c r="J47" s="13">
        <f t="shared" si="10"/>
        <v>1276.9800000000002</v>
      </c>
      <c r="K47" s="13">
        <f t="shared" si="11"/>
        <v>8723.02</v>
      </c>
      <c r="L47" s="13">
        <f t="shared" si="12"/>
        <v>-1067.1600000000017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410.2</v>
      </c>
      <c r="E48" s="14">
        <v>5.33</v>
      </c>
      <c r="F48" s="14">
        <v>0</v>
      </c>
      <c r="G48" s="14">
        <v>0</v>
      </c>
      <c r="H48" s="13">
        <f>D48+F48+'07-21-2022'!H48</f>
        <v>1085.2</v>
      </c>
      <c r="I48" s="13">
        <f>E48+G48+'07-21-2022'!I48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-7832.8366666666661</v>
      </c>
      <c r="M48" s="24"/>
    </row>
    <row r="49" spans="1:13" s="23" customFormat="1" ht="11.25" customHeight="1" x14ac:dyDescent="0.25">
      <c r="A49" s="27" t="s">
        <v>15</v>
      </c>
      <c r="B49" s="26" t="s">
        <v>14</v>
      </c>
      <c r="C49" s="13">
        <v>1261.2</v>
      </c>
      <c r="D49" s="14">
        <v>0</v>
      </c>
      <c r="E49" s="14">
        <v>0</v>
      </c>
      <c r="F49" s="14">
        <v>546</v>
      </c>
      <c r="G49" s="14">
        <v>39.31</v>
      </c>
      <c r="H49" s="13">
        <f>D49+F49+'07-21-2022'!H49</f>
        <v>1176.5</v>
      </c>
      <c r="I49" s="13">
        <f>E49+G49+'07-21-2022'!I49</f>
        <v>84.7</v>
      </c>
      <c r="J49" s="13">
        <f t="shared" si="10"/>
        <v>1261.2</v>
      </c>
      <c r="K49" s="13">
        <f t="shared" si="11"/>
        <v>0</v>
      </c>
      <c r="L49" s="13">
        <f t="shared" si="12"/>
        <v>-9669.2000000000007</v>
      </c>
      <c r="M49" s="74"/>
    </row>
    <row r="50" spans="1:13" s="23" customFormat="1" ht="11.25" customHeight="1" x14ac:dyDescent="0.25">
      <c r="A50" s="27" t="s">
        <v>13</v>
      </c>
      <c r="B50" s="26" t="s">
        <v>12</v>
      </c>
      <c r="C50" s="77">
        <v>0</v>
      </c>
      <c r="D50" s="14"/>
      <c r="E50" s="14"/>
      <c r="F50" s="14"/>
      <c r="G50" s="14"/>
      <c r="H50" s="13">
        <f>D50+F50+'07-21-2022'!H50</f>
        <v>0</v>
      </c>
      <c r="I50" s="13">
        <f>E50+G50+'07-21-2022'!I50</f>
        <v>0</v>
      </c>
      <c r="J50" s="13">
        <f t="shared" si="10"/>
        <v>0</v>
      </c>
      <c r="K50" s="13">
        <f t="shared" si="11"/>
        <v>0</v>
      </c>
      <c r="L50" s="13">
        <f t="shared" si="12"/>
        <v>0</v>
      </c>
      <c r="M50" s="28"/>
    </row>
    <row r="51" spans="1:13" s="23" customFormat="1" ht="11.25" customHeight="1" x14ac:dyDescent="0.2">
      <c r="A51" s="27" t="s">
        <v>11</v>
      </c>
      <c r="B51" s="26" t="s">
        <v>10</v>
      </c>
      <c r="C51" s="13">
        <v>6800</v>
      </c>
      <c r="D51" s="14">
        <v>800</v>
      </c>
      <c r="E51" s="14">
        <v>10.4</v>
      </c>
      <c r="F51" s="14">
        <v>0</v>
      </c>
      <c r="G51" s="14">
        <v>0</v>
      </c>
      <c r="H51" s="13">
        <f>D51+F51+'07-21-2022'!H51</f>
        <v>1920</v>
      </c>
      <c r="I51" s="13">
        <f>E51+G51+'07-21-2022'!I51</f>
        <v>24.96</v>
      </c>
      <c r="J51" s="13">
        <f t="shared" si="10"/>
        <v>1944.96</v>
      </c>
      <c r="K51" s="13">
        <f t="shared" si="11"/>
        <v>4855.04</v>
      </c>
      <c r="L51" s="13">
        <f t="shared" si="12"/>
        <v>-10056.32</v>
      </c>
      <c r="M51" s="24"/>
    </row>
    <row r="52" spans="1:13" s="23" customFormat="1" ht="11.25" customHeight="1" x14ac:dyDescent="0.2">
      <c r="A52" s="27" t="s">
        <v>9</v>
      </c>
      <c r="B52" s="26" t="s">
        <v>8</v>
      </c>
      <c r="C52" s="13">
        <v>1900</v>
      </c>
      <c r="D52" s="14">
        <v>0</v>
      </c>
      <c r="E52" s="14">
        <v>0</v>
      </c>
      <c r="F52" s="14">
        <v>118.4</v>
      </c>
      <c r="G52" s="14">
        <v>8.52</v>
      </c>
      <c r="H52" s="13">
        <f>D52+F52+'07-21-2022'!H52</f>
        <v>473.6</v>
      </c>
      <c r="I52" s="13">
        <f>E52+G52+'07-21-2022'!I52</f>
        <v>34.08</v>
      </c>
      <c r="J52" s="13">
        <f t="shared" si="10"/>
        <v>507.68</v>
      </c>
      <c r="K52" s="13">
        <f t="shared" si="11"/>
        <v>1392.32</v>
      </c>
      <c r="L52" s="13">
        <f t="shared" si="12"/>
        <v>-2499.8933333333334</v>
      </c>
      <c r="M52" s="24"/>
    </row>
    <row r="53" spans="1:13" s="23" customFormat="1" ht="11.25" customHeight="1" x14ac:dyDescent="0.2">
      <c r="A53" s="27" t="s">
        <v>7</v>
      </c>
      <c r="B53" s="2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D53+F53+'07-21-2022'!H53</f>
        <v>0</v>
      </c>
      <c r="I53" s="13">
        <f>E53+G53+'07-21-2022'!I53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ht="21.6" customHeight="1" x14ac:dyDescent="0.25">
      <c r="A54" s="94" t="s">
        <v>5</v>
      </c>
      <c r="B54" s="95"/>
      <c r="C54" s="10">
        <f t="shared" ref="C54:L54" si="13">SUM(C36:C53)</f>
        <v>33251.560000000005</v>
      </c>
      <c r="D54" s="10">
        <f t="shared" si="13"/>
        <v>2104.15</v>
      </c>
      <c r="E54" s="10">
        <f t="shared" si="13"/>
        <v>27.33</v>
      </c>
      <c r="F54" s="10">
        <f t="shared" si="13"/>
        <v>664.4</v>
      </c>
      <c r="G54" s="10">
        <f t="shared" si="13"/>
        <v>47.83</v>
      </c>
      <c r="H54" s="10">
        <f t="shared" si="13"/>
        <v>7986.76</v>
      </c>
      <c r="I54" s="10">
        <f t="shared" si="13"/>
        <v>201.10000000000002</v>
      </c>
      <c r="J54" s="10">
        <f t="shared" si="13"/>
        <v>8187.8600000000006</v>
      </c>
      <c r="K54" s="10">
        <f t="shared" si="13"/>
        <v>25063.7</v>
      </c>
      <c r="L54" s="10">
        <f t="shared" si="13"/>
        <v>-37709.893333333333</v>
      </c>
      <c r="M54" s="22"/>
    </row>
    <row r="55" spans="1:13" ht="10.9" customHeight="1" x14ac:dyDescent="0.25">
      <c r="A55" s="19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2"/>
    </row>
    <row r="56" spans="1:13" ht="10.9" customHeight="1" x14ac:dyDescent="0.25">
      <c r="A56" s="19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3" s="11" customFormat="1" ht="10.9" customHeight="1" x14ac:dyDescent="0.25">
      <c r="A57" s="16" t="s">
        <v>4</v>
      </c>
      <c r="B57" s="15" t="s">
        <v>3</v>
      </c>
      <c r="C57" s="13">
        <v>62583</v>
      </c>
      <c r="D57" s="21">
        <v>942.44</v>
      </c>
      <c r="E57" s="21">
        <v>12.24</v>
      </c>
      <c r="F57" s="21">
        <v>0</v>
      </c>
      <c r="G57" s="21">
        <v>0</v>
      </c>
      <c r="H57" s="13">
        <f>D57+F57+'07-21-2022'!H57</f>
        <v>2466.89</v>
      </c>
      <c r="I57" s="13">
        <f>E57+G57+'07-21-2022'!I57</f>
        <v>32.04</v>
      </c>
      <c r="J57" s="13">
        <f>H57+I57</f>
        <v>2498.9299999999998</v>
      </c>
      <c r="K57" s="13">
        <f>C57-J57</f>
        <v>60084.07</v>
      </c>
      <c r="L57" s="13">
        <f>C57-((J57/3)*26)</f>
        <v>40925.606666666674</v>
      </c>
      <c r="M57" s="12"/>
    </row>
    <row r="58" spans="1:13" s="11" customFormat="1" ht="10.9" customHeight="1" x14ac:dyDescent="0.25">
      <c r="A58" s="80" t="s">
        <v>76</v>
      </c>
      <c r="B58" s="81" t="s">
        <v>77</v>
      </c>
      <c r="C58" s="82">
        <v>1000</v>
      </c>
      <c r="D58" s="83">
        <v>0</v>
      </c>
      <c r="E58" s="83">
        <v>0</v>
      </c>
      <c r="F58" s="83">
        <v>0</v>
      </c>
      <c r="G58" s="83">
        <v>0</v>
      </c>
      <c r="H58" s="82">
        <f>D58+F58</f>
        <v>0</v>
      </c>
      <c r="I58" s="82">
        <f>E58+G58</f>
        <v>0</v>
      </c>
      <c r="J58" s="82">
        <f>H58+I58</f>
        <v>0</v>
      </c>
      <c r="K58" s="82">
        <f>C58-J58</f>
        <v>1000</v>
      </c>
      <c r="L58" s="82">
        <f>C58-((J58/3)*26)</f>
        <v>1000</v>
      </c>
      <c r="M58" s="12"/>
    </row>
    <row r="59" spans="1:13" ht="21.6" customHeight="1" x14ac:dyDescent="0.25">
      <c r="A59" s="94" t="s">
        <v>2</v>
      </c>
      <c r="B59" s="95"/>
      <c r="C59" s="20">
        <f>SUM(C57:C58)</f>
        <v>63583</v>
      </c>
      <c r="D59" s="20">
        <f t="shared" ref="D59:L59" si="14">SUM(D57:D58)</f>
        <v>942.44</v>
      </c>
      <c r="E59" s="20">
        <f t="shared" si="14"/>
        <v>12.24</v>
      </c>
      <c r="F59" s="20">
        <f t="shared" si="14"/>
        <v>0</v>
      </c>
      <c r="G59" s="20">
        <f t="shared" si="14"/>
        <v>0</v>
      </c>
      <c r="H59" s="20">
        <f t="shared" si="14"/>
        <v>2466.89</v>
      </c>
      <c r="I59" s="20">
        <f t="shared" si="14"/>
        <v>32.04</v>
      </c>
      <c r="J59" s="20">
        <f t="shared" si="14"/>
        <v>2498.9299999999998</v>
      </c>
      <c r="K59" s="20">
        <f t="shared" si="14"/>
        <v>61084.07</v>
      </c>
      <c r="L59" s="20">
        <f t="shared" si="14"/>
        <v>41925.606666666674</v>
      </c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3" ht="10.9" customHeight="1" x14ac:dyDescent="0.25">
      <c r="A61" s="19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3" s="11" customFormat="1" ht="10.9" customHeight="1" x14ac:dyDescent="0.25">
      <c r="A62" s="16" t="s">
        <v>1</v>
      </c>
      <c r="B62" s="15">
        <v>55180000</v>
      </c>
      <c r="C62" s="77">
        <v>0</v>
      </c>
      <c r="D62" s="14"/>
      <c r="E62" s="14"/>
      <c r="F62" s="14"/>
      <c r="G62" s="14"/>
      <c r="H62" s="13">
        <f>D62+F62+'07-21-2022'!H61</f>
        <v>0</v>
      </c>
      <c r="I62" s="13">
        <f>E62+G62+'07-21-2022'!I61</f>
        <v>0</v>
      </c>
      <c r="J62" s="13">
        <f>H62+I62</f>
        <v>0</v>
      </c>
      <c r="K62" s="13">
        <f>C62-J62</f>
        <v>0</v>
      </c>
      <c r="L62" s="13">
        <f>C62-((J62/3)*26)</f>
        <v>0</v>
      </c>
      <c r="M62" s="12"/>
    </row>
    <row r="63" spans="1:13" s="5" customFormat="1" ht="21.6" customHeight="1" x14ac:dyDescent="0.25">
      <c r="A63" s="94" t="s">
        <v>0</v>
      </c>
      <c r="B63" s="95"/>
      <c r="C63" s="10">
        <f t="shared" ref="C63:L63" si="15">SUM(C62)</f>
        <v>0</v>
      </c>
      <c r="D63" s="10">
        <f t="shared" si="15"/>
        <v>0</v>
      </c>
      <c r="E63" s="10">
        <f t="shared" si="15"/>
        <v>0</v>
      </c>
      <c r="F63" s="10">
        <f t="shared" si="15"/>
        <v>0</v>
      </c>
      <c r="G63" s="10">
        <f t="shared" si="15"/>
        <v>0</v>
      </c>
      <c r="H63" s="10">
        <f t="shared" si="15"/>
        <v>0</v>
      </c>
      <c r="I63" s="10">
        <f t="shared" si="15"/>
        <v>0</v>
      </c>
      <c r="J63" s="10">
        <f t="shared" si="15"/>
        <v>0</v>
      </c>
      <c r="K63" s="10">
        <f t="shared" si="15"/>
        <v>0</v>
      </c>
      <c r="L63" s="10">
        <f t="shared" si="15"/>
        <v>0</v>
      </c>
      <c r="M63" s="6"/>
    </row>
    <row r="64" spans="1:13" s="5" customFormat="1" ht="11.25" customHeight="1" x14ac:dyDescent="0.25">
      <c r="A64" s="9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6"/>
    </row>
    <row r="65" spans="1:18" ht="10.5" customHeight="1" x14ac:dyDescent="0.25">
      <c r="A65" s="101" t="s">
        <v>75</v>
      </c>
      <c r="B65" s="101"/>
      <c r="C65" s="101"/>
      <c r="D65" s="101"/>
      <c r="E65" s="101"/>
      <c r="F65" s="101"/>
      <c r="G65" s="79">
        <v>700</v>
      </c>
      <c r="M65" s="102"/>
      <c r="N65" s="102"/>
      <c r="O65" s="102"/>
      <c r="P65" s="102"/>
      <c r="Q65" s="102"/>
      <c r="R65" s="102"/>
    </row>
    <row r="66" spans="1:18" ht="10.5" customHeight="1" x14ac:dyDescent="0.25">
      <c r="A66" s="101" t="s">
        <v>78</v>
      </c>
      <c r="B66" s="101"/>
      <c r="C66" s="101"/>
      <c r="D66" s="101"/>
      <c r="E66" s="101"/>
      <c r="F66" s="101"/>
      <c r="G66" s="79">
        <v>15000</v>
      </c>
      <c r="M66" s="102"/>
      <c r="N66" s="102"/>
      <c r="O66" s="102"/>
      <c r="P66" s="102"/>
      <c r="Q66" s="102"/>
      <c r="R66" s="102"/>
    </row>
  </sheetData>
  <mergeCells count="12">
    <mergeCell ref="A54:B54"/>
    <mergeCell ref="A5:B5"/>
    <mergeCell ref="A17:B17"/>
    <mergeCell ref="A23:B23"/>
    <mergeCell ref="A30:B30"/>
    <mergeCell ref="A33:B33"/>
    <mergeCell ref="A66:F66"/>
    <mergeCell ref="M66:R66"/>
    <mergeCell ref="A59:B59"/>
    <mergeCell ref="A63:B63"/>
    <mergeCell ref="A65:F65"/>
    <mergeCell ref="M65:R65"/>
  </mergeCells>
  <pageMargins left="0.25" right="0" top="0.4" bottom="0" header="0.3" footer="0"/>
  <pageSetup scale="68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AEEF-222C-47AA-8D20-BFE29B168F84}">
  <sheetPr>
    <pageSetUpPr fitToPage="1"/>
  </sheetPr>
  <dimension ref="A1:R125"/>
  <sheetViews>
    <sheetView zoomScale="145" zoomScaleNormal="145" workbookViewId="0">
      <pane ySplit="2" topLeftCell="A36" activePane="bottomLeft" state="frozen"/>
      <selection pane="bottomLeft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44791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0</v>
      </c>
      <c r="G3" s="14">
        <v>0</v>
      </c>
      <c r="H3" s="13">
        <f>D3+F3+'08-04-2022'!H3</f>
        <v>0</v>
      </c>
      <c r="I3" s="13">
        <f>E3+G3+'08-04-2022'!I3</f>
        <v>0</v>
      </c>
      <c r="J3" s="13">
        <f>H3+I3</f>
        <v>0</v>
      </c>
      <c r="K3" s="13">
        <f>C3-J3</f>
        <v>10800</v>
      </c>
      <c r="L3" s="13">
        <f>C3-((J3/4)*26)</f>
        <v>10800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>D4+F4+'08-04-2022'!H4</f>
        <v>0</v>
      </c>
      <c r="I4" s="13">
        <f>E4+G4+'08-04-2022'!I4</f>
        <v>0</v>
      </c>
      <c r="J4" s="13">
        <f>H4+I4</f>
        <v>0</v>
      </c>
      <c r="K4" s="13">
        <f>C4-J4</f>
        <v>9600</v>
      </c>
      <c r="L4" s="13">
        <f>C4-((J4/4)*26)</f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20400</v>
      </c>
      <c r="L5" s="55">
        <f t="shared" si="0"/>
        <v>20400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D8+F8+'08-04-2022'!H8</f>
        <v>0</v>
      </c>
      <c r="I8" s="13">
        <f>E8+G8+'08-04-2022'!I8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C8-((J8/4)*26)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179.84</v>
      </c>
      <c r="E9" s="21">
        <v>2.33</v>
      </c>
      <c r="F9" s="21">
        <v>0</v>
      </c>
      <c r="G9" s="21">
        <v>0</v>
      </c>
      <c r="H9" s="13">
        <f>D9+F9+'08-04-2022'!H9</f>
        <v>2992.5299999999997</v>
      </c>
      <c r="I9" s="13">
        <f>E9+G9+'08-04-2022'!I9</f>
        <v>80.59</v>
      </c>
      <c r="J9" s="13">
        <f t="shared" si="1"/>
        <v>3073.12</v>
      </c>
      <c r="K9" s="13">
        <f t="shared" si="2"/>
        <v>21575.88</v>
      </c>
      <c r="L9" s="13">
        <f t="shared" si="3"/>
        <v>4673.7200000000012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353</v>
      </c>
      <c r="E10" s="21">
        <v>4.58</v>
      </c>
      <c r="F10" s="21">
        <v>994</v>
      </c>
      <c r="G10" s="21">
        <v>71.56</v>
      </c>
      <c r="H10" s="13">
        <f>D10+F10+'08-04-2022'!H10</f>
        <v>4725.3100000000004</v>
      </c>
      <c r="I10" s="13">
        <f>E10+G10+'08-04-2022'!I10</f>
        <v>225.75</v>
      </c>
      <c r="J10" s="13">
        <f t="shared" si="1"/>
        <v>4951.0600000000004</v>
      </c>
      <c r="K10" s="13">
        <f t="shared" si="2"/>
        <v>13022.939999999999</v>
      </c>
      <c r="L10" s="13">
        <f t="shared" si="3"/>
        <v>-14207.890000000003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f>-645+116.16</f>
        <v>-528.84</v>
      </c>
      <c r="E11" s="21">
        <f>-8.38+1.51</f>
        <v>-6.870000000000001</v>
      </c>
      <c r="F11" s="21">
        <v>0</v>
      </c>
      <c r="G11" s="21">
        <v>0</v>
      </c>
      <c r="H11" s="13">
        <f>D11+F11+'08-04-2022'!H11</f>
        <v>826.88</v>
      </c>
      <c r="I11" s="13">
        <f>E11+G11+'08-04-2022'!I11</f>
        <v>10.739999999999998</v>
      </c>
      <c r="J11" s="13">
        <f t="shared" si="1"/>
        <v>837.62</v>
      </c>
      <c r="K11" s="13">
        <f t="shared" si="2"/>
        <v>17136.38</v>
      </c>
      <c r="L11" s="13">
        <f t="shared" si="3"/>
        <v>12529.470000000001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503.66</v>
      </c>
      <c r="E12" s="21">
        <v>6.54</v>
      </c>
      <c r="F12" s="21">
        <v>0</v>
      </c>
      <c r="G12" s="21">
        <v>0</v>
      </c>
      <c r="H12" s="13">
        <f>D12+F12+'08-04-2022'!H12</f>
        <v>5411.62</v>
      </c>
      <c r="I12" s="13">
        <f>E12+G12+'08-04-2022'!I12</f>
        <v>70.31</v>
      </c>
      <c r="J12" s="13">
        <f t="shared" si="1"/>
        <v>5481.93</v>
      </c>
      <c r="K12" s="13">
        <f t="shared" si="2"/>
        <v>18848.07</v>
      </c>
      <c r="L12" s="13">
        <f t="shared" si="3"/>
        <v>-11302.544999999998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779.25</v>
      </c>
      <c r="E13" s="13">
        <v>10.130000000000001</v>
      </c>
      <c r="F13" s="13">
        <v>0</v>
      </c>
      <c r="G13" s="13">
        <v>0</v>
      </c>
      <c r="H13" s="13">
        <f>D13+F13+'08-04-2022'!H13</f>
        <v>3637.55</v>
      </c>
      <c r="I13" s="13">
        <f>E13+G13+'08-04-2022'!I13</f>
        <v>47.260000000000005</v>
      </c>
      <c r="J13" s="13">
        <f t="shared" si="1"/>
        <v>3684.8100000000004</v>
      </c>
      <c r="K13" s="13">
        <f t="shared" si="2"/>
        <v>30315.19</v>
      </c>
      <c r="L13" s="13">
        <f t="shared" si="3"/>
        <v>10048.734999999997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1502.4</v>
      </c>
      <c r="E14" s="13">
        <v>19.53</v>
      </c>
      <c r="F14" s="13">
        <v>0</v>
      </c>
      <c r="G14" s="13">
        <v>0</v>
      </c>
      <c r="H14" s="13">
        <f>D14+F14+'08-04-2022'!H14</f>
        <v>7705.369999999999</v>
      </c>
      <c r="I14" s="13">
        <f>E14+G14+'08-04-2022'!I14</f>
        <v>119.4</v>
      </c>
      <c r="J14" s="13">
        <f t="shared" si="1"/>
        <v>7824.7699999999986</v>
      </c>
      <c r="K14" s="13">
        <f t="shared" si="2"/>
        <v>34916.230000000003</v>
      </c>
      <c r="L14" s="13">
        <f t="shared" si="3"/>
        <v>-8120.0049999999901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353.32</v>
      </c>
      <c r="E15" s="21">
        <v>4.59</v>
      </c>
      <c r="F15" s="21">
        <v>0</v>
      </c>
      <c r="G15" s="21">
        <v>0</v>
      </c>
      <c r="H15" s="13">
        <f>D15+F15+'08-04-2022'!H15</f>
        <v>1641.6299999999999</v>
      </c>
      <c r="I15" s="13">
        <f>E15+G15+'08-04-2022'!I15</f>
        <v>21.32</v>
      </c>
      <c r="J15" s="13">
        <f t="shared" si="1"/>
        <v>1662.9499999999998</v>
      </c>
      <c r="K15" s="13">
        <f t="shared" si="2"/>
        <v>22510.05</v>
      </c>
      <c r="L15" s="13">
        <f t="shared" si="3"/>
        <v>13363.825000000001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78.13</v>
      </c>
      <c r="E16" s="21">
        <v>1.01</v>
      </c>
      <c r="F16" s="21">
        <v>0</v>
      </c>
      <c r="G16" s="21">
        <v>0</v>
      </c>
      <c r="H16" s="13">
        <f>D16+F16+'08-04-2022'!H16</f>
        <v>727.21</v>
      </c>
      <c r="I16" s="13">
        <f>E16+G16+'08-04-2022'!I16</f>
        <v>9.43</v>
      </c>
      <c r="J16" s="13">
        <f t="shared" si="1"/>
        <v>736.64</v>
      </c>
      <c r="K16" s="13">
        <f t="shared" si="2"/>
        <v>5263.36</v>
      </c>
      <c r="L16" s="13">
        <f t="shared" si="3"/>
        <v>1211.8400000000001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3220.7600000000007</v>
      </c>
      <c r="E17" s="55">
        <f t="shared" si="4"/>
        <v>41.839999999999996</v>
      </c>
      <c r="F17" s="55">
        <f t="shared" si="4"/>
        <v>994</v>
      </c>
      <c r="G17" s="55">
        <f t="shared" si="4"/>
        <v>71.56</v>
      </c>
      <c r="H17" s="55">
        <f t="shared" si="4"/>
        <v>27668.1</v>
      </c>
      <c r="I17" s="55">
        <f t="shared" si="4"/>
        <v>584.80000000000007</v>
      </c>
      <c r="J17" s="55">
        <f t="shared" si="4"/>
        <v>28252.899999999998</v>
      </c>
      <c r="K17" s="55">
        <f t="shared" si="4"/>
        <v>166505.09999999998</v>
      </c>
      <c r="L17" s="55">
        <f t="shared" si="4"/>
        <v>11114.150000000009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D20+F20+'08-04-2022'!H20</f>
        <v>0</v>
      </c>
      <c r="I20" s="13">
        <f>E20+G20+'08-04-2022'!I20</f>
        <v>0</v>
      </c>
      <c r="J20" s="13">
        <f>H20+I20</f>
        <v>0</v>
      </c>
      <c r="K20" s="13">
        <f>C20-J20</f>
        <v>2109</v>
      </c>
      <c r="L20" s="13">
        <f t="shared" ref="L20:L22" si="5">C20-((J20/4)*26)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522.53</v>
      </c>
      <c r="E21" s="14">
        <v>6.79</v>
      </c>
      <c r="F21" s="14">
        <v>0</v>
      </c>
      <c r="G21" s="14">
        <v>0</v>
      </c>
      <c r="H21" s="13">
        <f>D21+F21+'08-04-2022'!H21</f>
        <v>2309.3999999999996</v>
      </c>
      <c r="I21" s="13">
        <f>E21+G21+'08-04-2022'!I21</f>
        <v>30</v>
      </c>
      <c r="J21" s="13">
        <f>H21+I21</f>
        <v>2339.3999999999996</v>
      </c>
      <c r="K21" s="13">
        <f>C21-J21</f>
        <v>22660.6</v>
      </c>
      <c r="L21" s="13">
        <f t="shared" si="5"/>
        <v>9793.9000000000015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D22+F22+'08-04-2022'!H22</f>
        <v>0</v>
      </c>
      <c r="I22" s="13">
        <f>E22+G22+'08-04-2022'!I22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522.53</v>
      </c>
      <c r="E23" s="10">
        <f t="shared" si="6"/>
        <v>6.79</v>
      </c>
      <c r="F23" s="10">
        <f t="shared" si="6"/>
        <v>0</v>
      </c>
      <c r="G23" s="10">
        <f t="shared" si="6"/>
        <v>0</v>
      </c>
      <c r="H23" s="10">
        <f t="shared" si="6"/>
        <v>2309.3999999999996</v>
      </c>
      <c r="I23" s="10">
        <f t="shared" si="6"/>
        <v>30</v>
      </c>
      <c r="J23" s="10">
        <f t="shared" si="6"/>
        <v>2339.3999999999996</v>
      </c>
      <c r="K23" s="10">
        <f t="shared" si="6"/>
        <v>36769.599999999999</v>
      </c>
      <c r="L23" s="10">
        <f t="shared" si="6"/>
        <v>23902.9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37.5</v>
      </c>
      <c r="E26" s="14">
        <v>0.48</v>
      </c>
      <c r="F26" s="14">
        <v>100</v>
      </c>
      <c r="G26" s="14">
        <v>7.2</v>
      </c>
      <c r="H26" s="13">
        <f>D26+F26+'08-04-2022'!H26</f>
        <v>1953.1399999999999</v>
      </c>
      <c r="I26" s="13">
        <f>E26+G26+'08-04-2022'!I26</f>
        <v>76.069999999999993</v>
      </c>
      <c r="J26" s="13">
        <f>H26+I26</f>
        <v>2029.2099999999998</v>
      </c>
      <c r="K26" s="13">
        <f>C26-J26</f>
        <v>12970.79</v>
      </c>
      <c r="L26" s="13">
        <f t="shared" ref="L26:L29" si="7">C26-((J26/4)*26)</f>
        <v>1810.135000000002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D27+F27+'08-04-2022'!H27</f>
        <v>0</v>
      </c>
      <c r="I27" s="13">
        <f>E27+G27+'08-04-2022'!I27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f>645+810</f>
        <v>1455</v>
      </c>
      <c r="E28" s="21">
        <f>8.38+10.53</f>
        <v>18.91</v>
      </c>
      <c r="F28" s="21">
        <v>0</v>
      </c>
      <c r="G28" s="21">
        <v>0</v>
      </c>
      <c r="H28" s="13">
        <f>D28+F28+'08-04-2022'!H28</f>
        <v>10192.25</v>
      </c>
      <c r="I28" s="13">
        <f>E28+G28+'08-04-2022'!I28</f>
        <v>183.55999999999997</v>
      </c>
      <c r="J28" s="13">
        <f>H28+I28</f>
        <v>10375.81</v>
      </c>
      <c r="K28" s="13">
        <f>C28-J28</f>
        <v>14624.19</v>
      </c>
      <c r="L28" s="13">
        <f t="shared" si="7"/>
        <v>-42442.764999999999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D29+F29+'08-04-2022'!H29</f>
        <v>0</v>
      </c>
      <c r="I29" s="13">
        <f>E29+G29+'08-04-2022'!I29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1492.5</v>
      </c>
      <c r="E30" s="48">
        <f t="shared" si="8"/>
        <v>19.39</v>
      </c>
      <c r="F30" s="48">
        <f t="shared" si="8"/>
        <v>100</v>
      </c>
      <c r="G30" s="48">
        <f t="shared" si="8"/>
        <v>7.2</v>
      </c>
      <c r="H30" s="48">
        <f t="shared" si="8"/>
        <v>12145.39</v>
      </c>
      <c r="I30" s="48">
        <f t="shared" si="8"/>
        <v>259.63</v>
      </c>
      <c r="J30" s="48">
        <f t="shared" si="8"/>
        <v>12405.019999999999</v>
      </c>
      <c r="K30" s="48">
        <f t="shared" si="8"/>
        <v>39044.980000000003</v>
      </c>
      <c r="L30" s="48">
        <f t="shared" si="8"/>
        <v>-29182.629999999997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5235.7900000000009</v>
      </c>
      <c r="E33" s="41">
        <f t="shared" si="9"/>
        <v>68.02</v>
      </c>
      <c r="F33" s="41">
        <f t="shared" si="9"/>
        <v>1094</v>
      </c>
      <c r="G33" s="41">
        <f t="shared" si="9"/>
        <v>78.760000000000005</v>
      </c>
      <c r="H33" s="41">
        <f t="shared" si="9"/>
        <v>42122.89</v>
      </c>
      <c r="I33" s="41">
        <f t="shared" si="9"/>
        <v>874.43000000000006</v>
      </c>
      <c r="J33" s="41">
        <f t="shared" si="9"/>
        <v>42997.319999999992</v>
      </c>
      <c r="K33" s="41">
        <f t="shared" si="9"/>
        <v>262719.68</v>
      </c>
      <c r="L33" s="41">
        <f t="shared" si="9"/>
        <v>26234.420000000013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14"/>
      <c r="E36" s="14"/>
      <c r="F36" s="14"/>
      <c r="G36" s="14"/>
      <c r="H36" s="13">
        <f>D36+F36+'08-04-2022'!H36</f>
        <v>0</v>
      </c>
      <c r="I36" s="13">
        <f>E36+G36+'08-04-2022'!I36</f>
        <v>0</v>
      </c>
      <c r="J36" s="13">
        <f t="shared" ref="J36:J53" si="10">H36+I36</f>
        <v>0</v>
      </c>
      <c r="K36" s="13">
        <f t="shared" ref="K36:K53" si="11">C36-J36</f>
        <v>0</v>
      </c>
      <c r="L36" s="13">
        <f t="shared" ref="L36:L53" si="12">C36-((J36/4)*26)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14"/>
      <c r="E37" s="14"/>
      <c r="F37" s="14"/>
      <c r="G37" s="14"/>
      <c r="H37" s="13">
        <f>D37+F37+'08-04-2022'!H37</f>
        <v>0</v>
      </c>
      <c r="I37" s="13">
        <f>E37+G37+'08-04-2022'!I37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14"/>
      <c r="E38" s="14"/>
      <c r="F38" s="14"/>
      <c r="G38" s="14"/>
      <c r="H38" s="13">
        <f>D38+F38+'08-04-2022'!H38</f>
        <v>0</v>
      </c>
      <c r="I38" s="13">
        <f>E38+G38+'08-04-2022'!I38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26" t="s">
        <v>32</v>
      </c>
      <c r="C39" s="77">
        <v>0</v>
      </c>
      <c r="D39" s="14"/>
      <c r="E39" s="14"/>
      <c r="F39" s="14"/>
      <c r="G39" s="14"/>
      <c r="H39" s="13">
        <f>D39+F39+'08-04-2022'!H39</f>
        <v>0</v>
      </c>
      <c r="I39" s="13">
        <f>E39+G39+'08-04-2022'!I39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26" t="s">
        <v>30</v>
      </c>
      <c r="C40" s="77">
        <v>0</v>
      </c>
      <c r="D40" s="14"/>
      <c r="E40" s="14"/>
      <c r="F40" s="14"/>
      <c r="G40" s="14"/>
      <c r="H40" s="13">
        <f>D40+F40+'08-04-2022'!H40</f>
        <v>0</v>
      </c>
      <c r="I40" s="13">
        <f>E40+G40+'08-04-2022'!I40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26" t="s">
        <v>28</v>
      </c>
      <c r="C41" s="13">
        <f>2500+5000</f>
        <v>7500</v>
      </c>
      <c r="D41" s="14">
        <v>329.06</v>
      </c>
      <c r="E41" s="14">
        <v>4.2699999999999996</v>
      </c>
      <c r="F41" s="14">
        <v>0</v>
      </c>
      <c r="G41" s="14">
        <v>0</v>
      </c>
      <c r="H41" s="13">
        <f>D41+F41+'08-04-2022'!H41</f>
        <v>1693.12</v>
      </c>
      <c r="I41" s="13">
        <f>E41+G41+'08-04-2022'!I41</f>
        <v>21.98</v>
      </c>
      <c r="J41" s="13">
        <f t="shared" si="10"/>
        <v>1715.1</v>
      </c>
      <c r="K41" s="13">
        <f t="shared" si="11"/>
        <v>5784.9</v>
      </c>
      <c r="L41" s="13">
        <f t="shared" si="12"/>
        <v>-3648.1499999999996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14"/>
      <c r="E42" s="14"/>
      <c r="F42" s="14"/>
      <c r="G42" s="14"/>
      <c r="H42" s="13">
        <f>D42+F42+'08-04-2022'!H42</f>
        <v>0</v>
      </c>
      <c r="I42" s="13">
        <f>E42+G42+'08-04-2022'!I42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14"/>
      <c r="E43" s="14"/>
      <c r="F43" s="14"/>
      <c r="G43" s="14"/>
      <c r="H43" s="13">
        <f>D43+F43+'08-04-2022'!H43</f>
        <v>0</v>
      </c>
      <c r="I43" s="13">
        <f>E43+G43+'08-04-2022'!I43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26" t="s">
        <v>23</v>
      </c>
      <c r="C44" s="77">
        <v>0</v>
      </c>
      <c r="D44" s="14"/>
      <c r="E44" s="14"/>
      <c r="F44" s="14"/>
      <c r="G44" s="14"/>
      <c r="H44" s="13">
        <f>D44+F44+'08-04-2022'!H44</f>
        <v>0</v>
      </c>
      <c r="I44" s="13">
        <f>E44+G44+'08-04-2022'!I44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2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D45+F45+'08-04-2022'!H45</f>
        <v>0</v>
      </c>
      <c r="I45" s="13">
        <f>E45+G45+'08-04-2022'!I45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26" t="s">
        <v>19</v>
      </c>
      <c r="C46" s="13">
        <v>6021.08</v>
      </c>
      <c r="D46" s="14">
        <v>82.46</v>
      </c>
      <c r="E46" s="14">
        <v>1.07</v>
      </c>
      <c r="F46" s="14">
        <v>0</v>
      </c>
      <c r="G46" s="14">
        <v>0</v>
      </c>
      <c r="H46" s="13">
        <f>D46+F46+'08-04-2022'!H46</f>
        <v>789.26</v>
      </c>
      <c r="I46" s="13">
        <f>E46+G46+'08-04-2022'!I46</f>
        <v>10.24</v>
      </c>
      <c r="J46" s="13">
        <f t="shared" si="10"/>
        <v>799.5</v>
      </c>
      <c r="K46" s="13">
        <f t="shared" si="11"/>
        <v>5221.58</v>
      </c>
      <c r="L46" s="13">
        <f t="shared" si="12"/>
        <v>824.32999999999993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963.97</v>
      </c>
      <c r="E47" s="14">
        <v>12.53</v>
      </c>
      <c r="F47" s="14">
        <v>0</v>
      </c>
      <c r="G47" s="14">
        <v>0</v>
      </c>
      <c r="H47" s="13">
        <f>D47+F47+'08-04-2022'!H47</f>
        <v>2224.5700000000002</v>
      </c>
      <c r="I47" s="13">
        <f>E47+G47+'08-04-2022'!I47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-4647.6200000000008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D48+F48+'08-04-2022'!H48</f>
        <v>1085.2</v>
      </c>
      <c r="I48" s="13">
        <f>E48+G48+'08-04-2022'!I48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-5451.0199999999995</v>
      </c>
      <c r="M48" s="24"/>
    </row>
    <row r="49" spans="1:13" s="23" customFormat="1" ht="11.25" customHeight="1" x14ac:dyDescent="0.25">
      <c r="A49" s="27" t="s">
        <v>15</v>
      </c>
      <c r="B49" s="26" t="s">
        <v>14</v>
      </c>
      <c r="C49" s="13">
        <v>1686.24</v>
      </c>
      <c r="D49" s="14">
        <v>0</v>
      </c>
      <c r="E49" s="14">
        <v>0</v>
      </c>
      <c r="F49" s="14">
        <v>396.5</v>
      </c>
      <c r="G49" s="14">
        <v>28.54</v>
      </c>
      <c r="H49" s="13">
        <f>D49+F49+'08-04-2022'!H49</f>
        <v>1573</v>
      </c>
      <c r="I49" s="13">
        <f>E49+G49+'08-04-2022'!I49</f>
        <v>113.24000000000001</v>
      </c>
      <c r="J49" s="13">
        <f t="shared" si="10"/>
        <v>1686.24</v>
      </c>
      <c r="K49" s="13">
        <f t="shared" si="11"/>
        <v>0</v>
      </c>
      <c r="L49" s="13">
        <f t="shared" si="12"/>
        <v>-9274.32</v>
      </c>
      <c r="M49" s="74"/>
    </row>
    <row r="50" spans="1:13" s="23" customFormat="1" ht="11.25" customHeight="1" x14ac:dyDescent="0.25">
      <c r="A50" s="27" t="s">
        <v>13</v>
      </c>
      <c r="B50" s="26" t="s">
        <v>12</v>
      </c>
      <c r="C50" s="13">
        <v>3800</v>
      </c>
      <c r="D50" s="14">
        <v>138</v>
      </c>
      <c r="E50" s="14">
        <v>1.79</v>
      </c>
      <c r="F50" s="14">
        <v>0</v>
      </c>
      <c r="G50" s="14">
        <v>0</v>
      </c>
      <c r="H50" s="13">
        <f>D50+F50+'08-04-2022'!H50</f>
        <v>138</v>
      </c>
      <c r="I50" s="13">
        <f>E50+G50+'08-04-2022'!I50</f>
        <v>1.79</v>
      </c>
      <c r="J50" s="13">
        <f t="shared" si="10"/>
        <v>139.79</v>
      </c>
      <c r="K50" s="13">
        <f t="shared" si="11"/>
        <v>3660.21</v>
      </c>
      <c r="L50" s="13">
        <f t="shared" si="12"/>
        <v>2891.3649999999998</v>
      </c>
      <c r="M50" s="28"/>
    </row>
    <row r="51" spans="1:13" s="23" customFormat="1" ht="11.25" customHeight="1" x14ac:dyDescent="0.2">
      <c r="A51" s="27" t="s">
        <v>11</v>
      </c>
      <c r="B51" s="26" t="s">
        <v>10</v>
      </c>
      <c r="C51" s="13">
        <v>6800</v>
      </c>
      <c r="D51" s="14">
        <v>560</v>
      </c>
      <c r="E51" s="14">
        <v>7.28</v>
      </c>
      <c r="F51" s="14">
        <v>0</v>
      </c>
      <c r="G51" s="14">
        <v>0</v>
      </c>
      <c r="H51" s="13">
        <f>D51+F51+'08-04-2022'!H51</f>
        <v>2480</v>
      </c>
      <c r="I51" s="13">
        <f>E51+G51+'08-04-2022'!I51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-9529.5599999999977</v>
      </c>
      <c r="M51" s="24"/>
    </row>
    <row r="52" spans="1:13" s="23" customFormat="1" ht="11.25" customHeight="1" x14ac:dyDescent="0.2">
      <c r="A52" s="27" t="s">
        <v>9</v>
      </c>
      <c r="B52" s="26" t="s">
        <v>8</v>
      </c>
      <c r="C52" s="13">
        <v>1900</v>
      </c>
      <c r="D52" s="14">
        <v>0</v>
      </c>
      <c r="E52" s="14">
        <v>0</v>
      </c>
      <c r="F52" s="14">
        <v>355.2</v>
      </c>
      <c r="G52" s="14">
        <v>25.57</v>
      </c>
      <c r="H52" s="13">
        <f>D52+F52+'08-04-2022'!H52</f>
        <v>828.8</v>
      </c>
      <c r="I52" s="13">
        <f>E52+G52+'08-04-2022'!I52</f>
        <v>59.65</v>
      </c>
      <c r="J52" s="13">
        <f t="shared" si="10"/>
        <v>888.44999999999993</v>
      </c>
      <c r="K52" s="13">
        <f t="shared" si="11"/>
        <v>1011.5500000000001</v>
      </c>
      <c r="L52" s="13">
        <f t="shared" si="12"/>
        <v>-3874.9249999999993</v>
      </c>
      <c r="M52" s="24"/>
    </row>
    <row r="53" spans="1:13" s="23" customFormat="1" ht="11.25" customHeight="1" x14ac:dyDescent="0.2">
      <c r="A53" s="27" t="s">
        <v>7</v>
      </c>
      <c r="B53" s="2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D53+F53+'08-04-2022'!H53</f>
        <v>0</v>
      </c>
      <c r="I53" s="13">
        <f>E53+G53+'08-04-2022'!I53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ht="21.6" customHeight="1" x14ac:dyDescent="0.25">
      <c r="A54" s="94" t="s">
        <v>5</v>
      </c>
      <c r="B54" s="95"/>
      <c r="C54" s="10">
        <f t="shared" ref="C54:L54" si="13">SUM(C36:C53)</f>
        <v>42476.6</v>
      </c>
      <c r="D54" s="10">
        <f t="shared" si="13"/>
        <v>2073.4899999999998</v>
      </c>
      <c r="E54" s="10">
        <f t="shared" si="13"/>
        <v>26.939999999999998</v>
      </c>
      <c r="F54" s="10">
        <f t="shared" si="13"/>
        <v>751.7</v>
      </c>
      <c r="G54" s="10">
        <f t="shared" si="13"/>
        <v>54.11</v>
      </c>
      <c r="H54" s="10">
        <f t="shared" si="13"/>
        <v>10811.95</v>
      </c>
      <c r="I54" s="10">
        <f t="shared" si="13"/>
        <v>282.14999999999998</v>
      </c>
      <c r="J54" s="10">
        <f t="shared" si="13"/>
        <v>11094.1</v>
      </c>
      <c r="K54" s="10">
        <f t="shared" si="13"/>
        <v>31382.499999999996</v>
      </c>
      <c r="L54" s="10">
        <f t="shared" si="13"/>
        <v>-29635.05</v>
      </c>
      <c r="M54" s="22"/>
    </row>
    <row r="55" spans="1:13" ht="10.9" customHeight="1" x14ac:dyDescent="0.25">
      <c r="A55" s="19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22"/>
    </row>
    <row r="56" spans="1:13" ht="10.9" customHeight="1" x14ac:dyDescent="0.25">
      <c r="A56" s="19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</row>
    <row r="57" spans="1:13" s="11" customFormat="1" ht="10.9" customHeight="1" x14ac:dyDescent="0.25">
      <c r="A57" s="16" t="s">
        <v>4</v>
      </c>
      <c r="B57" s="15" t="s">
        <v>3</v>
      </c>
      <c r="C57" s="13">
        <v>62583</v>
      </c>
      <c r="D57" s="13">
        <v>993.76</v>
      </c>
      <c r="E57" s="13">
        <v>12.91</v>
      </c>
      <c r="F57" s="13">
        <v>0</v>
      </c>
      <c r="G57" s="13">
        <v>0</v>
      </c>
      <c r="H57" s="13">
        <f>D57+F57+'08-04-2022'!H57</f>
        <v>3460.6499999999996</v>
      </c>
      <c r="I57" s="13">
        <f>E57+G57+'08-04-2022'!I57</f>
        <v>44.95</v>
      </c>
      <c r="J57" s="13">
        <f>H57+I57</f>
        <v>3505.5999999999995</v>
      </c>
      <c r="K57" s="13">
        <f>C57-J57</f>
        <v>59077.4</v>
      </c>
      <c r="L57" s="13">
        <f t="shared" ref="L57:L58" si="14">C57-((J57/4)*26)</f>
        <v>39796.600000000006</v>
      </c>
      <c r="M57" s="12"/>
    </row>
    <row r="58" spans="1:13" s="11" customFormat="1" ht="10.9" customHeight="1" x14ac:dyDescent="0.25">
      <c r="A58" s="16" t="s">
        <v>76</v>
      </c>
      <c r="B58" s="15" t="s">
        <v>77</v>
      </c>
      <c r="C58" s="13">
        <v>1000</v>
      </c>
      <c r="D58" s="14">
        <v>0</v>
      </c>
      <c r="E58" s="14">
        <v>0</v>
      </c>
      <c r="F58" s="14">
        <v>0</v>
      </c>
      <c r="G58" s="14">
        <v>0</v>
      </c>
      <c r="H58" s="13">
        <f>D58+F58+'08-04-2022'!H58</f>
        <v>0</v>
      </c>
      <c r="I58" s="13">
        <f>E58+G58+'08-04-2022'!I58</f>
        <v>0</v>
      </c>
      <c r="J58" s="13">
        <f>H58+I58</f>
        <v>0</v>
      </c>
      <c r="K58" s="13">
        <f>C58-J58</f>
        <v>1000</v>
      </c>
      <c r="L58" s="13">
        <f t="shared" si="14"/>
        <v>1000</v>
      </c>
      <c r="M58" s="12"/>
    </row>
    <row r="59" spans="1:13" ht="21.6" customHeight="1" x14ac:dyDescent="0.25">
      <c r="A59" s="94" t="s">
        <v>2</v>
      </c>
      <c r="B59" s="95"/>
      <c r="C59" s="20">
        <f>SUM(C57:C58)</f>
        <v>63583</v>
      </c>
      <c r="D59" s="20">
        <f t="shared" ref="D59:L59" si="15">SUM(D57:D58)</f>
        <v>993.76</v>
      </c>
      <c r="E59" s="20">
        <f t="shared" si="15"/>
        <v>12.91</v>
      </c>
      <c r="F59" s="20">
        <f t="shared" si="15"/>
        <v>0</v>
      </c>
      <c r="G59" s="20">
        <f t="shared" si="15"/>
        <v>0</v>
      </c>
      <c r="H59" s="20">
        <f t="shared" si="15"/>
        <v>3460.6499999999996</v>
      </c>
      <c r="I59" s="20">
        <f t="shared" si="15"/>
        <v>44.95</v>
      </c>
      <c r="J59" s="20">
        <f t="shared" si="15"/>
        <v>3505.5999999999995</v>
      </c>
      <c r="K59" s="20">
        <f t="shared" si="15"/>
        <v>60077.4</v>
      </c>
      <c r="L59" s="20">
        <f t="shared" si="15"/>
        <v>40796.600000000006</v>
      </c>
    </row>
    <row r="60" spans="1:13" ht="10.9" customHeight="1" x14ac:dyDescent="0.25">
      <c r="A60" s="19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3" ht="10.9" customHeight="1" x14ac:dyDescent="0.25">
      <c r="A61" s="19"/>
      <c r="B61" s="18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3" s="11" customFormat="1" ht="10.9" customHeight="1" x14ac:dyDescent="0.25">
      <c r="A62" s="16" t="s">
        <v>1</v>
      </c>
      <c r="B62" s="15">
        <v>55180000</v>
      </c>
      <c r="C62" s="77">
        <v>0</v>
      </c>
      <c r="D62" s="14"/>
      <c r="E62" s="14"/>
      <c r="F62" s="14"/>
      <c r="G62" s="14"/>
      <c r="H62" s="13">
        <f>D62+F62+'08-04-2022'!H62</f>
        <v>0</v>
      </c>
      <c r="I62" s="13">
        <f>E62+G62+'08-04-2022'!I62</f>
        <v>0</v>
      </c>
      <c r="J62" s="13">
        <f>H62+I62</f>
        <v>0</v>
      </c>
      <c r="K62" s="13">
        <f>C62-J62</f>
        <v>0</v>
      </c>
      <c r="L62" s="13">
        <f>C62-((J62/4)*26)</f>
        <v>0</v>
      </c>
      <c r="M62" s="12"/>
    </row>
    <row r="63" spans="1:13" s="5" customFormat="1" ht="21.6" customHeight="1" x14ac:dyDescent="0.25">
      <c r="A63" s="94" t="s">
        <v>0</v>
      </c>
      <c r="B63" s="95"/>
      <c r="C63" s="10">
        <f t="shared" ref="C63:L63" si="16">SUM(C62)</f>
        <v>0</v>
      </c>
      <c r="D63" s="10">
        <f t="shared" si="16"/>
        <v>0</v>
      </c>
      <c r="E63" s="10">
        <f t="shared" si="16"/>
        <v>0</v>
      </c>
      <c r="F63" s="10">
        <f t="shared" si="16"/>
        <v>0</v>
      </c>
      <c r="G63" s="10">
        <f t="shared" si="16"/>
        <v>0</v>
      </c>
      <c r="H63" s="10">
        <f t="shared" si="16"/>
        <v>0</v>
      </c>
      <c r="I63" s="10">
        <f t="shared" si="16"/>
        <v>0</v>
      </c>
      <c r="J63" s="10">
        <f t="shared" si="16"/>
        <v>0</v>
      </c>
      <c r="K63" s="10">
        <f t="shared" si="16"/>
        <v>0</v>
      </c>
      <c r="L63" s="10">
        <f t="shared" si="16"/>
        <v>0</v>
      </c>
      <c r="M63" s="6"/>
    </row>
    <row r="64" spans="1:13" s="5" customFormat="1" ht="11.25" customHeight="1" x14ac:dyDescent="0.25">
      <c r="A64" s="9"/>
      <c r="B64" s="8"/>
      <c r="C64" s="7"/>
      <c r="D64" s="7"/>
      <c r="E64" s="7"/>
      <c r="F64" s="7"/>
      <c r="G64" s="7"/>
      <c r="H64" s="7"/>
      <c r="I64" s="7"/>
      <c r="J64" s="7"/>
      <c r="K64" s="7"/>
      <c r="L64" s="7"/>
      <c r="M64" s="6"/>
    </row>
    <row r="65" spans="1:18" ht="10.5" customHeight="1" x14ac:dyDescent="0.25">
      <c r="A65" s="101" t="s">
        <v>80</v>
      </c>
      <c r="B65" s="101"/>
      <c r="C65" s="101"/>
      <c r="D65" s="101"/>
      <c r="E65" s="101"/>
      <c r="F65" s="101"/>
      <c r="G65" s="79">
        <v>700</v>
      </c>
      <c r="M65" s="102"/>
      <c r="N65" s="102"/>
      <c r="O65" s="102"/>
      <c r="P65" s="102"/>
      <c r="Q65" s="102"/>
      <c r="R65" s="102"/>
    </row>
    <row r="66" spans="1:18" ht="10.5" customHeight="1" x14ac:dyDescent="0.25">
      <c r="A66" s="101" t="s">
        <v>78</v>
      </c>
      <c r="B66" s="101"/>
      <c r="C66" s="101"/>
      <c r="D66" s="101"/>
      <c r="E66" s="101"/>
      <c r="F66" s="101"/>
      <c r="G66" s="79">
        <v>15000</v>
      </c>
      <c r="M66" s="102"/>
      <c r="N66" s="102"/>
      <c r="O66" s="102"/>
      <c r="P66" s="102"/>
      <c r="Q66" s="102"/>
      <c r="R66" s="102"/>
    </row>
    <row r="67" spans="1:18" ht="10.5" customHeight="1" x14ac:dyDescent="0.25">
      <c r="A67" s="101" t="s">
        <v>79</v>
      </c>
      <c r="B67" s="101"/>
      <c r="C67" s="101"/>
      <c r="D67" s="101"/>
      <c r="E67" s="101"/>
      <c r="F67" s="101"/>
      <c r="G67" s="79">
        <v>3800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81</v>
      </c>
      <c r="B68" s="101"/>
      <c r="C68" s="101"/>
      <c r="D68" s="101"/>
      <c r="E68" s="101"/>
      <c r="F68" s="101"/>
      <c r="G68" s="79">
        <v>5000</v>
      </c>
      <c r="M68" s="102"/>
      <c r="N68" s="102"/>
      <c r="O68" s="102"/>
      <c r="P68" s="102"/>
      <c r="Q68" s="102"/>
      <c r="R68" s="102"/>
    </row>
    <row r="125" spans="13:13" x14ac:dyDescent="0.25">
      <c r="M125" s="2">
        <f>SUM(M34:M123)</f>
        <v>0</v>
      </c>
    </row>
  </sheetData>
  <mergeCells count="16">
    <mergeCell ref="A68:F68"/>
    <mergeCell ref="M68:R68"/>
    <mergeCell ref="A54:B54"/>
    <mergeCell ref="A67:F67"/>
    <mergeCell ref="M67:R67"/>
    <mergeCell ref="A59:B59"/>
    <mergeCell ref="A63:B63"/>
    <mergeCell ref="A65:F65"/>
    <mergeCell ref="M65:R65"/>
    <mergeCell ref="A66:F66"/>
    <mergeCell ref="M66:R66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756F-BDA0-411E-81E8-7A91672DFD59}">
  <sheetPr>
    <pageSetUpPr fitToPage="1"/>
  </sheetPr>
  <dimension ref="A1:R127"/>
  <sheetViews>
    <sheetView zoomScale="145" zoomScaleNormal="145" workbookViewId="0">
      <pane ySplit="2" topLeftCell="A39" activePane="bottomLeft" state="frozen"/>
      <selection pane="bottomLeft" activeCell="K49" sqref="K49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44805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260</v>
      </c>
      <c r="G3" s="14">
        <v>18.71</v>
      </c>
      <c r="H3" s="13">
        <f>D3+F3+'08-18-2022'!H3</f>
        <v>260</v>
      </c>
      <c r="I3" s="13">
        <f>E3+G3+'08-18-2022'!I3</f>
        <v>18.71</v>
      </c>
      <c r="J3" s="13">
        <f>H3+I3</f>
        <v>278.70999999999998</v>
      </c>
      <c r="K3" s="13">
        <f>C3-J3</f>
        <v>10521.29</v>
      </c>
      <c r="L3" s="13">
        <f>C3-((J3/5)*26)</f>
        <v>9350.7080000000005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>D4+F4+'08-18-2022'!H4</f>
        <v>0</v>
      </c>
      <c r="I4" s="13">
        <f>E4+G4+'08-18-2022'!I4</f>
        <v>0</v>
      </c>
      <c r="J4" s="13">
        <f>H4+I4</f>
        <v>0</v>
      </c>
      <c r="K4" s="13">
        <f>C4-J4</f>
        <v>9600</v>
      </c>
      <c r="L4" s="13">
        <f>C4-((J4/5)*26)</f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260</v>
      </c>
      <c r="G5" s="55">
        <f t="shared" si="0"/>
        <v>18.71</v>
      </c>
      <c r="H5" s="55">
        <f t="shared" si="0"/>
        <v>260</v>
      </c>
      <c r="I5" s="55">
        <f t="shared" si="0"/>
        <v>18.71</v>
      </c>
      <c r="J5" s="55">
        <f t="shared" si="0"/>
        <v>278.70999999999998</v>
      </c>
      <c r="K5" s="55">
        <f t="shared" si="0"/>
        <v>20121.29</v>
      </c>
      <c r="L5" s="55">
        <f t="shared" si="0"/>
        <v>18950.707999999999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D8+F8+'08-18-2022'!H8</f>
        <v>0</v>
      </c>
      <c r="I8" s="13">
        <f>E8+G8+'08-18-2022'!I8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C8-((J8/5)*26)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461.35</v>
      </c>
      <c r="E9" s="21">
        <v>5.99</v>
      </c>
      <c r="F9" s="21">
        <v>0</v>
      </c>
      <c r="G9" s="21">
        <v>0</v>
      </c>
      <c r="H9" s="13">
        <f>D9+F9+'08-18-2022'!H9</f>
        <v>3453.8799999999997</v>
      </c>
      <c r="I9" s="13">
        <f>E9+G9+'08-18-2022'!I9</f>
        <v>86.58</v>
      </c>
      <c r="J9" s="13">
        <f t="shared" si="1"/>
        <v>3540.4599999999996</v>
      </c>
      <c r="K9" s="13">
        <f t="shared" si="2"/>
        <v>21108.54</v>
      </c>
      <c r="L9" s="13">
        <f t="shared" si="3"/>
        <v>6238.6080000000038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670.05</v>
      </c>
      <c r="E10" s="21">
        <v>8.6999999999999993</v>
      </c>
      <c r="F10" s="21">
        <v>780.5</v>
      </c>
      <c r="G10" s="21">
        <v>56.18</v>
      </c>
      <c r="H10" s="13">
        <f>D10+F10+'08-18-2022'!H10</f>
        <v>6175.8600000000006</v>
      </c>
      <c r="I10" s="13">
        <f>E10+G10+'08-18-2022'!I10</f>
        <v>290.63</v>
      </c>
      <c r="J10" s="13">
        <f t="shared" si="1"/>
        <v>6466.4900000000007</v>
      </c>
      <c r="K10" s="13">
        <f t="shared" si="2"/>
        <v>11507.509999999998</v>
      </c>
      <c r="L10" s="13">
        <f t="shared" si="3"/>
        <v>-15651.748000000007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342.16</v>
      </c>
      <c r="E11" s="21">
        <v>4.4400000000000004</v>
      </c>
      <c r="F11" s="21">
        <v>0</v>
      </c>
      <c r="G11" s="21">
        <v>0</v>
      </c>
      <c r="H11" s="13">
        <f>D11+F11+'08-18-2022'!H11</f>
        <v>1169.04</v>
      </c>
      <c r="I11" s="13">
        <f>E11+G11+'08-18-2022'!I11</f>
        <v>15.18</v>
      </c>
      <c r="J11" s="13">
        <f t="shared" si="1"/>
        <v>1184.22</v>
      </c>
      <c r="K11" s="13">
        <f t="shared" si="2"/>
        <v>16789.78</v>
      </c>
      <c r="L11" s="13">
        <f t="shared" si="3"/>
        <v>11816.056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1187.27</v>
      </c>
      <c r="E12" s="21">
        <v>15.42</v>
      </c>
      <c r="F12" s="21">
        <v>0</v>
      </c>
      <c r="G12" s="21">
        <v>0</v>
      </c>
      <c r="H12" s="13">
        <f>D12+F12+'08-18-2022'!H12</f>
        <v>6598.8899999999994</v>
      </c>
      <c r="I12" s="13">
        <f>E12+G12+'08-18-2022'!I12</f>
        <v>85.73</v>
      </c>
      <c r="J12" s="13">
        <f t="shared" si="1"/>
        <v>6684.619999999999</v>
      </c>
      <c r="K12" s="13">
        <f t="shared" si="2"/>
        <v>17645.38</v>
      </c>
      <c r="L12" s="13">
        <f t="shared" si="3"/>
        <v>-10430.02399999999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1154.68</v>
      </c>
      <c r="E13" s="13">
        <v>15</v>
      </c>
      <c r="F13" s="13">
        <v>0</v>
      </c>
      <c r="G13" s="13">
        <v>0</v>
      </c>
      <c r="H13" s="13">
        <f>D13+F13+'08-18-2022'!H13</f>
        <v>4792.2300000000005</v>
      </c>
      <c r="I13" s="13">
        <f>E13+G13+'08-18-2022'!I13</f>
        <v>62.260000000000005</v>
      </c>
      <c r="J13" s="13">
        <f t="shared" si="1"/>
        <v>4854.4900000000007</v>
      </c>
      <c r="K13" s="13">
        <f t="shared" si="2"/>
        <v>29145.51</v>
      </c>
      <c r="L13" s="13">
        <f t="shared" si="3"/>
        <v>8756.6519999999946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1097.76</v>
      </c>
      <c r="E14" s="13">
        <v>14.26</v>
      </c>
      <c r="F14" s="13">
        <v>0</v>
      </c>
      <c r="G14" s="13">
        <v>0</v>
      </c>
      <c r="H14" s="13">
        <f>D14+F14+'08-18-2022'!H14</f>
        <v>8803.1299999999992</v>
      </c>
      <c r="I14" s="13">
        <f>E14+G14+'08-18-2022'!I14</f>
        <v>133.66</v>
      </c>
      <c r="J14" s="13">
        <f t="shared" si="1"/>
        <v>8936.7899999999991</v>
      </c>
      <c r="K14" s="13">
        <f t="shared" si="2"/>
        <v>33804.21</v>
      </c>
      <c r="L14" s="13">
        <f t="shared" si="3"/>
        <v>-3730.30799999999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471.66</v>
      </c>
      <c r="E15" s="21">
        <v>6.12</v>
      </c>
      <c r="F15" s="21">
        <v>0</v>
      </c>
      <c r="G15" s="21">
        <v>0</v>
      </c>
      <c r="H15" s="13">
        <f>D15+F15+'08-18-2022'!H15</f>
        <v>2113.29</v>
      </c>
      <c r="I15" s="13">
        <f>E15+G15+'08-18-2022'!I15</f>
        <v>27.44</v>
      </c>
      <c r="J15" s="13">
        <f t="shared" si="1"/>
        <v>2140.73</v>
      </c>
      <c r="K15" s="13">
        <f t="shared" si="2"/>
        <v>22032.27</v>
      </c>
      <c r="L15" s="13">
        <f t="shared" si="3"/>
        <v>13041.204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86</v>
      </c>
      <c r="E16" s="21">
        <v>1.1000000000000001</v>
      </c>
      <c r="F16" s="21">
        <v>0</v>
      </c>
      <c r="G16" s="21">
        <v>0</v>
      </c>
      <c r="H16" s="13">
        <f>D16+F16+'08-18-2022'!H16</f>
        <v>813.21</v>
      </c>
      <c r="I16" s="13">
        <f>E16+G16+'08-18-2022'!I16</f>
        <v>10.53</v>
      </c>
      <c r="J16" s="13">
        <f t="shared" si="1"/>
        <v>823.74</v>
      </c>
      <c r="K16" s="13">
        <f t="shared" si="2"/>
        <v>5176.26</v>
      </c>
      <c r="L16" s="13">
        <f t="shared" si="3"/>
        <v>1716.5520000000006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5470.93</v>
      </c>
      <c r="E17" s="55">
        <f t="shared" si="4"/>
        <v>71.029999999999987</v>
      </c>
      <c r="F17" s="55">
        <f t="shared" si="4"/>
        <v>780.5</v>
      </c>
      <c r="G17" s="55">
        <f t="shared" si="4"/>
        <v>56.18</v>
      </c>
      <c r="H17" s="55">
        <f t="shared" si="4"/>
        <v>33919.53</v>
      </c>
      <c r="I17" s="55">
        <f t="shared" si="4"/>
        <v>712.01</v>
      </c>
      <c r="J17" s="55">
        <f t="shared" si="4"/>
        <v>34631.54</v>
      </c>
      <c r="K17" s="55">
        <f t="shared" si="4"/>
        <v>160126.46</v>
      </c>
      <c r="L17" s="55">
        <f t="shared" si="4"/>
        <v>14673.992000000013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D20+F20+'08-18-2022'!H20</f>
        <v>0</v>
      </c>
      <c r="I20" s="13">
        <f>E20+G20+'08-18-2022'!I20</f>
        <v>0</v>
      </c>
      <c r="J20" s="13">
        <f>H20+I20</f>
        <v>0</v>
      </c>
      <c r="K20" s="13">
        <f>C20-J20</f>
        <v>2109</v>
      </c>
      <c r="L20" s="13">
        <f t="shared" ref="L20:L22" si="5">C20-((J20/5)*26)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668.82</v>
      </c>
      <c r="E21" s="14">
        <v>8.68</v>
      </c>
      <c r="F21" s="14">
        <v>0</v>
      </c>
      <c r="G21" s="14">
        <v>0</v>
      </c>
      <c r="H21" s="13">
        <f>D21+F21+'08-18-2022'!H21</f>
        <v>2978.22</v>
      </c>
      <c r="I21" s="13">
        <f>E21+G21+'08-18-2022'!I21</f>
        <v>38.68</v>
      </c>
      <c r="J21" s="13">
        <f>H21+I21</f>
        <v>3016.8999999999996</v>
      </c>
      <c r="K21" s="13">
        <f>C21-J21</f>
        <v>21983.1</v>
      </c>
      <c r="L21" s="13">
        <f t="shared" si="5"/>
        <v>9312.1200000000026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D22+F22+'08-18-2022'!H22</f>
        <v>0</v>
      </c>
      <c r="I22" s="13">
        <f>E22+G22+'08-18-2022'!I22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668.82</v>
      </c>
      <c r="E23" s="10">
        <f t="shared" si="6"/>
        <v>8.68</v>
      </c>
      <c r="F23" s="10">
        <f t="shared" si="6"/>
        <v>0</v>
      </c>
      <c r="G23" s="10">
        <f t="shared" si="6"/>
        <v>0</v>
      </c>
      <c r="H23" s="10">
        <f t="shared" si="6"/>
        <v>2978.22</v>
      </c>
      <c r="I23" s="10">
        <f t="shared" si="6"/>
        <v>38.68</v>
      </c>
      <c r="J23" s="10">
        <f t="shared" si="6"/>
        <v>3016.8999999999996</v>
      </c>
      <c r="K23" s="10">
        <f t="shared" si="6"/>
        <v>36092.1</v>
      </c>
      <c r="L23" s="10">
        <f t="shared" si="6"/>
        <v>23421.120000000003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228.13</v>
      </c>
      <c r="E26" s="14">
        <v>2.96</v>
      </c>
      <c r="F26" s="14">
        <v>0</v>
      </c>
      <c r="G26" s="14">
        <v>0</v>
      </c>
      <c r="H26" s="13">
        <f>D26+F26+'08-18-2022'!H26</f>
        <v>2181.27</v>
      </c>
      <c r="I26" s="13">
        <f>E26+G26+'08-18-2022'!I26</f>
        <v>79.029999999999987</v>
      </c>
      <c r="J26" s="13">
        <f>H26+I26</f>
        <v>2260.3000000000002</v>
      </c>
      <c r="K26" s="13">
        <f>C26-J26</f>
        <v>12739.7</v>
      </c>
      <c r="L26" s="13">
        <f t="shared" ref="L26:L29" si="7">C26-((J26/5)*26)</f>
        <v>3246.4399999999987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D27+F27+'08-18-2022'!H27</f>
        <v>0</v>
      </c>
      <c r="I27" s="13">
        <f>E27+G27+'08-18-2022'!I27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600</v>
      </c>
      <c r="E28" s="21">
        <v>7.79</v>
      </c>
      <c r="F28" s="21">
        <v>0</v>
      </c>
      <c r="G28" s="21">
        <v>0</v>
      </c>
      <c r="H28" s="13">
        <f>D28+F28+'08-18-2022'!H28</f>
        <v>10792.25</v>
      </c>
      <c r="I28" s="13">
        <f>E28+G28+'08-18-2022'!I28</f>
        <v>191.34999999999997</v>
      </c>
      <c r="J28" s="13">
        <f>H28+I28</f>
        <v>10983.6</v>
      </c>
      <c r="K28" s="13">
        <f>C28-J28</f>
        <v>14016.4</v>
      </c>
      <c r="L28" s="13">
        <f t="shared" si="7"/>
        <v>-32114.720000000008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D29+F29+'08-18-2022'!H29</f>
        <v>0</v>
      </c>
      <c r="I29" s="13">
        <f>E29+G29+'08-18-2022'!I29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828.13</v>
      </c>
      <c r="E30" s="48">
        <f t="shared" si="8"/>
        <v>10.75</v>
      </c>
      <c r="F30" s="48">
        <f t="shared" si="8"/>
        <v>0</v>
      </c>
      <c r="G30" s="48">
        <f t="shared" si="8"/>
        <v>0</v>
      </c>
      <c r="H30" s="48">
        <f t="shared" si="8"/>
        <v>12973.52</v>
      </c>
      <c r="I30" s="48">
        <f t="shared" si="8"/>
        <v>270.37999999999994</v>
      </c>
      <c r="J30" s="48">
        <f t="shared" si="8"/>
        <v>13243.900000000001</v>
      </c>
      <c r="K30" s="48">
        <f t="shared" si="8"/>
        <v>38206.1</v>
      </c>
      <c r="L30" s="48">
        <f t="shared" si="8"/>
        <v>-17418.28000000001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6967.88</v>
      </c>
      <c r="E33" s="41">
        <f t="shared" si="9"/>
        <v>90.45999999999998</v>
      </c>
      <c r="F33" s="41">
        <f t="shared" si="9"/>
        <v>1040.5</v>
      </c>
      <c r="G33" s="41">
        <f t="shared" si="9"/>
        <v>74.89</v>
      </c>
      <c r="H33" s="41">
        <f t="shared" si="9"/>
        <v>50131.270000000004</v>
      </c>
      <c r="I33" s="41">
        <f t="shared" si="9"/>
        <v>1039.78</v>
      </c>
      <c r="J33" s="41">
        <f t="shared" si="9"/>
        <v>51171.05</v>
      </c>
      <c r="K33" s="41">
        <f t="shared" si="9"/>
        <v>254545.95</v>
      </c>
      <c r="L33" s="41">
        <f t="shared" si="9"/>
        <v>39627.540000000008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D36+F36+'08-18-2022'!H36</f>
        <v>0</v>
      </c>
      <c r="I36" s="13">
        <f>E36+G36+'08-18-2022'!I36</f>
        <v>0</v>
      </c>
      <c r="J36" s="13">
        <f t="shared" ref="J36:J53" si="10">H36+I36</f>
        <v>0</v>
      </c>
      <c r="K36" s="13">
        <f t="shared" ref="K36:K53" si="11">C36-J36</f>
        <v>0</v>
      </c>
      <c r="L36" s="13">
        <f t="shared" ref="L36:L53" si="12">C36-((J36/5)*26)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D37+F37+'08-18-2022'!H37</f>
        <v>0</v>
      </c>
      <c r="I37" s="13">
        <f>E37+G37+'08-18-2022'!I37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D38+F38+'08-18-2022'!H38</f>
        <v>0</v>
      </c>
      <c r="I38" s="13">
        <f>E38+G38+'08-18-2022'!I38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2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D39+F39+'08-18-2022'!H39</f>
        <v>0</v>
      </c>
      <c r="I39" s="13">
        <f>E39+G39+'08-18-2022'!I39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2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D40+F40+'08-18-2022'!H40</f>
        <v>0</v>
      </c>
      <c r="I40" s="13">
        <f>E40+G40+'08-18-2022'!I40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26" t="s">
        <v>28</v>
      </c>
      <c r="C41" s="13">
        <f>2500+5000</f>
        <v>7500</v>
      </c>
      <c r="D41" s="14">
        <v>0</v>
      </c>
      <c r="E41" s="14">
        <v>0</v>
      </c>
      <c r="F41" s="14">
        <v>0</v>
      </c>
      <c r="G41" s="14">
        <v>0</v>
      </c>
      <c r="H41" s="13">
        <f>D41+F41+'08-18-2022'!H41</f>
        <v>1693.12</v>
      </c>
      <c r="I41" s="13">
        <f>E41+G41+'08-18-2022'!I41</f>
        <v>21.98</v>
      </c>
      <c r="J41" s="13">
        <f t="shared" si="10"/>
        <v>1715.1</v>
      </c>
      <c r="K41" s="13">
        <f t="shared" si="11"/>
        <v>5784.9</v>
      </c>
      <c r="L41" s="13">
        <f t="shared" si="12"/>
        <v>-1418.5200000000004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D42+F42+'08-18-2022'!H42</f>
        <v>0</v>
      </c>
      <c r="I42" s="13">
        <f>E42+G42+'08-18-2022'!I42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D43+F43+'08-18-2022'!H43</f>
        <v>0</v>
      </c>
      <c r="I43" s="13">
        <f>E43+G43+'08-18-2022'!I43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2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D44+F44+'08-18-2022'!H44</f>
        <v>0</v>
      </c>
      <c r="I44" s="13">
        <f>E44+G44+'08-18-2022'!I44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2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D45+F45+'08-18-2022'!H45</f>
        <v>0</v>
      </c>
      <c r="I45" s="13">
        <f>E45+G45+'08-18-2022'!I45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26" t="s">
        <v>19</v>
      </c>
      <c r="C46" s="13">
        <v>6021.08</v>
      </c>
      <c r="D46" s="14">
        <v>0</v>
      </c>
      <c r="E46" s="14">
        <v>0</v>
      </c>
      <c r="F46" s="14">
        <v>0</v>
      </c>
      <c r="G46" s="14">
        <v>0</v>
      </c>
      <c r="H46" s="13">
        <f>D46+F46+'08-18-2022'!H46</f>
        <v>789.26</v>
      </c>
      <c r="I46" s="13">
        <f>E46+G46+'08-18-2022'!I46</f>
        <v>10.24</v>
      </c>
      <c r="J46" s="13">
        <f t="shared" si="10"/>
        <v>799.5</v>
      </c>
      <c r="K46" s="13">
        <f t="shared" si="11"/>
        <v>5221.58</v>
      </c>
      <c r="L46" s="13">
        <f t="shared" si="12"/>
        <v>1863.6799999999994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D47+F47+'08-18-2022'!H47</f>
        <v>2224.5700000000002</v>
      </c>
      <c r="I47" s="13">
        <f>E47+G47+'08-18-2022'!I47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-1718.0960000000014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D48+F48+'08-18-2022'!H48</f>
        <v>1085.2</v>
      </c>
      <c r="I48" s="13">
        <f>E48+G48+'08-18-2022'!I48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-4021.9299999999994</v>
      </c>
      <c r="M48" s="24"/>
    </row>
    <row r="49" spans="1:13" s="23" customFormat="1" ht="11.25" customHeight="1" x14ac:dyDescent="0.25">
      <c r="A49" s="27" t="s">
        <v>15</v>
      </c>
      <c r="B49" s="26" t="s">
        <v>14</v>
      </c>
      <c r="C49" s="13">
        <v>1686.24</v>
      </c>
      <c r="D49" s="14">
        <v>0</v>
      </c>
      <c r="E49" s="14">
        <v>0</v>
      </c>
      <c r="F49" s="14">
        <v>234</v>
      </c>
      <c r="G49" s="14">
        <v>16.84</v>
      </c>
      <c r="H49" s="13">
        <f>D49+F49+'08-18-2022'!H49</f>
        <v>1807</v>
      </c>
      <c r="I49" s="13">
        <f>E49+G49+'08-18-2022'!I49</f>
        <v>130.08000000000001</v>
      </c>
      <c r="J49" s="13">
        <f t="shared" si="10"/>
        <v>1937.08</v>
      </c>
      <c r="K49" s="87">
        <f t="shared" si="11"/>
        <v>-250.83999999999992</v>
      </c>
      <c r="L49" s="13">
        <f t="shared" si="12"/>
        <v>-8386.5760000000009</v>
      </c>
      <c r="M49" s="74"/>
    </row>
    <row r="50" spans="1:13" s="23" customFormat="1" ht="11.25" customHeight="1" x14ac:dyDescent="0.25">
      <c r="A50" s="27" t="s">
        <v>13</v>
      </c>
      <c r="B50" s="26" t="s">
        <v>12</v>
      </c>
      <c r="C50" s="13">
        <v>3800</v>
      </c>
      <c r="D50" s="14">
        <v>408</v>
      </c>
      <c r="E50" s="14">
        <v>5.29</v>
      </c>
      <c r="F50" s="14">
        <v>0</v>
      </c>
      <c r="G50" s="14">
        <v>0</v>
      </c>
      <c r="H50" s="13">
        <f>D50+F50+'08-18-2022'!H50</f>
        <v>546</v>
      </c>
      <c r="I50" s="13">
        <f>E50+G50+'08-18-2022'!I50</f>
        <v>7.08</v>
      </c>
      <c r="J50" s="13">
        <f t="shared" si="10"/>
        <v>553.08000000000004</v>
      </c>
      <c r="K50" s="13">
        <f t="shared" si="11"/>
        <v>3246.92</v>
      </c>
      <c r="L50" s="13">
        <f t="shared" si="12"/>
        <v>923.98399999999947</v>
      </c>
      <c r="M50" s="28"/>
    </row>
    <row r="51" spans="1:13" s="23" customFormat="1" ht="11.25" customHeight="1" x14ac:dyDescent="0.2">
      <c r="A51" s="27" t="s">
        <v>11</v>
      </c>
      <c r="B51" s="2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D51+F51+'08-18-2022'!H51</f>
        <v>2480</v>
      </c>
      <c r="I51" s="13">
        <f>E51+G51+'08-18-2022'!I51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-6263.6479999999992</v>
      </c>
      <c r="M51" s="24"/>
    </row>
    <row r="52" spans="1:13" s="23" customFormat="1" ht="11.25" customHeight="1" x14ac:dyDescent="0.2">
      <c r="A52" s="27" t="s">
        <v>9</v>
      </c>
      <c r="B52" s="26" t="s">
        <v>8</v>
      </c>
      <c r="C52" s="13">
        <v>1900</v>
      </c>
      <c r="D52" s="14">
        <v>0</v>
      </c>
      <c r="E52" s="14">
        <v>0</v>
      </c>
      <c r="F52" s="14">
        <v>355.2</v>
      </c>
      <c r="G52" s="14">
        <v>25.56</v>
      </c>
      <c r="H52" s="13">
        <f>D52+F52+'08-18-2022'!H52</f>
        <v>1184</v>
      </c>
      <c r="I52" s="13">
        <f>E52+G52+'08-18-2022'!I52</f>
        <v>85.21</v>
      </c>
      <c r="J52" s="13">
        <f t="shared" si="10"/>
        <v>1269.21</v>
      </c>
      <c r="K52" s="13">
        <f t="shared" si="11"/>
        <v>630.79</v>
      </c>
      <c r="L52" s="13">
        <f t="shared" si="12"/>
        <v>-4699.8920000000007</v>
      </c>
      <c r="M52" s="24"/>
    </row>
    <row r="53" spans="1:13" s="23" customFormat="1" ht="11.25" customHeight="1" x14ac:dyDescent="0.2">
      <c r="A53" s="27" t="s">
        <v>7</v>
      </c>
      <c r="B53" s="2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D53+F53+'08-18-2022'!H53</f>
        <v>0</v>
      </c>
      <c r="I53" s="13">
        <f>E53+G53+'08-18-2022'!I53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85" t="s">
        <v>82</v>
      </c>
      <c r="B54" s="26" t="s">
        <v>83</v>
      </c>
      <c r="C54" s="84">
        <v>6300</v>
      </c>
      <c r="D54" s="83">
        <v>0</v>
      </c>
      <c r="E54" s="83">
        <v>0</v>
      </c>
      <c r="F54" s="83">
        <v>0</v>
      </c>
      <c r="G54" s="83">
        <v>0</v>
      </c>
      <c r="H54" s="82">
        <f>D54+F54</f>
        <v>0</v>
      </c>
      <c r="I54" s="82">
        <f>E54+G54</f>
        <v>0</v>
      </c>
      <c r="J54" s="82">
        <f t="shared" ref="J54" si="13">H54+I54</f>
        <v>0</v>
      </c>
      <c r="K54" s="82">
        <f t="shared" ref="K54" si="14">C54-J54</f>
        <v>6300</v>
      </c>
      <c r="L54" s="82">
        <f t="shared" ref="L54" si="15">C54-((J54/5)*26)</f>
        <v>6300</v>
      </c>
      <c r="M54" s="24"/>
    </row>
    <row r="55" spans="1:13" s="23" customFormat="1" ht="11.25" customHeight="1" x14ac:dyDescent="0.2">
      <c r="A55" s="85" t="s">
        <v>85</v>
      </c>
      <c r="B55" s="26" t="s">
        <v>86</v>
      </c>
      <c r="C55" s="84">
        <v>7467.05</v>
      </c>
      <c r="D55" s="83">
        <v>0</v>
      </c>
      <c r="E55" s="83">
        <v>0</v>
      </c>
      <c r="F55" s="83">
        <v>0</v>
      </c>
      <c r="G55" s="83">
        <v>0</v>
      </c>
      <c r="H55" s="82">
        <f>D55+F55</f>
        <v>0</v>
      </c>
      <c r="I55" s="82">
        <f>E55+G55</f>
        <v>0</v>
      </c>
      <c r="J55" s="82">
        <f t="shared" ref="J55" si="16">H55+I55</f>
        <v>0</v>
      </c>
      <c r="K55" s="82">
        <f t="shared" ref="K55" si="17">C55-J55</f>
        <v>7467.05</v>
      </c>
      <c r="L55" s="82">
        <f t="shared" ref="L55" si="18">C55-((J55/5)*26)</f>
        <v>7467.05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56243.65</v>
      </c>
      <c r="D56" s="10">
        <f t="shared" ref="D56:K56" si="19">SUM(D36:D55)</f>
        <v>408</v>
      </c>
      <c r="E56" s="10">
        <f t="shared" si="19"/>
        <v>5.29</v>
      </c>
      <c r="F56" s="10">
        <f t="shared" si="19"/>
        <v>589.20000000000005</v>
      </c>
      <c r="G56" s="10">
        <f t="shared" si="19"/>
        <v>42.4</v>
      </c>
      <c r="H56" s="10">
        <f t="shared" si="19"/>
        <v>11809.150000000001</v>
      </c>
      <c r="I56" s="10">
        <f t="shared" si="19"/>
        <v>329.84000000000003</v>
      </c>
      <c r="J56" s="10">
        <f t="shared" si="19"/>
        <v>12138.990000000002</v>
      </c>
      <c r="K56" s="10">
        <f t="shared" si="19"/>
        <v>44104.66</v>
      </c>
      <c r="L56" s="10">
        <f>SUM(L36:L55)</f>
        <v>-6879.0980000000009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1332.15</v>
      </c>
      <c r="E59" s="13">
        <v>17.3</v>
      </c>
      <c r="F59" s="13">
        <v>0</v>
      </c>
      <c r="G59" s="13">
        <v>0</v>
      </c>
      <c r="H59" s="13">
        <f>D59+F59+'08-18-2022'!H57</f>
        <v>4792.7999999999993</v>
      </c>
      <c r="I59" s="13">
        <f>E59+G59+'08-18-2022'!I57</f>
        <v>62.25</v>
      </c>
      <c r="J59" s="13">
        <f>H59+I59</f>
        <v>4855.0499999999993</v>
      </c>
      <c r="K59" s="13">
        <f>C59-J59</f>
        <v>57727.95</v>
      </c>
      <c r="L59" s="13">
        <f t="shared" ref="L59:L60" si="20">C59-((J59/5)*26)</f>
        <v>37336.740000000005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D60+F60+'08-18-2022'!H58</f>
        <v>0</v>
      </c>
      <c r="I60" s="13">
        <f>E60+G60+'08-18-2022'!I58</f>
        <v>0</v>
      </c>
      <c r="J60" s="13">
        <f>H60+I60</f>
        <v>0</v>
      </c>
      <c r="K60" s="13">
        <f>C60-J60</f>
        <v>1000</v>
      </c>
      <c r="L60" s="13">
        <f t="shared" si="20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 t="shared" ref="D61:L61" si="21">SUM(D59:D60)</f>
        <v>1332.15</v>
      </c>
      <c r="E61" s="20">
        <f t="shared" si="21"/>
        <v>17.3</v>
      </c>
      <c r="F61" s="20">
        <f t="shared" si="21"/>
        <v>0</v>
      </c>
      <c r="G61" s="20">
        <f t="shared" si="21"/>
        <v>0</v>
      </c>
      <c r="H61" s="20">
        <f t="shared" si="21"/>
        <v>4792.7999999999993</v>
      </c>
      <c r="I61" s="20">
        <f t="shared" si="21"/>
        <v>62.25</v>
      </c>
      <c r="J61" s="20">
        <f t="shared" si="21"/>
        <v>4855.0499999999993</v>
      </c>
      <c r="K61" s="20">
        <f t="shared" si="21"/>
        <v>58727.95</v>
      </c>
      <c r="L61" s="20">
        <f t="shared" si="21"/>
        <v>38336.740000000005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D64+F64+'08-18-2022'!H62</f>
        <v>0</v>
      </c>
      <c r="I64" s="13">
        <f>E64+G64+'08-18-2022'!I62</f>
        <v>0</v>
      </c>
      <c r="J64" s="13">
        <f>H64+I64</f>
        <v>0</v>
      </c>
      <c r="K64" s="13">
        <f>C64-J64</f>
        <v>0</v>
      </c>
      <c r="L64" s="13">
        <f>C64-((J64/5)*26)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22">SUM(C64)</f>
        <v>0</v>
      </c>
      <c r="D65" s="10">
        <f t="shared" si="22"/>
        <v>0</v>
      </c>
      <c r="E65" s="10">
        <f t="shared" si="22"/>
        <v>0</v>
      </c>
      <c r="F65" s="10">
        <f t="shared" si="22"/>
        <v>0</v>
      </c>
      <c r="G65" s="10">
        <f t="shared" si="22"/>
        <v>0</v>
      </c>
      <c r="H65" s="10">
        <f t="shared" si="22"/>
        <v>0</v>
      </c>
      <c r="I65" s="10">
        <f t="shared" si="22"/>
        <v>0</v>
      </c>
      <c r="J65" s="10">
        <f t="shared" si="22"/>
        <v>0</v>
      </c>
      <c r="K65" s="10">
        <f t="shared" si="22"/>
        <v>0</v>
      </c>
      <c r="L65" s="10">
        <f t="shared" si="22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127" spans="13:13" x14ac:dyDescent="0.25">
      <c r="M127" s="2">
        <f>SUM(M34:M125)</f>
        <v>0</v>
      </c>
    </row>
  </sheetData>
  <mergeCells count="20">
    <mergeCell ref="A68:F68"/>
    <mergeCell ref="M68:R68"/>
    <mergeCell ref="M72:R72"/>
    <mergeCell ref="A72:F72"/>
    <mergeCell ref="A56:B56"/>
    <mergeCell ref="A71:F71"/>
    <mergeCell ref="M71:R71"/>
    <mergeCell ref="A69:F69"/>
    <mergeCell ref="M69:R69"/>
    <mergeCell ref="A70:F70"/>
    <mergeCell ref="M70:R70"/>
    <mergeCell ref="A61:B61"/>
    <mergeCell ref="A65:B65"/>
    <mergeCell ref="A67:F67"/>
    <mergeCell ref="M67:R67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4AFC-84CD-4FEA-9901-99AC0EE935A1}">
  <sheetPr>
    <pageSetUpPr fitToPage="1"/>
  </sheetPr>
  <dimension ref="A1:R127"/>
  <sheetViews>
    <sheetView zoomScale="145" zoomScaleNormal="145" workbookViewId="0">
      <pane ySplit="2" topLeftCell="A36" activePane="bottomLeft" state="frozen"/>
      <selection pane="bottomLeft" activeCell="K49" sqref="K49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44819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652</v>
      </c>
      <c r="G3" s="14">
        <v>46.94</v>
      </c>
      <c r="H3" s="13">
        <f>D3+F3+'09-01-2022'!H3</f>
        <v>912</v>
      </c>
      <c r="I3" s="13">
        <f>E3+G3+'09-01-2022'!I3</f>
        <v>65.650000000000006</v>
      </c>
      <c r="J3" s="13">
        <f>H3+I3</f>
        <v>977.65</v>
      </c>
      <c r="K3" s="13">
        <f>C3-J3</f>
        <v>9822.35</v>
      </c>
      <c r="L3" s="13">
        <f>C3-((J3/6)*26)</f>
        <v>6563.5166666666664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>D4+F4+'09-01-2022'!H4</f>
        <v>0</v>
      </c>
      <c r="I4" s="13">
        <f>E4+G4+'09-01-2022'!I4</f>
        <v>0</v>
      </c>
      <c r="J4" s="13">
        <f>H4+I4</f>
        <v>0</v>
      </c>
      <c r="K4" s="13">
        <f>C4-J4</f>
        <v>9600</v>
      </c>
      <c r="L4" s="13">
        <f>C4-((J4/6)*26)</f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652</v>
      </c>
      <c r="G5" s="55">
        <f t="shared" si="0"/>
        <v>46.94</v>
      </c>
      <c r="H5" s="55">
        <f t="shared" si="0"/>
        <v>912</v>
      </c>
      <c r="I5" s="55">
        <f t="shared" si="0"/>
        <v>65.650000000000006</v>
      </c>
      <c r="J5" s="55">
        <f t="shared" si="0"/>
        <v>977.65</v>
      </c>
      <c r="K5" s="55">
        <f t="shared" si="0"/>
        <v>19422.349999999999</v>
      </c>
      <c r="L5" s="55">
        <f t="shared" si="0"/>
        <v>16163.516666666666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D8+F8+'09-01-2022'!H8</f>
        <v>0</v>
      </c>
      <c r="I8" s="13">
        <f>E8+G8+'09-01-2022'!I8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C8-((J8/6)*26)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642.47</v>
      </c>
      <c r="E9" s="21">
        <v>8.35</v>
      </c>
      <c r="F9" s="21">
        <v>0</v>
      </c>
      <c r="G9" s="21">
        <v>0</v>
      </c>
      <c r="H9" s="13">
        <f>D9+F9+'09-01-2022'!H9</f>
        <v>4096.3499999999995</v>
      </c>
      <c r="I9" s="13">
        <f>E9+G9+'09-01-2022'!I9</f>
        <v>94.929999999999993</v>
      </c>
      <c r="J9" s="13">
        <f t="shared" si="1"/>
        <v>4191.28</v>
      </c>
      <c r="K9" s="13">
        <f t="shared" si="2"/>
        <v>20457.72</v>
      </c>
      <c r="L9" s="13">
        <f t="shared" si="3"/>
        <v>6486.7866666666669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742.9</v>
      </c>
      <c r="E10" s="21">
        <v>9.65</v>
      </c>
      <c r="F10" s="21">
        <v>1427.2</v>
      </c>
      <c r="G10" s="21">
        <v>102.75</v>
      </c>
      <c r="H10" s="13">
        <f>D10+F10+'09-01-2022'!H10</f>
        <v>8345.9600000000009</v>
      </c>
      <c r="I10" s="13">
        <f>E10+G10+'09-01-2022'!I10</f>
        <v>403.03</v>
      </c>
      <c r="J10" s="13">
        <f t="shared" si="1"/>
        <v>8748.9900000000016</v>
      </c>
      <c r="K10" s="13">
        <f t="shared" si="2"/>
        <v>9225.0099999999984</v>
      </c>
      <c r="L10" s="13">
        <f t="shared" si="3"/>
        <v>-19938.290000000008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609.66</v>
      </c>
      <c r="E11" s="21">
        <v>7.92</v>
      </c>
      <c r="F11" s="21">
        <v>0</v>
      </c>
      <c r="G11" s="21">
        <v>0</v>
      </c>
      <c r="H11" s="13">
        <f>D11+F11+'09-01-2022'!H11</f>
        <v>1778.6999999999998</v>
      </c>
      <c r="I11" s="13">
        <f>E11+G11+'09-01-2022'!I11</f>
        <v>23.1</v>
      </c>
      <c r="J11" s="13">
        <f t="shared" si="1"/>
        <v>1801.7999999999997</v>
      </c>
      <c r="K11" s="13">
        <f t="shared" si="2"/>
        <v>16172.2</v>
      </c>
      <c r="L11" s="13">
        <f t="shared" si="3"/>
        <v>10166.200000000001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f>139.39+1081.81</f>
        <v>1221.1999999999998</v>
      </c>
      <c r="E12" s="21">
        <f>1.81+14.06</f>
        <v>15.870000000000001</v>
      </c>
      <c r="F12" s="21">
        <v>0</v>
      </c>
      <c r="G12" s="21">
        <v>0</v>
      </c>
      <c r="H12" s="13">
        <f>D12+F12+'09-01-2022'!H12</f>
        <v>7820.0899999999992</v>
      </c>
      <c r="I12" s="13">
        <f>E12+G12+'09-01-2022'!I12</f>
        <v>101.60000000000001</v>
      </c>
      <c r="J12" s="13">
        <f t="shared" si="1"/>
        <v>7921.69</v>
      </c>
      <c r="K12" s="13">
        <f t="shared" si="2"/>
        <v>16408.310000000001</v>
      </c>
      <c r="L12" s="13">
        <f t="shared" si="3"/>
        <v>-9997.3233333333264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f>262.96+2026.31</f>
        <v>2289.27</v>
      </c>
      <c r="E13" s="13">
        <f>3.41+26.34</f>
        <v>29.75</v>
      </c>
      <c r="F13" s="13">
        <v>0</v>
      </c>
      <c r="G13" s="13">
        <v>0</v>
      </c>
      <c r="H13" s="13">
        <f>D13+F13+'09-01-2022'!H13</f>
        <v>7081.5</v>
      </c>
      <c r="I13" s="13">
        <f>E13+G13+'09-01-2022'!I13</f>
        <v>92.01</v>
      </c>
      <c r="J13" s="13">
        <f t="shared" si="1"/>
        <v>7173.51</v>
      </c>
      <c r="K13" s="13">
        <f t="shared" si="2"/>
        <v>26826.489999999998</v>
      </c>
      <c r="L13" s="13">
        <f t="shared" si="3"/>
        <v>2914.7900000000009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f>-195.84+1721.74</f>
        <v>1525.9</v>
      </c>
      <c r="E14" s="13">
        <f>-2.54+22.36</f>
        <v>19.82</v>
      </c>
      <c r="F14" s="13">
        <v>0</v>
      </c>
      <c r="G14" s="13">
        <v>0</v>
      </c>
      <c r="H14" s="13">
        <f>D14+F14+'09-01-2022'!H14</f>
        <v>10329.029999999999</v>
      </c>
      <c r="I14" s="13">
        <f>E14+G14+'09-01-2022'!I14</f>
        <v>153.47999999999999</v>
      </c>
      <c r="J14" s="13">
        <f t="shared" si="1"/>
        <v>10482.509999999998</v>
      </c>
      <c r="K14" s="13">
        <f t="shared" si="2"/>
        <v>32258.49</v>
      </c>
      <c r="L14" s="13">
        <f t="shared" si="3"/>
        <v>-2683.2099999999919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517.78</v>
      </c>
      <c r="E15" s="21">
        <v>6.73</v>
      </c>
      <c r="F15" s="21">
        <v>0</v>
      </c>
      <c r="G15" s="21">
        <v>0</v>
      </c>
      <c r="H15" s="13">
        <f>D15+F15+'09-01-2022'!H15</f>
        <v>2631.0699999999997</v>
      </c>
      <c r="I15" s="13">
        <f>E15+G15+'09-01-2022'!I15</f>
        <v>34.17</v>
      </c>
      <c r="J15" s="13">
        <f t="shared" si="1"/>
        <v>2665.24</v>
      </c>
      <c r="K15" s="13">
        <f t="shared" si="2"/>
        <v>21507.760000000002</v>
      </c>
      <c r="L15" s="13">
        <f t="shared" si="3"/>
        <v>12623.626666666667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f>-186.21+75.17</f>
        <v>-111.04</v>
      </c>
      <c r="E16" s="21">
        <f>-0.64+0.97</f>
        <v>0.32999999999999996</v>
      </c>
      <c r="F16" s="21">
        <v>0</v>
      </c>
      <c r="G16" s="21">
        <v>0</v>
      </c>
      <c r="H16" s="13">
        <f>D16+F16+'09-01-2022'!H16</f>
        <v>702.17000000000007</v>
      </c>
      <c r="I16" s="13">
        <f>E16+G16+'09-01-2022'!I16</f>
        <v>10.86</v>
      </c>
      <c r="J16" s="13">
        <f t="shared" si="1"/>
        <v>713.03000000000009</v>
      </c>
      <c r="K16" s="13">
        <f t="shared" si="2"/>
        <v>5286.97</v>
      </c>
      <c r="L16" s="13">
        <f t="shared" si="3"/>
        <v>2910.2033333333329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7438.1399999999994</v>
      </c>
      <c r="E17" s="55">
        <f t="shared" si="4"/>
        <v>98.420000000000016</v>
      </c>
      <c r="F17" s="55">
        <f t="shared" si="4"/>
        <v>1427.2</v>
      </c>
      <c r="G17" s="55">
        <f t="shared" si="4"/>
        <v>102.75</v>
      </c>
      <c r="H17" s="55">
        <f t="shared" si="4"/>
        <v>42784.87</v>
      </c>
      <c r="I17" s="55">
        <f t="shared" si="4"/>
        <v>913.18</v>
      </c>
      <c r="J17" s="55">
        <f t="shared" si="4"/>
        <v>43698.049999999996</v>
      </c>
      <c r="K17" s="55">
        <f t="shared" si="4"/>
        <v>151059.95000000001</v>
      </c>
      <c r="L17" s="55">
        <f t="shared" si="4"/>
        <v>5399.7833333333419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D20+F20+'09-01-2022'!H20</f>
        <v>0</v>
      </c>
      <c r="I20" s="13">
        <f>E20+G20+'09-01-2022'!I20</f>
        <v>0</v>
      </c>
      <c r="J20" s="13">
        <f>H20+I20</f>
        <v>0</v>
      </c>
      <c r="K20" s="13">
        <f>C20-J20</f>
        <v>2109</v>
      </c>
      <c r="L20" s="13">
        <f t="shared" ref="L20:L22" si="5">C20-((J20/6)*26)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1144.1600000000001</v>
      </c>
      <c r="E21" s="14">
        <v>14.87</v>
      </c>
      <c r="F21" s="14">
        <v>712.96</v>
      </c>
      <c r="G21" s="14">
        <v>51.33</v>
      </c>
      <c r="H21" s="13">
        <f>D21+F21+'09-01-2022'!H21</f>
        <v>4835.34</v>
      </c>
      <c r="I21" s="13">
        <f>E21+G21+'09-01-2022'!I21</f>
        <v>104.88</v>
      </c>
      <c r="J21" s="13">
        <f>H21+I21</f>
        <v>4940.22</v>
      </c>
      <c r="K21" s="13">
        <f>C21-J21</f>
        <v>20059.78</v>
      </c>
      <c r="L21" s="13">
        <f t="shared" si="5"/>
        <v>3592.380000000001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D22+F22+'09-01-2022'!H22</f>
        <v>0</v>
      </c>
      <c r="I22" s="13">
        <f>E22+G22+'09-01-2022'!I22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1144.1600000000001</v>
      </c>
      <c r="E23" s="10">
        <f t="shared" si="6"/>
        <v>14.87</v>
      </c>
      <c r="F23" s="10">
        <f t="shared" si="6"/>
        <v>712.96</v>
      </c>
      <c r="G23" s="10">
        <f t="shared" si="6"/>
        <v>51.33</v>
      </c>
      <c r="H23" s="10">
        <f t="shared" si="6"/>
        <v>4835.34</v>
      </c>
      <c r="I23" s="10">
        <f t="shared" si="6"/>
        <v>104.88</v>
      </c>
      <c r="J23" s="10">
        <f t="shared" si="6"/>
        <v>4940.22</v>
      </c>
      <c r="K23" s="10">
        <f t="shared" si="6"/>
        <v>34168.78</v>
      </c>
      <c r="L23" s="10">
        <f t="shared" si="6"/>
        <v>17701.38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306.25</v>
      </c>
      <c r="E26" s="14">
        <v>3.98</v>
      </c>
      <c r="F26" s="14">
        <v>0</v>
      </c>
      <c r="G26" s="14">
        <v>0</v>
      </c>
      <c r="H26" s="13">
        <f>D26+F26+'09-01-2022'!H26</f>
        <v>2487.52</v>
      </c>
      <c r="I26" s="13">
        <f>E26+G26+'09-01-2022'!I26</f>
        <v>83.009999999999991</v>
      </c>
      <c r="J26" s="13">
        <f>H26+I26</f>
        <v>2570.5299999999997</v>
      </c>
      <c r="K26" s="13">
        <f>C26-J26</f>
        <v>12429.470000000001</v>
      </c>
      <c r="L26" s="13">
        <f t="shared" ref="L26:L29" si="7">C26-((J26/6)*26)</f>
        <v>3861.0366666666669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D27+F27+'09-01-2022'!H27</f>
        <v>0</v>
      </c>
      <c r="I27" s="13">
        <f>E27+G27+'09-01-2022'!I27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330</v>
      </c>
      <c r="E28" s="21">
        <v>4.29</v>
      </c>
      <c r="F28" s="21">
        <v>0</v>
      </c>
      <c r="G28" s="21">
        <v>0</v>
      </c>
      <c r="H28" s="13">
        <f>D28+F28+'09-01-2022'!H28</f>
        <v>11122.25</v>
      </c>
      <c r="I28" s="13">
        <f>E28+G28+'09-01-2022'!I28</f>
        <v>195.63999999999996</v>
      </c>
      <c r="J28" s="13">
        <f>H28+I28</f>
        <v>11317.89</v>
      </c>
      <c r="K28" s="13">
        <f>C28-J28</f>
        <v>13682.11</v>
      </c>
      <c r="L28" s="13">
        <f t="shared" si="7"/>
        <v>-24044.189999999995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D29+F29+'09-01-2022'!H29</f>
        <v>0</v>
      </c>
      <c r="I29" s="13">
        <f>E29+G29+'09-01-2022'!I29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636.25</v>
      </c>
      <c r="E30" s="48">
        <f t="shared" si="8"/>
        <v>8.27</v>
      </c>
      <c r="F30" s="48">
        <f t="shared" si="8"/>
        <v>0</v>
      </c>
      <c r="G30" s="48">
        <f t="shared" si="8"/>
        <v>0</v>
      </c>
      <c r="H30" s="48">
        <f t="shared" si="8"/>
        <v>13609.77</v>
      </c>
      <c r="I30" s="48">
        <f t="shared" si="8"/>
        <v>278.64999999999998</v>
      </c>
      <c r="J30" s="48">
        <f t="shared" si="8"/>
        <v>13888.419999999998</v>
      </c>
      <c r="K30" s="48">
        <f t="shared" si="8"/>
        <v>37561.58</v>
      </c>
      <c r="L30" s="48">
        <f t="shared" si="8"/>
        <v>-8733.1533333333282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9218.5499999999993</v>
      </c>
      <c r="E33" s="41">
        <f t="shared" si="9"/>
        <v>121.56000000000002</v>
      </c>
      <c r="F33" s="41">
        <f t="shared" si="9"/>
        <v>2792.16</v>
      </c>
      <c r="G33" s="41">
        <f t="shared" si="9"/>
        <v>201.01999999999998</v>
      </c>
      <c r="H33" s="41">
        <f t="shared" si="9"/>
        <v>62141.98000000001</v>
      </c>
      <c r="I33" s="41">
        <f t="shared" si="9"/>
        <v>1362.3600000000001</v>
      </c>
      <c r="J33" s="41">
        <f t="shared" si="9"/>
        <v>63504.34</v>
      </c>
      <c r="K33" s="41">
        <f t="shared" si="9"/>
        <v>242212.66</v>
      </c>
      <c r="L33" s="41">
        <f t="shared" si="9"/>
        <v>30531.526666666683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D36+F36+'09-01-2022'!H36</f>
        <v>0</v>
      </c>
      <c r="I36" s="13">
        <f>E36+G36+'09-01-2022'!I36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C36-((J36/6)*26)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D37+F37+'09-01-2022'!H37</f>
        <v>0</v>
      </c>
      <c r="I37" s="13">
        <f>E37+G37+'09-01-2022'!I37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D38+F38+'09-01-2022'!H38</f>
        <v>0</v>
      </c>
      <c r="I38" s="13">
        <f>E38+G38+'09-01-2022'!I38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D39+F39+'09-01-2022'!H39</f>
        <v>0</v>
      </c>
      <c r="I39" s="13">
        <f>E39+G39+'09-01-2022'!I39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D40+F40+'09-01-2022'!H40</f>
        <v>0</v>
      </c>
      <c r="I40" s="13">
        <f>E40+G40+'09-01-2022'!I40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72.5</v>
      </c>
      <c r="E41" s="14">
        <v>0.94</v>
      </c>
      <c r="F41" s="14">
        <v>0</v>
      </c>
      <c r="G41" s="14">
        <v>0</v>
      </c>
      <c r="H41" s="13">
        <f>D41+F41+'09-01-2022'!H41</f>
        <v>1765.62</v>
      </c>
      <c r="I41" s="13">
        <f>E41+G41+'09-01-2022'!I41</f>
        <v>22.92</v>
      </c>
      <c r="J41" s="13">
        <f t="shared" si="10"/>
        <v>1788.54</v>
      </c>
      <c r="K41" s="13">
        <f t="shared" si="11"/>
        <v>5711.46</v>
      </c>
      <c r="L41" s="13">
        <f t="shared" si="12"/>
        <v>-250.33999999999924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D42+F42+'09-01-2022'!H42</f>
        <v>0</v>
      </c>
      <c r="I42" s="13">
        <f>E42+G42+'09-01-2022'!I42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D43+F43+'09-01-2022'!H43</f>
        <v>0</v>
      </c>
      <c r="I43" s="13">
        <f>E43+G43+'09-01-2022'!I43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D44+F44+'09-01-2022'!H44</f>
        <v>0</v>
      </c>
      <c r="I44" s="13">
        <f>E44+G44+'09-01-2022'!I44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D45+F45+'09-01-2022'!H45</f>
        <v>0</v>
      </c>
      <c r="I45" s="13">
        <f>E45+G45+'09-01-2022'!I45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23.56</v>
      </c>
      <c r="E46" s="14">
        <v>0.3</v>
      </c>
      <c r="F46" s="14">
        <v>0</v>
      </c>
      <c r="G46" s="14">
        <v>0</v>
      </c>
      <c r="H46" s="13">
        <f>D46+F46+'09-01-2022'!H46</f>
        <v>812.81999999999994</v>
      </c>
      <c r="I46" s="13">
        <f>E46+G46+'09-01-2022'!I46</f>
        <v>10.540000000000001</v>
      </c>
      <c r="J46" s="13">
        <f t="shared" si="10"/>
        <v>823.3599999999999</v>
      </c>
      <c r="K46" s="13">
        <f t="shared" si="11"/>
        <v>5197.72</v>
      </c>
      <c r="L46" s="13">
        <f t="shared" si="12"/>
        <v>2453.186666666667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D47+F47+'09-01-2022'!H47</f>
        <v>2224.5700000000002</v>
      </c>
      <c r="I47" s="13">
        <f>E47+G47+'09-01-2022'!I47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234.92000000000007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D48+F48+'09-01-2022'!H48</f>
        <v>1085.2</v>
      </c>
      <c r="I48" s="13">
        <f>E48+G48+'09-01-2022'!I48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-3069.2033333333329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v>1686.24</v>
      </c>
      <c r="D49" s="14">
        <v>0</v>
      </c>
      <c r="E49" s="14">
        <v>0</v>
      </c>
      <c r="F49" s="14">
        <v>0</v>
      </c>
      <c r="G49" s="14">
        <v>0</v>
      </c>
      <c r="H49" s="13">
        <f>D49+F49+'09-01-2022'!H49</f>
        <v>1807</v>
      </c>
      <c r="I49" s="13">
        <f>E49+G49+'09-01-2022'!I49</f>
        <v>130.08000000000001</v>
      </c>
      <c r="J49" s="13">
        <f t="shared" si="10"/>
        <v>1937.08</v>
      </c>
      <c r="K49" s="87">
        <f t="shared" si="11"/>
        <v>-250.83999999999992</v>
      </c>
      <c r="L49" s="13">
        <f t="shared" si="12"/>
        <v>-6707.7733333333326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v>3800</v>
      </c>
      <c r="D50" s="14">
        <v>315</v>
      </c>
      <c r="E50" s="14">
        <v>4.09</v>
      </c>
      <c r="F50" s="14">
        <v>0</v>
      </c>
      <c r="G50" s="14">
        <v>0</v>
      </c>
      <c r="H50" s="13">
        <f>D50+F50+'09-01-2022'!H50</f>
        <v>861</v>
      </c>
      <c r="I50" s="13">
        <f>E50+G50+'09-01-2022'!I50</f>
        <v>11.17</v>
      </c>
      <c r="J50" s="13">
        <f t="shared" si="10"/>
        <v>872.17</v>
      </c>
      <c r="K50" s="13">
        <f t="shared" si="11"/>
        <v>2927.83</v>
      </c>
      <c r="L50" s="13">
        <f t="shared" si="12"/>
        <v>20.596666666667261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D51+F51+'09-01-2022'!H51</f>
        <v>2480</v>
      </c>
      <c r="I51" s="13">
        <f>E51+G51+'09-01-2022'!I51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-4086.373333333333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355.2</v>
      </c>
      <c r="G52" s="14">
        <v>25.57</v>
      </c>
      <c r="H52" s="13">
        <f>D52+F52+'09-01-2022'!H52</f>
        <v>1539.2</v>
      </c>
      <c r="I52" s="13">
        <f>E52+G52+'09-01-2022'!I52</f>
        <v>110.78</v>
      </c>
      <c r="J52" s="13">
        <f t="shared" si="10"/>
        <v>1649.98</v>
      </c>
      <c r="K52" s="13">
        <f t="shared" si="11"/>
        <v>250.01999999999998</v>
      </c>
      <c r="L52" s="13">
        <f t="shared" si="12"/>
        <v>-5249.9133333333339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D53+F53+'09-01-2022'!H53</f>
        <v>0</v>
      </c>
      <c r="I53" s="13">
        <f>E53+G53+'09-01-2022'!I53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D54+F54+'09-01-2022'!H54</f>
        <v>0</v>
      </c>
      <c r="I54" s="13">
        <f>E54+G54+'09-01-2022'!I54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86</v>
      </c>
      <c r="C55" s="25">
        <v>7467.05</v>
      </c>
      <c r="D55" s="14">
        <v>0</v>
      </c>
      <c r="E55" s="14">
        <v>0</v>
      </c>
      <c r="F55" s="14">
        <v>0</v>
      </c>
      <c r="G55" s="14">
        <v>0</v>
      </c>
      <c r="H55" s="13">
        <f>D55+F55+'09-01-2022'!H55</f>
        <v>0</v>
      </c>
      <c r="I55" s="13">
        <f>E55+G55+'09-01-2022'!I55</f>
        <v>0</v>
      </c>
      <c r="J55" s="13">
        <f t="shared" si="10"/>
        <v>0</v>
      </c>
      <c r="K55" s="13">
        <f t="shared" si="11"/>
        <v>7467.05</v>
      </c>
      <c r="L55" s="13">
        <f t="shared" si="12"/>
        <v>7467.05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56243.65</v>
      </c>
      <c r="D56" s="10">
        <f t="shared" ref="D56:K56" si="13">SUM(D36:D55)</f>
        <v>411.06</v>
      </c>
      <c r="E56" s="10">
        <f t="shared" si="13"/>
        <v>5.33</v>
      </c>
      <c r="F56" s="10">
        <f t="shared" si="13"/>
        <v>355.2</v>
      </c>
      <c r="G56" s="10">
        <f t="shared" si="13"/>
        <v>25.57</v>
      </c>
      <c r="H56" s="10">
        <f t="shared" si="13"/>
        <v>12575.41</v>
      </c>
      <c r="I56" s="10">
        <f t="shared" si="13"/>
        <v>360.74</v>
      </c>
      <c r="J56" s="10">
        <f t="shared" si="13"/>
        <v>12936.149999999998</v>
      </c>
      <c r="K56" s="10">
        <f t="shared" si="13"/>
        <v>43307.500000000015</v>
      </c>
      <c r="L56" s="10">
        <f>SUM(L36:L55)</f>
        <v>187.00000000000273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f>-343.14+2702.85</f>
        <v>2359.71</v>
      </c>
      <c r="E59" s="13">
        <f>-4.46+35.13</f>
        <v>30.67</v>
      </c>
      <c r="F59" s="13">
        <v>0</v>
      </c>
      <c r="G59" s="13">
        <v>0</v>
      </c>
      <c r="H59" s="13">
        <f>D59+F59+'09-01-2022'!H59</f>
        <v>7152.5099999999993</v>
      </c>
      <c r="I59" s="13">
        <f>E59+G59+'09-01-2022'!I59</f>
        <v>92.92</v>
      </c>
      <c r="J59" s="13">
        <f>H59+I59</f>
        <v>7245.4299999999994</v>
      </c>
      <c r="K59" s="13">
        <f>C59-J59</f>
        <v>55337.57</v>
      </c>
      <c r="L59" s="13">
        <f t="shared" ref="L59:L60" si="14">C59-((J59/6)*26)</f>
        <v>31186.136666666673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D60+F60+'09-01-2022'!H60</f>
        <v>0</v>
      </c>
      <c r="I60" s="13">
        <f>E60+G60+'09-01-2022'!I60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 t="shared" ref="D61:L61" si="15">SUM(D59:D60)</f>
        <v>2359.71</v>
      </c>
      <c r="E61" s="20">
        <f t="shared" si="15"/>
        <v>30.67</v>
      </c>
      <c r="F61" s="20">
        <f t="shared" si="15"/>
        <v>0</v>
      </c>
      <c r="G61" s="20">
        <f t="shared" si="15"/>
        <v>0</v>
      </c>
      <c r="H61" s="20">
        <f t="shared" si="15"/>
        <v>7152.5099999999993</v>
      </c>
      <c r="I61" s="20">
        <f t="shared" si="15"/>
        <v>92.92</v>
      </c>
      <c r="J61" s="20">
        <f t="shared" si="15"/>
        <v>7245.4299999999994</v>
      </c>
      <c r="K61" s="20">
        <f t="shared" si="15"/>
        <v>56337.57</v>
      </c>
      <c r="L61" s="20">
        <f t="shared" si="15"/>
        <v>32186.136666666673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D64+F64+'09-01-2022'!H64</f>
        <v>0</v>
      </c>
      <c r="I64" s="13">
        <f>E64+G64+'09-01-2022'!I64</f>
        <v>0</v>
      </c>
      <c r="J64" s="13">
        <f>H64+I64</f>
        <v>0</v>
      </c>
      <c r="K64" s="13">
        <f>C64-J64</f>
        <v>0</v>
      </c>
      <c r="L64" s="13">
        <f>C64-((J64/6)*26)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127" spans="13:13" x14ac:dyDescent="0.25">
      <c r="M127" s="2">
        <f>SUM(M34:M125)</f>
        <v>0</v>
      </c>
    </row>
  </sheetData>
  <mergeCells count="20">
    <mergeCell ref="A72:F72"/>
    <mergeCell ref="M72:R72"/>
    <mergeCell ref="A69:F69"/>
    <mergeCell ref="M69:R69"/>
    <mergeCell ref="A70:F70"/>
    <mergeCell ref="M70:R70"/>
    <mergeCell ref="A71:F71"/>
    <mergeCell ref="M71:R71"/>
    <mergeCell ref="A61:B61"/>
    <mergeCell ref="A65:B65"/>
    <mergeCell ref="A67:F67"/>
    <mergeCell ref="M67:R67"/>
    <mergeCell ref="A68:F68"/>
    <mergeCell ref="M68:R68"/>
    <mergeCell ref="A56:B56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C67D-EF80-45EF-AAA6-149E2C47BD68}">
  <sheetPr>
    <pageSetUpPr fitToPage="1"/>
  </sheetPr>
  <dimension ref="A1:R127"/>
  <sheetViews>
    <sheetView zoomScale="160" zoomScaleNormal="160" workbookViewId="0">
      <pane ySplit="2" topLeftCell="A44" activePane="bottomLeft" state="frozen"/>
      <selection pane="bottomLeft" activeCell="K49" sqref="K49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44833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688</v>
      </c>
      <c r="G3" s="14">
        <v>49.53</v>
      </c>
      <c r="H3" s="13">
        <f>D3+F3+'09-15-2022'!H3</f>
        <v>1600</v>
      </c>
      <c r="I3" s="13">
        <f>E3+G3+'09-15-2022'!I3</f>
        <v>115.18</v>
      </c>
      <c r="J3" s="13">
        <f>H3+I3</f>
        <v>1715.18</v>
      </c>
      <c r="K3" s="13">
        <f>C3-J3</f>
        <v>9084.82</v>
      </c>
      <c r="L3" s="13">
        <f>C3-((J3/7)*26)</f>
        <v>4429.3314285714287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0</v>
      </c>
      <c r="G4" s="14">
        <v>0</v>
      </c>
      <c r="H4" s="13">
        <f>D4+F4+'09-15-2022'!H4</f>
        <v>0</v>
      </c>
      <c r="I4" s="13">
        <f>E4+G4+'09-15-2022'!I4</f>
        <v>0</v>
      </c>
      <c r="J4" s="13">
        <f>H4+I4</f>
        <v>0</v>
      </c>
      <c r="K4" s="13">
        <f>C4-J4</f>
        <v>9600</v>
      </c>
      <c r="L4" s="13">
        <f>C4-((J4/7)*26)</f>
        <v>9600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688</v>
      </c>
      <c r="G5" s="55">
        <f t="shared" si="0"/>
        <v>49.53</v>
      </c>
      <c r="H5" s="55">
        <f t="shared" si="0"/>
        <v>1600</v>
      </c>
      <c r="I5" s="55">
        <f t="shared" si="0"/>
        <v>115.18</v>
      </c>
      <c r="J5" s="55">
        <f t="shared" si="0"/>
        <v>1715.18</v>
      </c>
      <c r="K5" s="55">
        <f t="shared" si="0"/>
        <v>18684.82</v>
      </c>
      <c r="L5" s="55">
        <f t="shared" si="0"/>
        <v>14029.33142857143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/>
      <c r="E8" s="14"/>
      <c r="F8" s="14"/>
      <c r="G8" s="14"/>
      <c r="H8" s="13">
        <f>D8+F8+'09-15-2022'!H8</f>
        <v>0</v>
      </c>
      <c r="I8" s="13">
        <f>E8+G8+'09-15-2022'!I8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C8-((J8/7)*26)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965.96</v>
      </c>
      <c r="E9" s="21">
        <v>12.55</v>
      </c>
      <c r="F9" s="21">
        <v>0</v>
      </c>
      <c r="G9" s="21">
        <v>0</v>
      </c>
      <c r="H9" s="13">
        <f>D9+F9+'09-15-2022'!H9</f>
        <v>5062.3099999999995</v>
      </c>
      <c r="I9" s="13">
        <f>E9+G9+'09-15-2022'!I9</f>
        <v>107.47999999999999</v>
      </c>
      <c r="J9" s="13">
        <f t="shared" si="1"/>
        <v>5169.7899999999991</v>
      </c>
      <c r="K9" s="13">
        <f t="shared" si="2"/>
        <v>19479.21</v>
      </c>
      <c r="L9" s="13">
        <f t="shared" si="3"/>
        <v>5446.9228571428612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680.06</v>
      </c>
      <c r="E10" s="21">
        <v>8.84</v>
      </c>
      <c r="F10" s="21">
        <v>1355.84</v>
      </c>
      <c r="G10" s="21">
        <v>97.62</v>
      </c>
      <c r="H10" s="13">
        <f>D10+F10+'09-15-2022'!H10</f>
        <v>10381.86</v>
      </c>
      <c r="I10" s="13">
        <f>E10+G10+'09-15-2022'!I10</f>
        <v>509.49</v>
      </c>
      <c r="J10" s="13">
        <f t="shared" si="1"/>
        <v>10891.35</v>
      </c>
      <c r="K10" s="13">
        <f t="shared" si="2"/>
        <v>7082.65</v>
      </c>
      <c r="L10" s="13">
        <f t="shared" si="3"/>
        <v>-22479.585714285713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519.27</v>
      </c>
      <c r="E11" s="21">
        <v>6.75</v>
      </c>
      <c r="F11" s="21">
        <v>0</v>
      </c>
      <c r="G11" s="21">
        <v>0</v>
      </c>
      <c r="H11" s="13">
        <f>D11+F11+'09-15-2022'!H11</f>
        <v>2297.9699999999998</v>
      </c>
      <c r="I11" s="13">
        <f>E11+G11+'09-15-2022'!I11</f>
        <v>29.85</v>
      </c>
      <c r="J11" s="13">
        <f t="shared" si="1"/>
        <v>2327.8199999999997</v>
      </c>
      <c r="K11" s="13">
        <f t="shared" si="2"/>
        <v>15646.18</v>
      </c>
      <c r="L11" s="13">
        <f t="shared" si="3"/>
        <v>9327.8114285714291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f>153.34+772.84</f>
        <v>926.18000000000006</v>
      </c>
      <c r="E12" s="21">
        <f>1.99+10.04</f>
        <v>12.03</v>
      </c>
      <c r="F12" s="21">
        <v>0</v>
      </c>
      <c r="G12" s="21">
        <v>0</v>
      </c>
      <c r="H12" s="13">
        <f>D12+F12+'09-15-2022'!H12</f>
        <v>8746.2699999999986</v>
      </c>
      <c r="I12" s="13">
        <f>E12+G12+'09-15-2022'!I12</f>
        <v>113.63000000000001</v>
      </c>
      <c r="J12" s="13">
        <f t="shared" si="1"/>
        <v>8859.8999999999978</v>
      </c>
      <c r="K12" s="13">
        <f t="shared" si="2"/>
        <v>15470.100000000002</v>
      </c>
      <c r="L12" s="13">
        <f t="shared" si="3"/>
        <v>-8578.1999999999898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f>58.26+1796.41</f>
        <v>1854.67</v>
      </c>
      <c r="E13" s="13">
        <f>0.75+23.35</f>
        <v>24.1</v>
      </c>
      <c r="F13" s="13">
        <v>0</v>
      </c>
      <c r="G13" s="13">
        <v>0</v>
      </c>
      <c r="H13" s="13">
        <f>D13+F13+'09-15-2022'!H13</f>
        <v>8936.17</v>
      </c>
      <c r="I13" s="13">
        <f>E13+G13+'09-15-2022'!I13</f>
        <v>116.11000000000001</v>
      </c>
      <c r="J13" s="13">
        <f t="shared" si="1"/>
        <v>9052.2800000000007</v>
      </c>
      <c r="K13" s="13">
        <f t="shared" si="2"/>
        <v>24947.72</v>
      </c>
      <c r="L13" s="13">
        <f t="shared" si="3"/>
        <v>377.24571428570925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1579.46</v>
      </c>
      <c r="E14" s="13">
        <v>20.52</v>
      </c>
      <c r="F14" s="13">
        <v>247.5</v>
      </c>
      <c r="G14" s="13">
        <v>17.82</v>
      </c>
      <c r="H14" s="13">
        <f>D14+F14+'09-15-2022'!H14</f>
        <v>12155.989999999998</v>
      </c>
      <c r="I14" s="13">
        <f>E14+G14+'09-15-2022'!I14</f>
        <v>191.82</v>
      </c>
      <c r="J14" s="13">
        <f t="shared" si="1"/>
        <v>12347.809999999998</v>
      </c>
      <c r="K14" s="13">
        <f t="shared" si="2"/>
        <v>30393.190000000002</v>
      </c>
      <c r="L14" s="13">
        <f t="shared" si="3"/>
        <v>-3122.2942857142771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562.09</v>
      </c>
      <c r="E15" s="21">
        <v>7.3</v>
      </c>
      <c r="F15" s="21">
        <v>0</v>
      </c>
      <c r="G15" s="21">
        <v>0</v>
      </c>
      <c r="H15" s="13">
        <f>D15+F15+'09-15-2022'!H15</f>
        <v>3193.16</v>
      </c>
      <c r="I15" s="13">
        <f>E15+G15+'09-15-2022'!I15</f>
        <v>41.47</v>
      </c>
      <c r="J15" s="13">
        <f t="shared" si="1"/>
        <v>3234.6299999999997</v>
      </c>
      <c r="K15" s="13">
        <f t="shared" si="2"/>
        <v>20938.37</v>
      </c>
      <c r="L15" s="13">
        <f t="shared" si="3"/>
        <v>12158.66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85.19</v>
      </c>
      <c r="E16" s="21">
        <v>1.1000000000000001</v>
      </c>
      <c r="F16" s="21">
        <v>0</v>
      </c>
      <c r="G16" s="21">
        <v>0</v>
      </c>
      <c r="H16" s="13">
        <f>D16+F16+'09-15-2022'!H16</f>
        <v>787.36000000000013</v>
      </c>
      <c r="I16" s="13">
        <f>E16+G16+'09-15-2022'!I16</f>
        <v>11.959999999999999</v>
      </c>
      <c r="J16" s="13">
        <f t="shared" si="1"/>
        <v>799.32000000000016</v>
      </c>
      <c r="K16" s="13">
        <f t="shared" si="2"/>
        <v>5200.68</v>
      </c>
      <c r="L16" s="13">
        <f t="shared" si="3"/>
        <v>3031.0971428571424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7172.88</v>
      </c>
      <c r="E17" s="55">
        <f t="shared" si="4"/>
        <v>93.19</v>
      </c>
      <c r="F17" s="55">
        <f t="shared" si="4"/>
        <v>1603.34</v>
      </c>
      <c r="G17" s="55">
        <f t="shared" si="4"/>
        <v>115.44</v>
      </c>
      <c r="H17" s="55">
        <f t="shared" si="4"/>
        <v>51561.09</v>
      </c>
      <c r="I17" s="55">
        <f t="shared" si="4"/>
        <v>1121.8100000000002</v>
      </c>
      <c r="J17" s="55">
        <f t="shared" si="4"/>
        <v>52682.899999999994</v>
      </c>
      <c r="K17" s="55">
        <f t="shared" si="4"/>
        <v>142075.1</v>
      </c>
      <c r="L17" s="55">
        <f t="shared" si="4"/>
        <v>-921.34285714283806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D20+F20+'09-15-2022'!H20</f>
        <v>0</v>
      </c>
      <c r="I20" s="13">
        <f>E20+G20+'09-15-2022'!I20</f>
        <v>0</v>
      </c>
      <c r="J20" s="13">
        <f>H20+I20</f>
        <v>0</v>
      </c>
      <c r="K20" s="13">
        <f>C20-J20</f>
        <v>2109</v>
      </c>
      <c r="L20" s="13">
        <f t="shared" ref="L20:L22" si="5">C20-((J20/7)*26)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1244.31</v>
      </c>
      <c r="E21" s="14">
        <v>16.170000000000002</v>
      </c>
      <c r="F21" s="14">
        <v>712.96</v>
      </c>
      <c r="G21" s="14">
        <v>51.33</v>
      </c>
      <c r="H21" s="13">
        <f>D21+F21+'09-15-2022'!H21</f>
        <v>6792.6100000000006</v>
      </c>
      <c r="I21" s="13">
        <f>E21+G21+'09-15-2022'!I21</f>
        <v>172.38</v>
      </c>
      <c r="J21" s="13">
        <f>H21+I21</f>
        <v>6964.9900000000007</v>
      </c>
      <c r="K21" s="13">
        <f>C21-J21</f>
        <v>18035.009999999998</v>
      </c>
      <c r="L21" s="13">
        <f t="shared" si="5"/>
        <v>-869.96285714285841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D22+F22+'09-15-2022'!H22</f>
        <v>0</v>
      </c>
      <c r="I22" s="13">
        <f>E22+G22+'09-15-2022'!I22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1244.31</v>
      </c>
      <c r="E23" s="10">
        <f t="shared" si="6"/>
        <v>16.170000000000002</v>
      </c>
      <c r="F23" s="10">
        <f t="shared" si="6"/>
        <v>712.96</v>
      </c>
      <c r="G23" s="10">
        <f t="shared" si="6"/>
        <v>51.33</v>
      </c>
      <c r="H23" s="10">
        <f t="shared" si="6"/>
        <v>6792.6100000000006</v>
      </c>
      <c r="I23" s="10">
        <f t="shared" si="6"/>
        <v>172.38</v>
      </c>
      <c r="J23" s="10">
        <f t="shared" si="6"/>
        <v>6964.9900000000007</v>
      </c>
      <c r="K23" s="10">
        <f t="shared" si="6"/>
        <v>32144.01</v>
      </c>
      <c r="L23" s="10">
        <f t="shared" si="6"/>
        <v>13239.037142857142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265.63</v>
      </c>
      <c r="E26" s="14">
        <v>3.45</v>
      </c>
      <c r="F26" s="14">
        <v>0</v>
      </c>
      <c r="G26" s="14">
        <v>0</v>
      </c>
      <c r="H26" s="13">
        <f>D26+F26+'09-15-2022'!H26</f>
        <v>2753.15</v>
      </c>
      <c r="I26" s="13">
        <f>E26+G26+'09-15-2022'!I26</f>
        <v>86.46</v>
      </c>
      <c r="J26" s="13">
        <f>H26+I26</f>
        <v>2839.61</v>
      </c>
      <c r="K26" s="13">
        <f>C26-J26</f>
        <v>12160.39</v>
      </c>
      <c r="L26" s="13">
        <f t="shared" ref="L26:L29" si="7">C26-((J26/7)*26)</f>
        <v>4452.8771428571417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D27+F27+'09-15-2022'!H27</f>
        <v>0</v>
      </c>
      <c r="I27" s="13">
        <f>E27+G27+'09-15-2022'!I27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195</v>
      </c>
      <c r="E28" s="21">
        <v>2.5299999999999998</v>
      </c>
      <c r="F28" s="21">
        <v>0</v>
      </c>
      <c r="G28" s="21">
        <v>0</v>
      </c>
      <c r="H28" s="13">
        <f>D28+F28+'09-15-2022'!H28</f>
        <v>11317.25</v>
      </c>
      <c r="I28" s="13">
        <f>E28+G28+'09-15-2022'!I28</f>
        <v>198.16999999999996</v>
      </c>
      <c r="J28" s="13">
        <f>H28+I28</f>
        <v>11515.42</v>
      </c>
      <c r="K28" s="13">
        <f>C28-J28</f>
        <v>13484.58</v>
      </c>
      <c r="L28" s="13">
        <f t="shared" si="7"/>
        <v>-17771.559999999998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D29+F29+'09-15-2022'!H29</f>
        <v>0</v>
      </c>
      <c r="I29" s="13">
        <f>E29+G29+'09-15-2022'!I29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460.63</v>
      </c>
      <c r="E30" s="48">
        <f t="shared" si="8"/>
        <v>5.98</v>
      </c>
      <c r="F30" s="48">
        <f t="shared" si="8"/>
        <v>0</v>
      </c>
      <c r="G30" s="48">
        <f t="shared" si="8"/>
        <v>0</v>
      </c>
      <c r="H30" s="48">
        <f t="shared" si="8"/>
        <v>14070.4</v>
      </c>
      <c r="I30" s="48">
        <f t="shared" si="8"/>
        <v>284.62999999999994</v>
      </c>
      <c r="J30" s="48">
        <f t="shared" si="8"/>
        <v>14355.03</v>
      </c>
      <c r="K30" s="48">
        <f t="shared" si="8"/>
        <v>37094.97</v>
      </c>
      <c r="L30" s="48">
        <f t="shared" si="8"/>
        <v>-1868.6828571428559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8877.82</v>
      </c>
      <c r="E33" s="41">
        <f t="shared" si="9"/>
        <v>115.34</v>
      </c>
      <c r="F33" s="41">
        <f t="shared" si="9"/>
        <v>3004.3</v>
      </c>
      <c r="G33" s="41">
        <f t="shared" si="9"/>
        <v>216.29999999999998</v>
      </c>
      <c r="H33" s="41">
        <f t="shared" si="9"/>
        <v>74024.099999999991</v>
      </c>
      <c r="I33" s="41">
        <f t="shared" si="9"/>
        <v>1694</v>
      </c>
      <c r="J33" s="41">
        <f t="shared" si="9"/>
        <v>75718.099999999991</v>
      </c>
      <c r="K33" s="41">
        <f t="shared" si="9"/>
        <v>229998.90000000002</v>
      </c>
      <c r="L33" s="41">
        <f t="shared" si="9"/>
        <v>24478.342857142878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D36+F36+'09-15-2022'!H36</f>
        <v>0</v>
      </c>
      <c r="I36" s="13">
        <f>E36+G36+'09-15-2022'!I36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C36-((J36/7)*26)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D37+F37+'09-15-2022'!H37</f>
        <v>0</v>
      </c>
      <c r="I37" s="13">
        <f>E37+G37+'09-15-2022'!I37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D38+F38+'09-15-2022'!H38</f>
        <v>0</v>
      </c>
      <c r="I38" s="13">
        <f>E38+G38+'09-15-2022'!I38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D39+F39+'09-15-2022'!H39</f>
        <v>0</v>
      </c>
      <c r="I39" s="13">
        <f>E39+G39+'09-15-2022'!I39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D40+F40+'09-15-2022'!H40</f>
        <v>0</v>
      </c>
      <c r="I40" s="13">
        <f>E40+G40+'09-15-2022'!I40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34.799999999999997</v>
      </c>
      <c r="E41" s="14">
        <v>0.43</v>
      </c>
      <c r="F41" s="14">
        <v>0</v>
      </c>
      <c r="G41" s="14">
        <v>0</v>
      </c>
      <c r="H41" s="13">
        <f>D41+F41+'09-15-2022'!H41</f>
        <v>1800.4199999999998</v>
      </c>
      <c r="I41" s="13">
        <f>E41+G41+'09-15-2022'!I41</f>
        <v>23.35</v>
      </c>
      <c r="J41" s="13">
        <f t="shared" si="10"/>
        <v>1823.7699999999998</v>
      </c>
      <c r="K41" s="13">
        <f t="shared" si="11"/>
        <v>5676.2300000000005</v>
      </c>
      <c r="L41" s="13">
        <f t="shared" si="12"/>
        <v>725.99714285714344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D42+F42+'09-15-2022'!H42</f>
        <v>0</v>
      </c>
      <c r="I42" s="13">
        <f>E42+G42+'09-15-2022'!I42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D43+F43+'09-15-2022'!H43</f>
        <v>0</v>
      </c>
      <c r="I43" s="13">
        <f>E43+G43+'09-15-2022'!I43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D44+F44+'09-15-2022'!H44</f>
        <v>0</v>
      </c>
      <c r="I44" s="13">
        <f>E44+G44+'09-15-2022'!I44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D45+F45+'09-15-2022'!H45</f>
        <v>0</v>
      </c>
      <c r="I45" s="13">
        <f>E45+G45+'09-15-2022'!I45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771.59</v>
      </c>
      <c r="E46" s="14">
        <v>10.029999999999999</v>
      </c>
      <c r="F46" s="14">
        <v>0</v>
      </c>
      <c r="G46" s="14">
        <v>0</v>
      </c>
      <c r="H46" s="13">
        <f>D46+F46+'09-15-2022'!H46</f>
        <v>1584.4099999999999</v>
      </c>
      <c r="I46" s="13">
        <f>E46+G46+'09-15-2022'!I46</f>
        <v>20.57</v>
      </c>
      <c r="J46" s="13">
        <f t="shared" si="10"/>
        <v>1604.9799999999998</v>
      </c>
      <c r="K46" s="13">
        <f t="shared" si="11"/>
        <v>4416.1000000000004</v>
      </c>
      <c r="L46" s="13">
        <f t="shared" si="12"/>
        <v>59.725714285714275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D47+F47+'09-15-2022'!H47</f>
        <v>2224.5700000000002</v>
      </c>
      <c r="I47" s="13">
        <f>E47+G47+'09-15-2022'!I47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1629.9314285714299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D48+F48+'09-15-2022'!H48</f>
        <v>1085.2</v>
      </c>
      <c r="I48" s="13">
        <f>E48+G48+'09-15-2022'!I48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-2388.6842857142856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v>1686.24</v>
      </c>
      <c r="D49" s="14">
        <v>0</v>
      </c>
      <c r="E49" s="14">
        <v>0</v>
      </c>
      <c r="F49" s="14">
        <v>0</v>
      </c>
      <c r="G49" s="14">
        <v>0</v>
      </c>
      <c r="H49" s="13">
        <f>D49+F49+'09-15-2022'!H49</f>
        <v>1807</v>
      </c>
      <c r="I49" s="13">
        <f>E49+G49+'09-15-2022'!I49</f>
        <v>130.08000000000001</v>
      </c>
      <c r="J49" s="13">
        <f t="shared" si="10"/>
        <v>1937.08</v>
      </c>
      <c r="K49" s="87">
        <f t="shared" si="11"/>
        <v>-250.83999999999992</v>
      </c>
      <c r="L49" s="13">
        <f t="shared" si="12"/>
        <v>-5508.6285714285714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v>3800</v>
      </c>
      <c r="D50" s="14">
        <v>644.30999999999995</v>
      </c>
      <c r="E50" s="14">
        <v>8.3699999999999992</v>
      </c>
      <c r="F50" s="14">
        <v>0</v>
      </c>
      <c r="G50" s="14">
        <v>0</v>
      </c>
      <c r="H50" s="13">
        <f>D50+F50+'09-15-2022'!H50</f>
        <v>1505.31</v>
      </c>
      <c r="I50" s="13">
        <f>E50+G50+'09-15-2022'!I50</f>
        <v>19.54</v>
      </c>
      <c r="J50" s="13">
        <f t="shared" si="10"/>
        <v>1524.85</v>
      </c>
      <c r="K50" s="13">
        <f t="shared" si="11"/>
        <v>2275.15</v>
      </c>
      <c r="L50" s="13">
        <f t="shared" si="12"/>
        <v>-1863.7285714285708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D51+F51+'09-15-2022'!H51</f>
        <v>2480</v>
      </c>
      <c r="I51" s="13">
        <f>E51+G51+'09-15-2022'!I51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-2531.1771428571428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35.520000000000003</v>
      </c>
      <c r="G52" s="14">
        <v>2.5499999999999998</v>
      </c>
      <c r="H52" s="13">
        <f>D52+F52+'09-15-2022'!H52</f>
        <v>1574.72</v>
      </c>
      <c r="I52" s="13">
        <f>E52+G52+'09-15-2022'!I52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-4369.9000000000005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D53+F53+'09-15-2022'!H53</f>
        <v>0</v>
      </c>
      <c r="I53" s="13">
        <f>E53+G53+'09-15-2022'!I53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D54+F54+'09-15-2022'!H54</f>
        <v>0</v>
      </c>
      <c r="I54" s="13">
        <f>E54+G54+'09-15-2022'!I54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312.5</v>
      </c>
      <c r="G55" s="14">
        <v>22.5</v>
      </c>
      <c r="H55" s="13">
        <f>D55+F55+'09-15-2022'!H55</f>
        <v>312.5</v>
      </c>
      <c r="I55" s="13">
        <f>E55+G55+'09-15-2022'!I55</f>
        <v>22.5</v>
      </c>
      <c r="J55" s="13">
        <f t="shared" si="10"/>
        <v>335</v>
      </c>
      <c r="K55" s="13">
        <f t="shared" si="11"/>
        <v>7132.05</v>
      </c>
      <c r="L55" s="13">
        <f t="shared" si="12"/>
        <v>6222.7642857142855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56243.65</v>
      </c>
      <c r="D56" s="10">
        <f t="shared" ref="D56:K56" si="13">SUM(D36:D55)</f>
        <v>1450.6999999999998</v>
      </c>
      <c r="E56" s="10">
        <f t="shared" si="13"/>
        <v>18.829999999999998</v>
      </c>
      <c r="F56" s="10">
        <f t="shared" si="13"/>
        <v>348.02</v>
      </c>
      <c r="G56" s="10">
        <f t="shared" si="13"/>
        <v>25.05</v>
      </c>
      <c r="H56" s="10">
        <f t="shared" si="13"/>
        <v>14374.129999999997</v>
      </c>
      <c r="I56" s="10">
        <f t="shared" si="13"/>
        <v>404.61999999999995</v>
      </c>
      <c r="J56" s="10">
        <f t="shared" si="13"/>
        <v>14778.75</v>
      </c>
      <c r="K56" s="10">
        <f t="shared" si="13"/>
        <v>41464.900000000009</v>
      </c>
      <c r="L56" s="10">
        <f>SUM(L36:L55)</f>
        <v>1351.1500000000015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f>57.75+2275.76</f>
        <v>2333.5100000000002</v>
      </c>
      <c r="E59" s="13">
        <f>0.75+29.58</f>
        <v>30.33</v>
      </c>
      <c r="F59" s="13">
        <v>0</v>
      </c>
      <c r="G59" s="13">
        <v>0</v>
      </c>
      <c r="H59" s="13">
        <f>D59+F59+'09-15-2022'!H59</f>
        <v>9486.02</v>
      </c>
      <c r="I59" s="13">
        <f>E59+G59+'09-15-2022'!I59</f>
        <v>123.25</v>
      </c>
      <c r="J59" s="13">
        <f>H59+I59</f>
        <v>9609.27</v>
      </c>
      <c r="K59" s="13">
        <f>C59-J59</f>
        <v>52973.729999999996</v>
      </c>
      <c r="L59" s="13">
        <f t="shared" ref="L59:L60" si="14">C59-((J59/7)*26)</f>
        <v>26891.42571428571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D60+F60+'09-15-2022'!H60</f>
        <v>0</v>
      </c>
      <c r="I60" s="13">
        <f>E60+G60+'09-15-2022'!I60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 t="shared" ref="D61:L61" si="15">SUM(D59:D60)</f>
        <v>2333.5100000000002</v>
      </c>
      <c r="E61" s="20">
        <f t="shared" si="15"/>
        <v>30.33</v>
      </c>
      <c r="F61" s="20">
        <f t="shared" si="15"/>
        <v>0</v>
      </c>
      <c r="G61" s="20">
        <f t="shared" si="15"/>
        <v>0</v>
      </c>
      <c r="H61" s="20">
        <f t="shared" si="15"/>
        <v>9486.02</v>
      </c>
      <c r="I61" s="20">
        <f t="shared" si="15"/>
        <v>123.25</v>
      </c>
      <c r="J61" s="20">
        <f t="shared" si="15"/>
        <v>9609.27</v>
      </c>
      <c r="K61" s="20">
        <f t="shared" si="15"/>
        <v>53973.729999999996</v>
      </c>
      <c r="L61" s="20">
        <f t="shared" si="15"/>
        <v>27891.42571428571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D64+F64+'09-15-2022'!H64</f>
        <v>0</v>
      </c>
      <c r="I64" s="13">
        <f>E64+G64+'09-15-2022'!I64</f>
        <v>0</v>
      </c>
      <c r="J64" s="13">
        <f>H64+I64</f>
        <v>0</v>
      </c>
      <c r="K64" s="13">
        <f>C64-J64</f>
        <v>0</v>
      </c>
      <c r="L64" s="13">
        <f>C64-((J64/7)*26)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127" spans="13:13" x14ac:dyDescent="0.25">
      <c r="M127" s="2">
        <f>SUM(M34:M125)</f>
        <v>0</v>
      </c>
    </row>
  </sheetData>
  <mergeCells count="20">
    <mergeCell ref="A56:B56"/>
    <mergeCell ref="A5:B5"/>
    <mergeCell ref="A17:B17"/>
    <mergeCell ref="A23:B23"/>
    <mergeCell ref="A30:B30"/>
    <mergeCell ref="A33:B33"/>
    <mergeCell ref="A61:B61"/>
    <mergeCell ref="A65:B65"/>
    <mergeCell ref="A67:F67"/>
    <mergeCell ref="M67:R67"/>
    <mergeCell ref="A68:F68"/>
    <mergeCell ref="M68:R68"/>
    <mergeCell ref="A72:F72"/>
    <mergeCell ref="M72:R72"/>
    <mergeCell ref="A69:F69"/>
    <mergeCell ref="M69:R69"/>
    <mergeCell ref="A70:F70"/>
    <mergeCell ref="M70:R70"/>
    <mergeCell ref="A71:F71"/>
    <mergeCell ref="M71:R71"/>
  </mergeCells>
  <pageMargins left="0.25" right="0" top="0.4" bottom="0" header="0.3" footer="0"/>
  <pageSetup scale="68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7876-1DA6-4368-B821-D87DDCBCE177}">
  <sheetPr>
    <pageSetUpPr fitToPage="1"/>
  </sheetPr>
  <dimension ref="A1:R127"/>
  <sheetViews>
    <sheetView zoomScale="160" zoomScaleNormal="160" workbookViewId="0">
      <pane ySplit="2" topLeftCell="A45" activePane="bottomLeft" state="frozen"/>
      <selection pane="bottomLeft" activeCell="K49" sqref="K49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8.425781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44847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640</v>
      </c>
      <c r="G3" s="14">
        <v>46.07</v>
      </c>
      <c r="H3" s="13">
        <f>D3+F3+'09-29-2022'!H3</f>
        <v>2240</v>
      </c>
      <c r="I3" s="13">
        <f>E3+G3+'09-29-2022'!I3</f>
        <v>161.25</v>
      </c>
      <c r="J3" s="13">
        <f>H3+I3</f>
        <v>2401.25</v>
      </c>
      <c r="K3" s="13">
        <f>C3-J3</f>
        <v>8398.75</v>
      </c>
      <c r="L3" s="13">
        <f>C3-((J3/8)*26)</f>
        <v>2995.9375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120</v>
      </c>
      <c r="E4" s="14">
        <v>1.56</v>
      </c>
      <c r="F4" s="14">
        <v>1440</v>
      </c>
      <c r="G4" s="14">
        <v>103.68</v>
      </c>
      <c r="H4" s="13">
        <f>D4+F4+'09-29-2022'!H4</f>
        <v>1560</v>
      </c>
      <c r="I4" s="13">
        <f>E4+G4+'09-29-2022'!I4</f>
        <v>105.24000000000001</v>
      </c>
      <c r="J4" s="13">
        <f>H4+I4</f>
        <v>1665.24</v>
      </c>
      <c r="K4" s="13">
        <f>C4-J4</f>
        <v>7934.76</v>
      </c>
      <c r="L4" s="13">
        <f>C4-((J4/8)*26)</f>
        <v>4187.97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120</v>
      </c>
      <c r="E5" s="55">
        <f t="shared" si="0"/>
        <v>1.56</v>
      </c>
      <c r="F5" s="55">
        <f t="shared" si="0"/>
        <v>2080</v>
      </c>
      <c r="G5" s="55">
        <f t="shared" si="0"/>
        <v>149.75</v>
      </c>
      <c r="H5" s="55">
        <f t="shared" si="0"/>
        <v>3800</v>
      </c>
      <c r="I5" s="55">
        <f t="shared" si="0"/>
        <v>266.49</v>
      </c>
      <c r="J5" s="55">
        <f t="shared" si="0"/>
        <v>4066.49</v>
      </c>
      <c r="K5" s="55">
        <f t="shared" si="0"/>
        <v>16333.51</v>
      </c>
      <c r="L5" s="55">
        <f t="shared" si="0"/>
        <v>7183.9075000000003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77">
        <v>0</v>
      </c>
      <c r="E8" s="77">
        <v>0</v>
      </c>
      <c r="F8" s="77">
        <v>0</v>
      </c>
      <c r="G8" s="77">
        <v>0</v>
      </c>
      <c r="H8" s="13">
        <f>D8+F8+'09-29-2022'!H8</f>
        <v>0</v>
      </c>
      <c r="I8" s="13">
        <f>E8+G8+'09-29-2022'!I8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C8-((J8/8)*26)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781.68</v>
      </c>
      <c r="E9" s="21">
        <v>10.15</v>
      </c>
      <c r="F9" s="21">
        <v>0</v>
      </c>
      <c r="G9" s="21">
        <v>0</v>
      </c>
      <c r="H9" s="13">
        <f>D9+F9+'09-29-2022'!H9</f>
        <v>5843.99</v>
      </c>
      <c r="I9" s="13">
        <f>E9+G9+'09-29-2022'!I9</f>
        <v>117.63</v>
      </c>
      <c r="J9" s="13">
        <f t="shared" si="1"/>
        <v>5961.62</v>
      </c>
      <c r="K9" s="13">
        <f t="shared" si="2"/>
        <v>18687.38</v>
      </c>
      <c r="L9" s="13">
        <f t="shared" si="3"/>
        <v>5273.7350000000006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v>642.54</v>
      </c>
      <c r="E10" s="21">
        <v>8.34</v>
      </c>
      <c r="F10" s="21">
        <v>1427.2</v>
      </c>
      <c r="G10" s="21">
        <v>102.75</v>
      </c>
      <c r="H10" s="13">
        <f>D10+F10+'09-29-2022'!H10</f>
        <v>12451.6</v>
      </c>
      <c r="I10" s="13">
        <f>E10+G10+'09-29-2022'!I10</f>
        <v>620.58000000000004</v>
      </c>
      <c r="J10" s="13">
        <f t="shared" si="1"/>
        <v>13072.18</v>
      </c>
      <c r="K10" s="13">
        <f t="shared" si="2"/>
        <v>4901.82</v>
      </c>
      <c r="L10" s="13">
        <f t="shared" si="3"/>
        <v>-24510.584999999999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f>-143.64+533.41</f>
        <v>389.77</v>
      </c>
      <c r="E11" s="21">
        <f>-1.86+6.92</f>
        <v>5.0599999999999996</v>
      </c>
      <c r="F11" s="21">
        <v>0</v>
      </c>
      <c r="G11" s="21">
        <v>0</v>
      </c>
      <c r="H11" s="13">
        <f>D11+F11+'09-29-2022'!H11</f>
        <v>2687.74</v>
      </c>
      <c r="I11" s="13">
        <f>E11+G11+'09-29-2022'!I11</f>
        <v>34.910000000000004</v>
      </c>
      <c r="J11" s="13">
        <f t="shared" si="1"/>
        <v>2722.6499999999996</v>
      </c>
      <c r="K11" s="13">
        <f t="shared" si="2"/>
        <v>15251.35</v>
      </c>
      <c r="L11" s="13">
        <f t="shared" si="3"/>
        <v>9125.3875000000007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1018.22</v>
      </c>
      <c r="E12" s="21">
        <v>13.22</v>
      </c>
      <c r="F12" s="21">
        <v>0</v>
      </c>
      <c r="G12" s="21">
        <v>0</v>
      </c>
      <c r="H12" s="13">
        <f>D12+F12+'09-29-2022'!H12</f>
        <v>9764.489999999998</v>
      </c>
      <c r="I12" s="13">
        <f>E12+G12+'09-29-2022'!I12</f>
        <v>126.85000000000001</v>
      </c>
      <c r="J12" s="13">
        <f t="shared" si="1"/>
        <v>9891.3399999999983</v>
      </c>
      <c r="K12" s="13">
        <f t="shared" si="2"/>
        <v>14438.660000000002</v>
      </c>
      <c r="L12" s="13">
        <f t="shared" si="3"/>
        <v>-7816.8549999999959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1722.5</v>
      </c>
      <c r="E13" s="13">
        <v>22.37</v>
      </c>
      <c r="F13" s="13">
        <v>0</v>
      </c>
      <c r="G13" s="13">
        <v>0</v>
      </c>
      <c r="H13" s="13">
        <f>D13+F13+'09-29-2022'!H13</f>
        <v>10658.67</v>
      </c>
      <c r="I13" s="13">
        <f>E13+G13+'09-29-2022'!I13</f>
        <v>138.48000000000002</v>
      </c>
      <c r="J13" s="13">
        <f t="shared" si="1"/>
        <v>10797.15</v>
      </c>
      <c r="K13" s="13">
        <f t="shared" si="2"/>
        <v>23202.85</v>
      </c>
      <c r="L13" s="13">
        <f t="shared" si="3"/>
        <v>-1090.7374999999956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1743.14</v>
      </c>
      <c r="E14" s="13">
        <v>22.63</v>
      </c>
      <c r="F14" s="13">
        <v>150</v>
      </c>
      <c r="G14" s="13">
        <v>10.8</v>
      </c>
      <c r="H14" s="13">
        <f>D14+F14+'09-29-2022'!H14</f>
        <v>14049.129999999997</v>
      </c>
      <c r="I14" s="13">
        <f>E14+G14+'09-29-2022'!I14</f>
        <v>225.25</v>
      </c>
      <c r="J14" s="13">
        <f t="shared" si="1"/>
        <v>14274.379999999997</v>
      </c>
      <c r="K14" s="13">
        <f t="shared" si="2"/>
        <v>28466.620000000003</v>
      </c>
      <c r="L14" s="13">
        <f t="shared" si="3"/>
        <v>-3650.7349999999933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630.6</v>
      </c>
      <c r="E15" s="21">
        <v>8.19</v>
      </c>
      <c r="F15" s="21">
        <v>0</v>
      </c>
      <c r="G15" s="21">
        <v>0</v>
      </c>
      <c r="H15" s="13">
        <f>D15+F15+'09-29-2022'!H15</f>
        <v>3823.7599999999998</v>
      </c>
      <c r="I15" s="13">
        <f>E15+G15+'09-29-2022'!I15</f>
        <v>49.66</v>
      </c>
      <c r="J15" s="13">
        <f t="shared" si="1"/>
        <v>3873.4199999999996</v>
      </c>
      <c r="K15" s="13">
        <f t="shared" si="2"/>
        <v>20299.580000000002</v>
      </c>
      <c r="L15" s="13">
        <f t="shared" si="3"/>
        <v>11584.385000000002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149.94999999999999</v>
      </c>
      <c r="E16" s="21">
        <v>1.94</v>
      </c>
      <c r="F16" s="21">
        <v>0</v>
      </c>
      <c r="G16" s="21">
        <v>0</v>
      </c>
      <c r="H16" s="13">
        <f>D16+F16+'09-29-2022'!H16</f>
        <v>937.31000000000017</v>
      </c>
      <c r="I16" s="13">
        <f>E16+G16+'09-29-2022'!I16</f>
        <v>13.899999999999999</v>
      </c>
      <c r="J16" s="13">
        <f t="shared" si="1"/>
        <v>951.21000000000015</v>
      </c>
      <c r="K16" s="13">
        <f t="shared" si="2"/>
        <v>5048.79</v>
      </c>
      <c r="L16" s="13">
        <f t="shared" si="3"/>
        <v>2908.5674999999997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7078.4000000000005</v>
      </c>
      <c r="E17" s="55">
        <f t="shared" si="4"/>
        <v>91.899999999999991</v>
      </c>
      <c r="F17" s="55">
        <f t="shared" si="4"/>
        <v>1577.2</v>
      </c>
      <c r="G17" s="55">
        <f t="shared" si="4"/>
        <v>113.55</v>
      </c>
      <c r="H17" s="55">
        <f t="shared" si="4"/>
        <v>60216.689999999995</v>
      </c>
      <c r="I17" s="55">
        <f t="shared" si="4"/>
        <v>1327.2600000000002</v>
      </c>
      <c r="J17" s="55">
        <f t="shared" si="4"/>
        <v>61543.94999999999</v>
      </c>
      <c r="K17" s="55">
        <f t="shared" si="4"/>
        <v>133214.04999999999</v>
      </c>
      <c r="L17" s="55">
        <f t="shared" si="4"/>
        <v>-5259.8374999999814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D20+F20+'09-29-2022'!H20</f>
        <v>0</v>
      </c>
      <c r="I20" s="13">
        <f>E20+G20+'09-29-2022'!I20</f>
        <v>0</v>
      </c>
      <c r="J20" s="13">
        <f>H20+I20</f>
        <v>0</v>
      </c>
      <c r="K20" s="13">
        <f>C20-J20</f>
        <v>2109</v>
      </c>
      <c r="L20" s="13">
        <f t="shared" ref="L20:L22" si="5">C20-((J20/8)*26)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871.04</v>
      </c>
      <c r="E21" s="14">
        <v>11.3</v>
      </c>
      <c r="F21" s="14">
        <v>712.96</v>
      </c>
      <c r="G21" s="14">
        <v>51.32</v>
      </c>
      <c r="H21" s="13">
        <f>D21+F21+'09-29-2022'!H21</f>
        <v>8376.61</v>
      </c>
      <c r="I21" s="13">
        <f>E21+G21+'09-29-2022'!I21</f>
        <v>235</v>
      </c>
      <c r="J21" s="13">
        <f>H21+I21</f>
        <v>8611.61</v>
      </c>
      <c r="K21" s="13">
        <f>C21-J21</f>
        <v>16388.39</v>
      </c>
      <c r="L21" s="13">
        <f t="shared" si="5"/>
        <v>-2987.7325000000019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D22+F22+'09-29-2022'!H22</f>
        <v>0</v>
      </c>
      <c r="I22" s="13">
        <f>E22+G22+'09-29-2022'!I22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871.04</v>
      </c>
      <c r="E23" s="10">
        <f t="shared" si="6"/>
        <v>11.3</v>
      </c>
      <c r="F23" s="10">
        <f t="shared" si="6"/>
        <v>712.96</v>
      </c>
      <c r="G23" s="10">
        <f t="shared" si="6"/>
        <v>51.32</v>
      </c>
      <c r="H23" s="10">
        <f t="shared" si="6"/>
        <v>8376.61</v>
      </c>
      <c r="I23" s="10">
        <f t="shared" si="6"/>
        <v>235</v>
      </c>
      <c r="J23" s="10">
        <f t="shared" si="6"/>
        <v>8611.61</v>
      </c>
      <c r="K23" s="10">
        <f t="shared" si="6"/>
        <v>30497.39</v>
      </c>
      <c r="L23" s="10">
        <f t="shared" si="6"/>
        <v>11121.267499999998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259.38</v>
      </c>
      <c r="E26" s="14">
        <v>3.37</v>
      </c>
      <c r="F26" s="14">
        <v>0</v>
      </c>
      <c r="G26" s="14">
        <v>0</v>
      </c>
      <c r="H26" s="13">
        <f>D26+F26+'09-29-2022'!H26</f>
        <v>3012.53</v>
      </c>
      <c r="I26" s="13">
        <f>E26+G26+'09-29-2022'!I26</f>
        <v>89.83</v>
      </c>
      <c r="J26" s="13">
        <f>H26+I26</f>
        <v>3102.36</v>
      </c>
      <c r="K26" s="13">
        <f>C26-J26</f>
        <v>11897.64</v>
      </c>
      <c r="L26" s="13">
        <f t="shared" ref="L26:L29" si="7">C26-((J26/8)*26)</f>
        <v>4917.33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D27+F27+'09-29-2022'!H27</f>
        <v>0</v>
      </c>
      <c r="I27" s="13">
        <f>E27+G27+'09-29-2022'!I27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330</v>
      </c>
      <c r="E28" s="21">
        <v>4.28</v>
      </c>
      <c r="F28" s="21">
        <v>0</v>
      </c>
      <c r="G28" s="21">
        <v>0</v>
      </c>
      <c r="H28" s="13">
        <f>D28+F28+'09-29-2022'!H28</f>
        <v>11647.25</v>
      </c>
      <c r="I28" s="13">
        <f>E28+G28+'09-29-2022'!I28</f>
        <v>202.44999999999996</v>
      </c>
      <c r="J28" s="13">
        <f>H28+I28</f>
        <v>11849.7</v>
      </c>
      <c r="K28" s="13">
        <f>C28-J28</f>
        <v>13150.3</v>
      </c>
      <c r="L28" s="13">
        <f t="shared" si="7"/>
        <v>-13511.525000000001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D29+F29+'09-29-2022'!H29</f>
        <v>0</v>
      </c>
      <c r="I29" s="13">
        <f>E29+G29+'09-29-2022'!I29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589.38</v>
      </c>
      <c r="E30" s="48">
        <f t="shared" si="8"/>
        <v>7.65</v>
      </c>
      <c r="F30" s="48">
        <f t="shared" si="8"/>
        <v>0</v>
      </c>
      <c r="G30" s="48">
        <f t="shared" si="8"/>
        <v>0</v>
      </c>
      <c r="H30" s="48">
        <f t="shared" si="8"/>
        <v>14659.78</v>
      </c>
      <c r="I30" s="48">
        <f t="shared" si="8"/>
        <v>292.27999999999997</v>
      </c>
      <c r="J30" s="48">
        <f t="shared" si="8"/>
        <v>14952.060000000001</v>
      </c>
      <c r="K30" s="48">
        <f t="shared" si="8"/>
        <v>36497.94</v>
      </c>
      <c r="L30" s="48">
        <f t="shared" si="8"/>
        <v>2855.8049999999985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8658.82</v>
      </c>
      <c r="E33" s="41">
        <f t="shared" si="9"/>
        <v>112.41</v>
      </c>
      <c r="F33" s="41">
        <f t="shared" si="9"/>
        <v>4370.16</v>
      </c>
      <c r="G33" s="41">
        <f t="shared" si="9"/>
        <v>314.62</v>
      </c>
      <c r="H33" s="41">
        <f t="shared" si="9"/>
        <v>87053.079999999987</v>
      </c>
      <c r="I33" s="41">
        <f t="shared" si="9"/>
        <v>2121.0300000000002</v>
      </c>
      <c r="J33" s="41">
        <f t="shared" si="9"/>
        <v>89174.11</v>
      </c>
      <c r="K33" s="41">
        <f t="shared" si="9"/>
        <v>216542.89</v>
      </c>
      <c r="L33" s="41">
        <f t="shared" si="9"/>
        <v>15901.142500000016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D36+F36+'09-29-2022'!H36</f>
        <v>0</v>
      </c>
      <c r="I36" s="13">
        <f>E36+G36+'09-29-2022'!I36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C36-((J36/8)*26)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D37+F37+'09-29-2022'!H37</f>
        <v>0</v>
      </c>
      <c r="I37" s="13">
        <f>E37+G37+'09-29-2022'!I37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D38+F38+'09-29-2022'!H38</f>
        <v>0</v>
      </c>
      <c r="I38" s="13">
        <f>E38+G38+'09-29-2022'!I38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D39+F39+'09-29-2022'!H39</f>
        <v>0</v>
      </c>
      <c r="I39" s="13">
        <f>E39+G39+'09-29-2022'!I39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D40+F40+'09-29-2022'!H40</f>
        <v>0</v>
      </c>
      <c r="I40" s="13">
        <f>E40+G40+'09-29-2022'!I40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0</v>
      </c>
      <c r="E41" s="14">
        <v>0</v>
      </c>
      <c r="F41" s="14">
        <v>0</v>
      </c>
      <c r="G41" s="14">
        <v>0</v>
      </c>
      <c r="H41" s="13">
        <f>D41+F41+'09-29-2022'!H41</f>
        <v>1800.4199999999998</v>
      </c>
      <c r="I41" s="13">
        <f>E41+G41+'09-29-2022'!I41</f>
        <v>23.35</v>
      </c>
      <c r="J41" s="13">
        <f t="shared" si="10"/>
        <v>1823.7699999999998</v>
      </c>
      <c r="K41" s="13">
        <f t="shared" si="11"/>
        <v>5676.2300000000005</v>
      </c>
      <c r="L41" s="13">
        <f t="shared" si="12"/>
        <v>1572.7475000000004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D42+F42+'09-29-2022'!H42</f>
        <v>0</v>
      </c>
      <c r="I42" s="13">
        <f>E42+G42+'09-29-2022'!I42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D43+F43+'09-29-2022'!H43</f>
        <v>0</v>
      </c>
      <c r="I43" s="13">
        <f>E43+G43+'09-29-2022'!I43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D44+F44+'09-29-2022'!H44</f>
        <v>0</v>
      </c>
      <c r="I44" s="13">
        <f>E44+G44+'09-29-2022'!I44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D45+F45+'09-29-2022'!H45</f>
        <v>0</v>
      </c>
      <c r="I45" s="13">
        <f>E45+G45+'09-29-2022'!I45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147.25</v>
      </c>
      <c r="E46" s="14">
        <v>1.9</v>
      </c>
      <c r="F46" s="14">
        <v>0</v>
      </c>
      <c r="G46" s="14">
        <v>0</v>
      </c>
      <c r="H46" s="13">
        <f>D46+F46+'09-29-2022'!H46</f>
        <v>1731.6599999999999</v>
      </c>
      <c r="I46" s="13">
        <f>E46+G46+'09-29-2022'!I46</f>
        <v>22.47</v>
      </c>
      <c r="J46" s="13">
        <f t="shared" si="10"/>
        <v>1754.1299999999999</v>
      </c>
      <c r="K46" s="13">
        <f t="shared" si="11"/>
        <v>4266.95</v>
      </c>
      <c r="L46" s="13">
        <f t="shared" si="12"/>
        <v>320.15750000000025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D47+F47+'09-29-2022'!H47</f>
        <v>2224.5700000000002</v>
      </c>
      <c r="I47" s="13">
        <f>E47+G47+'09-29-2022'!I47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2676.1899999999996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D48+F48+'09-29-2022'!H48</f>
        <v>1085.2</v>
      </c>
      <c r="I48" s="13">
        <f>E48+G48+'09-29-2022'!I48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-1878.2949999999998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v>1686.24</v>
      </c>
      <c r="D49" s="14">
        <v>0</v>
      </c>
      <c r="E49" s="14">
        <v>0</v>
      </c>
      <c r="F49" s="14">
        <v>0</v>
      </c>
      <c r="G49" s="14">
        <v>0</v>
      </c>
      <c r="H49" s="13">
        <f>D49+F49+'09-29-2022'!H49</f>
        <v>1807</v>
      </c>
      <c r="I49" s="13">
        <f>E49+G49+'09-29-2022'!I49</f>
        <v>130.08000000000001</v>
      </c>
      <c r="J49" s="13">
        <f t="shared" si="10"/>
        <v>1937.08</v>
      </c>
      <c r="K49" s="87">
        <f t="shared" si="11"/>
        <v>-250.83999999999992</v>
      </c>
      <c r="L49" s="13">
        <f t="shared" si="12"/>
        <v>-4609.2700000000004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v>3800</v>
      </c>
      <c r="D50" s="14">
        <v>665.42</v>
      </c>
      <c r="E50" s="14">
        <v>8.64</v>
      </c>
      <c r="F50" s="14">
        <v>0</v>
      </c>
      <c r="G50" s="14">
        <v>0</v>
      </c>
      <c r="H50" s="13">
        <f>D50+F50+'09-29-2022'!H50</f>
        <v>2170.73</v>
      </c>
      <c r="I50" s="13">
        <f>E50+G50+'09-29-2022'!I50</f>
        <v>28.18</v>
      </c>
      <c r="J50" s="13">
        <f t="shared" si="10"/>
        <v>2198.91</v>
      </c>
      <c r="K50" s="13">
        <f t="shared" si="11"/>
        <v>1601.0900000000001</v>
      </c>
      <c r="L50" s="13">
        <f t="shared" si="12"/>
        <v>-3346.4574999999995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D51+F51+'09-29-2022'!H51</f>
        <v>2480</v>
      </c>
      <c r="I51" s="13">
        <f>E51+G51+'09-29-2022'!I51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-1364.7799999999988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D52+F52+'09-29-2022'!H52</f>
        <v>1574.72</v>
      </c>
      <c r="I52" s="13">
        <f>E52+G52+'09-29-2022'!I52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-3586.1624999999995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D53+F53+'09-29-2022'!H53</f>
        <v>0</v>
      </c>
      <c r="I53" s="13">
        <f>E53+G53+'09-29-2022'!I53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D54+F54+'09-29-2022'!H54</f>
        <v>0</v>
      </c>
      <c r="I54" s="13">
        <f>E54+G54+'09-29-2022'!I54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250</v>
      </c>
      <c r="G55" s="14">
        <v>18</v>
      </c>
      <c r="H55" s="13">
        <f>D55+F55+'09-29-2022'!H55</f>
        <v>562.5</v>
      </c>
      <c r="I55" s="13">
        <f>E55+G55+'09-29-2022'!I55</f>
        <v>40.5</v>
      </c>
      <c r="J55" s="13">
        <f t="shared" si="10"/>
        <v>603</v>
      </c>
      <c r="K55" s="13">
        <f t="shared" si="11"/>
        <v>6864.05</v>
      </c>
      <c r="L55" s="13">
        <f t="shared" si="12"/>
        <v>5507.3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56243.65</v>
      </c>
      <c r="D56" s="10">
        <f t="shared" ref="D56:K56" si="13">SUM(D36:D55)</f>
        <v>812.67</v>
      </c>
      <c r="E56" s="10">
        <f t="shared" si="13"/>
        <v>10.540000000000001</v>
      </c>
      <c r="F56" s="10">
        <f t="shared" si="13"/>
        <v>250</v>
      </c>
      <c r="G56" s="10">
        <f t="shared" si="13"/>
        <v>18</v>
      </c>
      <c r="H56" s="10">
        <f t="shared" si="13"/>
        <v>15436.799999999997</v>
      </c>
      <c r="I56" s="10">
        <f t="shared" si="13"/>
        <v>433.15999999999997</v>
      </c>
      <c r="J56" s="10">
        <f t="shared" si="13"/>
        <v>15869.959999999997</v>
      </c>
      <c r="K56" s="10">
        <f t="shared" si="13"/>
        <v>40373.69</v>
      </c>
      <c r="L56" s="10">
        <f>SUM(L36:L55)</f>
        <v>4666.2800000000016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1960.41</v>
      </c>
      <c r="E59" s="13">
        <v>25.47</v>
      </c>
      <c r="F59" s="13">
        <v>0</v>
      </c>
      <c r="G59" s="13">
        <v>0</v>
      </c>
      <c r="H59" s="13">
        <f>D59+F59+'09-29-2022'!H59</f>
        <v>11446.43</v>
      </c>
      <c r="I59" s="13">
        <f>E59+G59+'09-29-2022'!I59</f>
        <v>148.72</v>
      </c>
      <c r="J59" s="13">
        <f>H59+I59</f>
        <v>11595.15</v>
      </c>
      <c r="K59" s="13">
        <f>C59-J59</f>
        <v>50987.85</v>
      </c>
      <c r="L59" s="13">
        <f t="shared" ref="L59:L60" si="14">C59-((J59/8)*26)</f>
        <v>24898.762500000004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D60+F60+'09-29-2022'!H60</f>
        <v>0</v>
      </c>
      <c r="I60" s="13">
        <f>E60+G60+'09-29-2022'!I60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 t="shared" ref="D61:L61" si="15">SUM(D59:D60)</f>
        <v>1960.41</v>
      </c>
      <c r="E61" s="20">
        <f t="shared" si="15"/>
        <v>25.47</v>
      </c>
      <c r="F61" s="20">
        <f t="shared" si="15"/>
        <v>0</v>
      </c>
      <c r="G61" s="20">
        <f t="shared" si="15"/>
        <v>0</v>
      </c>
      <c r="H61" s="20">
        <f t="shared" si="15"/>
        <v>11446.43</v>
      </c>
      <c r="I61" s="20">
        <f t="shared" si="15"/>
        <v>148.72</v>
      </c>
      <c r="J61" s="20">
        <f t="shared" si="15"/>
        <v>11595.15</v>
      </c>
      <c r="K61" s="20">
        <f t="shared" si="15"/>
        <v>51987.85</v>
      </c>
      <c r="L61" s="20">
        <f t="shared" si="15"/>
        <v>25898.762500000004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D64+F64+'09-29-2022'!H64</f>
        <v>0</v>
      </c>
      <c r="I64" s="13">
        <f>E64+G64+'09-29-2022'!I64</f>
        <v>0</v>
      </c>
      <c r="J64" s="13">
        <f>H64+I64</f>
        <v>0</v>
      </c>
      <c r="K64" s="13">
        <f>C64-J64</f>
        <v>0</v>
      </c>
      <c r="L64" s="13">
        <f>C64-((J64/8)*26)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127" spans="13:13" x14ac:dyDescent="0.25">
      <c r="M127" s="2">
        <f>SUM(M34:M125)</f>
        <v>0</v>
      </c>
    </row>
  </sheetData>
  <mergeCells count="20">
    <mergeCell ref="A72:F72"/>
    <mergeCell ref="M72:R72"/>
    <mergeCell ref="A69:F69"/>
    <mergeCell ref="M69:R69"/>
    <mergeCell ref="A70:F70"/>
    <mergeCell ref="M70:R70"/>
    <mergeCell ref="A71:F71"/>
    <mergeCell ref="M71:R71"/>
    <mergeCell ref="A61:B61"/>
    <mergeCell ref="A65:B65"/>
    <mergeCell ref="A67:F67"/>
    <mergeCell ref="M67:R67"/>
    <mergeCell ref="A68:F68"/>
    <mergeCell ref="M68:R68"/>
    <mergeCell ref="A56:B56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9C497-3034-45BF-AB6E-58DB77E4E9AD}">
  <sheetPr>
    <pageSetUpPr fitToPage="1"/>
  </sheetPr>
  <dimension ref="A1:R127"/>
  <sheetViews>
    <sheetView zoomScale="160" zoomScaleNormal="160" workbookViewId="0">
      <pane ySplit="2" topLeftCell="A47" activePane="bottomLeft" state="frozen"/>
      <selection pane="bottomLeft" activeCell="K49" sqref="K49"/>
    </sheetView>
  </sheetViews>
  <sheetFormatPr defaultColWidth="28" defaultRowHeight="15" x14ac:dyDescent="0.25"/>
  <cols>
    <col min="1" max="1" width="36.42578125" style="1" customWidth="1"/>
    <col min="2" max="2" width="18.7109375" style="1" bestFit="1" customWidth="1"/>
    <col min="3" max="3" width="11.140625" style="4" bestFit="1" customWidth="1"/>
    <col min="4" max="4" width="8.42578125" style="3" bestFit="1" customWidth="1"/>
    <col min="5" max="5" width="6.28515625" style="3" bestFit="1" customWidth="1"/>
    <col min="6" max="6" width="9" style="3" bestFit="1" customWidth="1"/>
    <col min="7" max="7" width="8.7109375" style="3" bestFit="1" customWidth="1"/>
    <col min="8" max="8" width="9.28515625" style="3" bestFit="1" customWidth="1"/>
    <col min="9" max="9" width="9.42578125" style="3" bestFit="1" customWidth="1"/>
    <col min="10" max="10" width="9.7109375" style="3" bestFit="1" customWidth="1"/>
    <col min="11" max="11" width="9.28515625" style="3" bestFit="1" customWidth="1"/>
    <col min="12" max="12" width="13.42578125" style="3" bestFit="1" customWidth="1"/>
    <col min="13" max="13" width="17.85546875" style="2" customWidth="1"/>
    <col min="14" max="16384" width="28" style="1"/>
  </cols>
  <sheetData>
    <row r="1" spans="1:13" ht="11.25" customHeight="1" x14ac:dyDescent="0.25">
      <c r="A1" s="71"/>
      <c r="B1" s="70"/>
      <c r="C1" s="69"/>
      <c r="D1" s="68"/>
      <c r="E1" s="68"/>
      <c r="F1" s="68"/>
      <c r="G1" s="68"/>
      <c r="H1" s="68"/>
      <c r="I1" s="68"/>
      <c r="J1" s="68"/>
      <c r="K1" s="68"/>
      <c r="L1" s="72">
        <v>44861</v>
      </c>
      <c r="M1" s="73"/>
    </row>
    <row r="2" spans="1:13" ht="23.25" x14ac:dyDescent="0.25">
      <c r="A2" s="67" t="s">
        <v>69</v>
      </c>
      <c r="B2" s="67" t="s">
        <v>68</v>
      </c>
      <c r="C2" s="66" t="s">
        <v>67</v>
      </c>
      <c r="D2" s="66" t="s">
        <v>66</v>
      </c>
      <c r="E2" s="66" t="s">
        <v>64</v>
      </c>
      <c r="F2" s="66" t="s">
        <v>65</v>
      </c>
      <c r="G2" s="66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5" t="s">
        <v>59</v>
      </c>
    </row>
    <row r="3" spans="1:13" s="49" customFormat="1" ht="11.25" customHeight="1" x14ac:dyDescent="0.25">
      <c r="A3" s="58" t="s">
        <v>58</v>
      </c>
      <c r="B3" s="51">
        <v>55400000</v>
      </c>
      <c r="C3" s="13">
        <v>10800</v>
      </c>
      <c r="D3" s="14">
        <v>0</v>
      </c>
      <c r="E3" s="14">
        <v>0</v>
      </c>
      <c r="F3" s="14">
        <v>648</v>
      </c>
      <c r="G3" s="14">
        <v>46.65</v>
      </c>
      <c r="H3" s="13">
        <f>D3+F3+'10-13-2022'!H3</f>
        <v>2888</v>
      </c>
      <c r="I3" s="13">
        <f>E3+G3+'10-13-2022'!I3</f>
        <v>207.9</v>
      </c>
      <c r="J3" s="13">
        <f>H3+I3</f>
        <v>3095.9</v>
      </c>
      <c r="K3" s="13">
        <f>C3-J3</f>
        <v>7704.1</v>
      </c>
      <c r="L3" s="13">
        <f>C3-((J3/9)*26)</f>
        <v>1856.2888888888883</v>
      </c>
      <c r="M3" s="50"/>
    </row>
    <row r="4" spans="1:13" s="49" customFormat="1" ht="10.9" customHeight="1" x14ac:dyDescent="0.25">
      <c r="A4" s="37" t="s">
        <v>57</v>
      </c>
      <c r="B4" s="34">
        <v>55110100</v>
      </c>
      <c r="C4" s="29">
        <v>9600</v>
      </c>
      <c r="D4" s="14">
        <v>0</v>
      </c>
      <c r="E4" s="14">
        <v>0</v>
      </c>
      <c r="F4" s="14">
        <v>1610</v>
      </c>
      <c r="G4" s="14">
        <v>115.92</v>
      </c>
      <c r="H4" s="13">
        <f>D4+F4+'10-13-2022'!H4</f>
        <v>3170</v>
      </c>
      <c r="I4" s="13">
        <f>E4+G4+'10-13-2022'!I4</f>
        <v>221.16000000000003</v>
      </c>
      <c r="J4" s="13">
        <f>H4+I4</f>
        <v>3391.16</v>
      </c>
      <c r="K4" s="13">
        <f>C4-J4</f>
        <v>6208.84</v>
      </c>
      <c r="L4" s="13">
        <f>C4-((J4/9)*26)</f>
        <v>-196.68444444444503</v>
      </c>
      <c r="M4" s="40"/>
    </row>
    <row r="5" spans="1:13" ht="21.6" customHeight="1" thickBot="1" x14ac:dyDescent="0.3">
      <c r="A5" s="94" t="s">
        <v>73</v>
      </c>
      <c r="B5" s="95"/>
      <c r="C5" s="55">
        <f>SUM(C3:C4)</f>
        <v>20400</v>
      </c>
      <c r="D5" s="55">
        <f t="shared" ref="D5:L5" si="0">SUM(D3:D4)</f>
        <v>0</v>
      </c>
      <c r="E5" s="55">
        <f t="shared" si="0"/>
        <v>0</v>
      </c>
      <c r="F5" s="55">
        <f t="shared" si="0"/>
        <v>2258</v>
      </c>
      <c r="G5" s="55">
        <f t="shared" si="0"/>
        <v>162.57</v>
      </c>
      <c r="H5" s="55">
        <f t="shared" si="0"/>
        <v>6058</v>
      </c>
      <c r="I5" s="55">
        <f t="shared" si="0"/>
        <v>429.06000000000006</v>
      </c>
      <c r="J5" s="55">
        <f t="shared" si="0"/>
        <v>6487.0599999999995</v>
      </c>
      <c r="K5" s="55">
        <f t="shared" si="0"/>
        <v>13912.94</v>
      </c>
      <c r="L5" s="55">
        <f t="shared" si="0"/>
        <v>1659.6044444444433</v>
      </c>
    </row>
    <row r="6" spans="1:13" ht="11.25" customHeight="1" x14ac:dyDescent="0.25">
      <c r="A6" s="57"/>
      <c r="B6" s="46"/>
      <c r="C6" s="45"/>
      <c r="D6" s="45"/>
      <c r="E6" s="45"/>
      <c r="F6" s="45"/>
      <c r="G6" s="45"/>
      <c r="H6" s="45"/>
      <c r="I6" s="45"/>
      <c r="J6" s="45"/>
      <c r="K6" s="45"/>
      <c r="L6" s="54"/>
    </row>
    <row r="7" spans="1:13" ht="11.25" customHeight="1" thickBot="1" x14ac:dyDescent="0.3">
      <c r="A7" s="44"/>
      <c r="B7" s="43"/>
      <c r="C7" s="42"/>
      <c r="D7" s="42"/>
      <c r="E7" s="42"/>
      <c r="F7" s="42"/>
      <c r="G7" s="42"/>
      <c r="H7" s="42"/>
      <c r="I7" s="42"/>
      <c r="J7" s="42"/>
      <c r="K7" s="42"/>
      <c r="L7" s="53"/>
    </row>
    <row r="8" spans="1:13" s="11" customFormat="1" ht="11.25" customHeight="1" x14ac:dyDescent="0.25">
      <c r="A8" s="64" t="s">
        <v>54</v>
      </c>
      <c r="B8" s="15">
        <v>55010500</v>
      </c>
      <c r="C8" s="13">
        <v>2917</v>
      </c>
      <c r="D8" s="14">
        <v>0</v>
      </c>
      <c r="E8" s="14">
        <v>0</v>
      </c>
      <c r="F8" s="14">
        <v>0</v>
      </c>
      <c r="G8" s="14">
        <v>0</v>
      </c>
      <c r="H8" s="13">
        <f>D8+F8+'10-13-2022'!H8</f>
        <v>0</v>
      </c>
      <c r="I8" s="13">
        <f>E8+G8+'10-13-2022'!I8</f>
        <v>0</v>
      </c>
      <c r="J8" s="13">
        <f t="shared" ref="J8:J16" si="1">H8+I8</f>
        <v>0</v>
      </c>
      <c r="K8" s="13">
        <f t="shared" ref="K8:K16" si="2">C8-J8</f>
        <v>2917</v>
      </c>
      <c r="L8" s="13">
        <f t="shared" ref="L8:L16" si="3">C8-((J8/9)*26)</f>
        <v>2917</v>
      </c>
      <c r="M8" s="28"/>
    </row>
    <row r="9" spans="1:13" s="11" customFormat="1" ht="11.25" customHeight="1" x14ac:dyDescent="0.25">
      <c r="A9" s="63" t="s">
        <v>53</v>
      </c>
      <c r="B9" s="62">
        <v>55020200</v>
      </c>
      <c r="C9" s="13">
        <v>24649</v>
      </c>
      <c r="D9" s="21">
        <v>765.38</v>
      </c>
      <c r="E9" s="21">
        <v>9.94</v>
      </c>
      <c r="F9" s="21">
        <v>0</v>
      </c>
      <c r="G9" s="21">
        <v>0</v>
      </c>
      <c r="H9" s="13">
        <f>D9+F9+'10-13-2022'!H9</f>
        <v>6609.37</v>
      </c>
      <c r="I9" s="13">
        <f>E9+G9+'10-13-2022'!I9</f>
        <v>127.57</v>
      </c>
      <c r="J9" s="13">
        <f t="shared" si="1"/>
        <v>6736.94</v>
      </c>
      <c r="K9" s="13">
        <f t="shared" si="2"/>
        <v>17912.060000000001</v>
      </c>
      <c r="L9" s="13">
        <f t="shared" si="3"/>
        <v>5186.7288888888907</v>
      </c>
      <c r="M9" s="12"/>
    </row>
    <row r="10" spans="1:13" s="11" customFormat="1" ht="11.25" customHeight="1" x14ac:dyDescent="0.25">
      <c r="A10" s="16" t="s">
        <v>52</v>
      </c>
      <c r="B10" s="15">
        <v>55020300</v>
      </c>
      <c r="C10" s="13">
        <v>17974</v>
      </c>
      <c r="D10" s="21">
        <f>80.8+973.17</f>
        <v>1053.97</v>
      </c>
      <c r="E10" s="21">
        <f>1.05+12.65</f>
        <v>13.700000000000001</v>
      </c>
      <c r="F10" s="21">
        <v>1266.6400000000001</v>
      </c>
      <c r="G10" s="21">
        <v>91.19</v>
      </c>
      <c r="H10" s="13">
        <f>D10+F10+'10-13-2022'!H10</f>
        <v>14772.210000000001</v>
      </c>
      <c r="I10" s="13">
        <f>E10+G10+'10-13-2022'!I10</f>
        <v>725.47</v>
      </c>
      <c r="J10" s="13">
        <f t="shared" si="1"/>
        <v>15497.68</v>
      </c>
      <c r="K10" s="13">
        <f t="shared" si="2"/>
        <v>2476.3199999999997</v>
      </c>
      <c r="L10" s="13">
        <f t="shared" si="3"/>
        <v>-26797.075555555559</v>
      </c>
      <c r="M10" s="12"/>
    </row>
    <row r="11" spans="1:13" s="11" customFormat="1" ht="11.25" customHeight="1" x14ac:dyDescent="0.25">
      <c r="A11" s="16" t="s">
        <v>51</v>
      </c>
      <c r="B11" s="15">
        <v>55020400</v>
      </c>
      <c r="C11" s="13">
        <v>17974</v>
      </c>
      <c r="D11" s="21">
        <v>665.48</v>
      </c>
      <c r="E11" s="21">
        <v>8.65</v>
      </c>
      <c r="F11" s="21">
        <v>0</v>
      </c>
      <c r="G11" s="21">
        <v>0</v>
      </c>
      <c r="H11" s="13">
        <f>D11+F11+'10-13-2022'!H11</f>
        <v>3353.22</v>
      </c>
      <c r="I11" s="13">
        <f>E11+G11+'10-13-2022'!I11</f>
        <v>43.56</v>
      </c>
      <c r="J11" s="13">
        <f t="shared" si="1"/>
        <v>3396.7799999999997</v>
      </c>
      <c r="K11" s="13">
        <f t="shared" si="2"/>
        <v>14577.220000000001</v>
      </c>
      <c r="L11" s="13">
        <f t="shared" si="3"/>
        <v>8161.0800000000017</v>
      </c>
      <c r="M11" s="12"/>
    </row>
    <row r="12" spans="1:13" s="11" customFormat="1" ht="11.25" customHeight="1" x14ac:dyDescent="0.25">
      <c r="A12" s="61" t="s">
        <v>50</v>
      </c>
      <c r="B12" s="15">
        <v>55030200</v>
      </c>
      <c r="C12" s="13">
        <v>24330</v>
      </c>
      <c r="D12" s="21">
        <v>1070.92</v>
      </c>
      <c r="E12" s="21">
        <v>13.92</v>
      </c>
      <c r="F12" s="21">
        <v>0</v>
      </c>
      <c r="G12" s="21">
        <v>0</v>
      </c>
      <c r="H12" s="13">
        <f>D12+F12+'10-13-2022'!H12</f>
        <v>10835.409999999998</v>
      </c>
      <c r="I12" s="13">
        <f>E12+G12+'10-13-2022'!I12</f>
        <v>140.77000000000001</v>
      </c>
      <c r="J12" s="13">
        <f t="shared" si="1"/>
        <v>10976.179999999998</v>
      </c>
      <c r="K12" s="13">
        <f t="shared" si="2"/>
        <v>13353.820000000002</v>
      </c>
      <c r="L12" s="13">
        <f t="shared" si="3"/>
        <v>-7378.9644444444421</v>
      </c>
      <c r="M12" s="59"/>
    </row>
    <row r="13" spans="1:13" s="11" customFormat="1" ht="11.25" customHeight="1" x14ac:dyDescent="0.25">
      <c r="A13" s="16" t="s">
        <v>49</v>
      </c>
      <c r="B13" s="51">
        <v>55050200</v>
      </c>
      <c r="C13" s="13">
        <v>34000</v>
      </c>
      <c r="D13" s="13">
        <v>1961.22</v>
      </c>
      <c r="E13" s="13">
        <v>25.49</v>
      </c>
      <c r="F13" s="13">
        <v>0</v>
      </c>
      <c r="G13" s="13">
        <v>0</v>
      </c>
      <c r="H13" s="13">
        <f>D13+F13+'10-13-2022'!H13</f>
        <v>12619.89</v>
      </c>
      <c r="I13" s="13">
        <f>E13+G13+'10-13-2022'!I13</f>
        <v>163.97000000000003</v>
      </c>
      <c r="J13" s="13">
        <f t="shared" si="1"/>
        <v>12783.859999999999</v>
      </c>
      <c r="K13" s="13">
        <f t="shared" si="2"/>
        <v>21216.14</v>
      </c>
      <c r="L13" s="13">
        <f t="shared" si="3"/>
        <v>-2931.1511111111031</v>
      </c>
      <c r="M13" s="60"/>
    </row>
    <row r="14" spans="1:13" s="30" customFormat="1" ht="11.25" customHeight="1" x14ac:dyDescent="0.25">
      <c r="A14" s="16" t="s">
        <v>48</v>
      </c>
      <c r="B14" s="15">
        <v>55070100</v>
      </c>
      <c r="C14" s="13">
        <v>42741</v>
      </c>
      <c r="D14" s="13">
        <v>2004.58</v>
      </c>
      <c r="E14" s="13">
        <v>26.04</v>
      </c>
      <c r="F14" s="13">
        <v>0</v>
      </c>
      <c r="G14" s="13">
        <v>0</v>
      </c>
      <c r="H14" s="13">
        <f>D14+F14+'10-13-2022'!H14</f>
        <v>16053.709999999997</v>
      </c>
      <c r="I14" s="13">
        <f>E14+G14+'10-13-2022'!I14</f>
        <v>251.29</v>
      </c>
      <c r="J14" s="13">
        <f t="shared" si="1"/>
        <v>16304.999999999998</v>
      </c>
      <c r="K14" s="13">
        <f t="shared" si="2"/>
        <v>26436</v>
      </c>
      <c r="L14" s="13">
        <f t="shared" si="3"/>
        <v>-4362.3333333333285</v>
      </c>
      <c r="M14" s="60"/>
    </row>
    <row r="15" spans="1:13" s="11" customFormat="1" ht="11.25" customHeight="1" x14ac:dyDescent="0.25">
      <c r="A15" s="16" t="s">
        <v>47</v>
      </c>
      <c r="B15" s="15">
        <v>55080100</v>
      </c>
      <c r="C15" s="13">
        <v>24173</v>
      </c>
      <c r="D15" s="21">
        <v>560.45000000000005</v>
      </c>
      <c r="E15" s="21">
        <v>7.28</v>
      </c>
      <c r="F15" s="21">
        <v>0</v>
      </c>
      <c r="G15" s="21">
        <v>0</v>
      </c>
      <c r="H15" s="13">
        <f>D15+F15+'10-13-2022'!H15</f>
        <v>4384.21</v>
      </c>
      <c r="I15" s="13">
        <f>E15+G15+'10-13-2022'!I15</f>
        <v>56.94</v>
      </c>
      <c r="J15" s="13">
        <f t="shared" si="1"/>
        <v>4441.1499999999996</v>
      </c>
      <c r="K15" s="13">
        <f t="shared" si="2"/>
        <v>19731.849999999999</v>
      </c>
      <c r="L15" s="13">
        <f t="shared" si="3"/>
        <v>11343.011111111113</v>
      </c>
      <c r="M15" s="59"/>
    </row>
    <row r="16" spans="1:13" s="49" customFormat="1" ht="11.25" customHeight="1" x14ac:dyDescent="0.25">
      <c r="A16" s="58" t="s">
        <v>46</v>
      </c>
      <c r="B16" s="51">
        <v>55190000</v>
      </c>
      <c r="C16" s="13">
        <v>6000</v>
      </c>
      <c r="D16" s="21">
        <v>151.63</v>
      </c>
      <c r="E16" s="21">
        <v>1.97</v>
      </c>
      <c r="F16" s="21">
        <v>0</v>
      </c>
      <c r="G16" s="21">
        <v>0</v>
      </c>
      <c r="H16" s="13">
        <f>D16+F16+'10-13-2022'!H16</f>
        <v>1088.94</v>
      </c>
      <c r="I16" s="13">
        <f>E16+G16+'10-13-2022'!I16</f>
        <v>15.87</v>
      </c>
      <c r="J16" s="13">
        <f t="shared" si="1"/>
        <v>1104.81</v>
      </c>
      <c r="K16" s="13">
        <f t="shared" si="2"/>
        <v>4895.1900000000005</v>
      </c>
      <c r="L16" s="13">
        <f t="shared" si="3"/>
        <v>2808.3266666666668</v>
      </c>
      <c r="M16" s="50"/>
    </row>
    <row r="17" spans="1:13" ht="21.6" customHeight="1" thickBot="1" x14ac:dyDescent="0.3">
      <c r="A17" s="96" t="s">
        <v>72</v>
      </c>
      <c r="B17" s="97"/>
      <c r="C17" s="55">
        <f>SUM(C8:C16)</f>
        <v>194758</v>
      </c>
      <c r="D17" s="55">
        <f t="shared" ref="D17:L17" si="4">SUM(D8:D16)</f>
        <v>8233.6299999999992</v>
      </c>
      <c r="E17" s="55">
        <f t="shared" si="4"/>
        <v>106.99000000000001</v>
      </c>
      <c r="F17" s="55">
        <f t="shared" si="4"/>
        <v>1266.6400000000001</v>
      </c>
      <c r="G17" s="55">
        <f t="shared" si="4"/>
        <v>91.19</v>
      </c>
      <c r="H17" s="55">
        <f t="shared" si="4"/>
        <v>69716.960000000006</v>
      </c>
      <c r="I17" s="55">
        <f t="shared" si="4"/>
        <v>1525.4399999999998</v>
      </c>
      <c r="J17" s="55">
        <f t="shared" si="4"/>
        <v>71242.39999999998</v>
      </c>
      <c r="K17" s="55">
        <f t="shared" si="4"/>
        <v>123515.6</v>
      </c>
      <c r="L17" s="55">
        <f t="shared" si="4"/>
        <v>-11053.377777777761</v>
      </c>
    </row>
    <row r="18" spans="1:13" ht="11.25" customHeight="1" x14ac:dyDescent="0.25">
      <c r="A18" s="57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54"/>
      <c r="M18" s="56"/>
    </row>
    <row r="19" spans="1:13" ht="11.25" customHeight="1" thickBot="1" x14ac:dyDescent="0.3">
      <c r="A19" s="44"/>
      <c r="B19" s="43"/>
      <c r="C19" s="42"/>
      <c r="D19" s="42"/>
      <c r="E19" s="42"/>
      <c r="F19" s="42"/>
      <c r="G19" s="42"/>
      <c r="H19" s="42"/>
      <c r="I19" s="42"/>
      <c r="J19" s="42"/>
      <c r="K19" s="42"/>
      <c r="L19" s="53"/>
    </row>
    <row r="20" spans="1:13" s="11" customFormat="1" ht="11.25" customHeight="1" x14ac:dyDescent="0.25">
      <c r="A20" s="16" t="s">
        <v>45</v>
      </c>
      <c r="B20" s="15">
        <v>55030100</v>
      </c>
      <c r="C20" s="13">
        <v>2109</v>
      </c>
      <c r="D20" s="14">
        <v>0</v>
      </c>
      <c r="E20" s="14">
        <v>0</v>
      </c>
      <c r="F20" s="14">
        <v>0</v>
      </c>
      <c r="G20" s="14">
        <v>0</v>
      </c>
      <c r="H20" s="13">
        <f>D20+F20+'10-13-2022'!H20</f>
        <v>0</v>
      </c>
      <c r="I20" s="13">
        <f>E20+G20+'10-13-2022'!I20</f>
        <v>0</v>
      </c>
      <c r="J20" s="13">
        <f>H20+I20</f>
        <v>0</v>
      </c>
      <c r="K20" s="13">
        <f>C20-J20</f>
        <v>2109</v>
      </c>
      <c r="L20" s="13">
        <f t="shared" ref="L20:L22" si="5">C20-((J20/9)*26)</f>
        <v>2109</v>
      </c>
      <c r="M20" s="12"/>
    </row>
    <row r="21" spans="1:13" s="11" customFormat="1" ht="11.45" customHeight="1" x14ac:dyDescent="0.25">
      <c r="A21" s="16" t="s">
        <v>44</v>
      </c>
      <c r="B21" s="15">
        <v>55160100</v>
      </c>
      <c r="C21" s="21">
        <v>25000</v>
      </c>
      <c r="D21" s="14">
        <v>1057.08</v>
      </c>
      <c r="E21" s="14">
        <v>13.74</v>
      </c>
      <c r="F21" s="14">
        <v>712.96</v>
      </c>
      <c r="G21" s="14">
        <v>51.33</v>
      </c>
      <c r="H21" s="13">
        <f>D21+F21+'10-13-2022'!H21</f>
        <v>10146.650000000001</v>
      </c>
      <c r="I21" s="13">
        <f>E21+G21+'10-13-2022'!I21</f>
        <v>300.07</v>
      </c>
      <c r="J21" s="13">
        <f>H21+I21</f>
        <v>10446.720000000001</v>
      </c>
      <c r="K21" s="13">
        <f>C21-J21</f>
        <v>14553.279999999999</v>
      </c>
      <c r="L21" s="13">
        <f t="shared" si="5"/>
        <v>-5179.4133333333375</v>
      </c>
      <c r="M21" s="12"/>
    </row>
    <row r="22" spans="1:13" s="11" customFormat="1" ht="11.45" customHeight="1" x14ac:dyDescent="0.25">
      <c r="A22" s="52" t="s">
        <v>43</v>
      </c>
      <c r="B22" s="51">
        <v>55100100</v>
      </c>
      <c r="C22" s="13">
        <v>12000</v>
      </c>
      <c r="D22" s="14">
        <v>0</v>
      </c>
      <c r="E22" s="14">
        <v>0</v>
      </c>
      <c r="F22" s="14">
        <v>0</v>
      </c>
      <c r="G22" s="14">
        <v>0</v>
      </c>
      <c r="H22" s="13">
        <f>D22+F22+'10-13-2022'!H22</f>
        <v>0</v>
      </c>
      <c r="I22" s="13">
        <f>E22+G22+'10-13-2022'!I22</f>
        <v>0</v>
      </c>
      <c r="J22" s="13">
        <f>H22+I22</f>
        <v>0</v>
      </c>
      <c r="K22" s="13">
        <f>C22-J22</f>
        <v>12000</v>
      </c>
      <c r="L22" s="13">
        <f t="shared" si="5"/>
        <v>12000</v>
      </c>
      <c r="M22" s="12"/>
    </row>
    <row r="23" spans="1:13" ht="21.6" customHeight="1" thickBot="1" x14ac:dyDescent="0.3">
      <c r="A23" s="96" t="s">
        <v>42</v>
      </c>
      <c r="B23" s="97"/>
      <c r="C23" s="10">
        <f t="shared" ref="C23:L23" si="6">SUM(C20:C22)</f>
        <v>39109</v>
      </c>
      <c r="D23" s="10">
        <f t="shared" si="6"/>
        <v>1057.08</v>
      </c>
      <c r="E23" s="10">
        <f t="shared" si="6"/>
        <v>13.74</v>
      </c>
      <c r="F23" s="10">
        <f t="shared" si="6"/>
        <v>712.96</v>
      </c>
      <c r="G23" s="10">
        <f t="shared" si="6"/>
        <v>51.33</v>
      </c>
      <c r="H23" s="10">
        <f t="shared" si="6"/>
        <v>10146.650000000001</v>
      </c>
      <c r="I23" s="10">
        <f t="shared" si="6"/>
        <v>300.07</v>
      </c>
      <c r="J23" s="10">
        <f t="shared" si="6"/>
        <v>10446.720000000001</v>
      </c>
      <c r="K23" s="10">
        <f t="shared" si="6"/>
        <v>28662.28</v>
      </c>
      <c r="L23" s="10">
        <f t="shared" si="6"/>
        <v>8929.5866666666625</v>
      </c>
    </row>
    <row r="24" spans="1:13" ht="11.25" customHeight="1" x14ac:dyDescent="0.25">
      <c r="A24" s="47"/>
      <c r="B24" s="46"/>
      <c r="C24" s="45"/>
      <c r="D24" s="45"/>
      <c r="E24" s="45"/>
      <c r="F24" s="45"/>
      <c r="G24" s="45"/>
      <c r="H24" s="45"/>
      <c r="I24" s="45"/>
      <c r="J24" s="45"/>
      <c r="K24" s="45"/>
      <c r="L24" s="54"/>
    </row>
    <row r="25" spans="1:13" ht="11.25" customHeight="1" thickBot="1" x14ac:dyDescent="0.3">
      <c r="A25" s="44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53"/>
    </row>
    <row r="26" spans="1:13" s="11" customFormat="1" ht="11.25" customHeight="1" x14ac:dyDescent="0.25">
      <c r="A26" s="64" t="s">
        <v>55</v>
      </c>
      <c r="B26" s="15">
        <v>55010000</v>
      </c>
      <c r="C26" s="13">
        <v>15000</v>
      </c>
      <c r="D26" s="14">
        <v>218.75</v>
      </c>
      <c r="E26" s="14">
        <v>2.84</v>
      </c>
      <c r="F26" s="14">
        <v>0</v>
      </c>
      <c r="G26" s="14">
        <v>0</v>
      </c>
      <c r="H26" s="13">
        <f>D26+F26+'10-13-2022'!H26</f>
        <v>3231.28</v>
      </c>
      <c r="I26" s="13">
        <f>E26+G26+'10-13-2022'!I26</f>
        <v>92.67</v>
      </c>
      <c r="J26" s="13">
        <f>H26+I26</f>
        <v>3323.9500000000003</v>
      </c>
      <c r="K26" s="13">
        <f>C26-J26</f>
        <v>11676.05</v>
      </c>
      <c r="L26" s="13">
        <f t="shared" ref="L26:L29" si="7">C26-((J26/9)*26)</f>
        <v>5397.4777777777781</v>
      </c>
      <c r="M26" s="12"/>
    </row>
    <row r="27" spans="1:13" s="11" customFormat="1" ht="11.25" customHeight="1" x14ac:dyDescent="0.25">
      <c r="A27" s="16" t="s">
        <v>56</v>
      </c>
      <c r="B27" s="15">
        <v>55010601</v>
      </c>
      <c r="C27" s="13">
        <v>6450</v>
      </c>
      <c r="D27" s="14">
        <v>0</v>
      </c>
      <c r="E27" s="14">
        <v>0</v>
      </c>
      <c r="F27" s="14">
        <v>0</v>
      </c>
      <c r="G27" s="14">
        <v>0</v>
      </c>
      <c r="H27" s="13">
        <f>D27+F27+'10-13-2022'!H27</f>
        <v>0</v>
      </c>
      <c r="I27" s="13">
        <f>E27+G27+'10-13-2022'!I27</f>
        <v>0</v>
      </c>
      <c r="J27" s="13">
        <f>H27+I27</f>
        <v>0</v>
      </c>
      <c r="K27" s="13">
        <f>C27-J27</f>
        <v>6450</v>
      </c>
      <c r="L27" s="13">
        <f t="shared" si="7"/>
        <v>6450</v>
      </c>
      <c r="M27" s="12"/>
    </row>
    <row r="28" spans="1:13" s="49" customFormat="1" ht="11.45" customHeight="1" x14ac:dyDescent="0.25">
      <c r="A28" s="52" t="s">
        <v>41</v>
      </c>
      <c r="B28" s="51">
        <v>55200000</v>
      </c>
      <c r="C28" s="13">
        <v>25000</v>
      </c>
      <c r="D28" s="21">
        <v>607.5</v>
      </c>
      <c r="E28" s="21">
        <v>7.89</v>
      </c>
      <c r="F28" s="21">
        <v>0</v>
      </c>
      <c r="G28" s="21">
        <v>0</v>
      </c>
      <c r="H28" s="13">
        <f>D28+F28+'10-13-2022'!H28</f>
        <v>12254.75</v>
      </c>
      <c r="I28" s="13">
        <f>E28+G28+'10-13-2022'!I28</f>
        <v>210.33999999999995</v>
      </c>
      <c r="J28" s="13">
        <f>H28+I28</f>
        <v>12465.09</v>
      </c>
      <c r="K28" s="13">
        <f>C28-J28</f>
        <v>12534.91</v>
      </c>
      <c r="L28" s="13">
        <f t="shared" si="7"/>
        <v>-11010.260000000002</v>
      </c>
      <c r="M28" s="39"/>
    </row>
    <row r="29" spans="1:13" s="49" customFormat="1" ht="11.45" customHeight="1" x14ac:dyDescent="0.25">
      <c r="A29" s="75" t="s">
        <v>71</v>
      </c>
      <c r="B29" s="76">
        <v>55010100</v>
      </c>
      <c r="C29" s="29">
        <v>5000</v>
      </c>
      <c r="D29" s="14">
        <v>0</v>
      </c>
      <c r="E29" s="14">
        <v>0</v>
      </c>
      <c r="F29" s="14">
        <v>0</v>
      </c>
      <c r="G29" s="14">
        <v>0</v>
      </c>
      <c r="H29" s="13">
        <f>D29+F29+'10-13-2022'!H29</f>
        <v>0</v>
      </c>
      <c r="I29" s="13">
        <f>E29+G29+'10-13-2022'!I29</f>
        <v>0</v>
      </c>
      <c r="J29" s="13">
        <f>H29+I29</f>
        <v>0</v>
      </c>
      <c r="K29" s="13">
        <f>C29-J29</f>
        <v>5000</v>
      </c>
      <c r="L29" s="13">
        <f t="shared" si="7"/>
        <v>5000</v>
      </c>
      <c r="M29" s="39"/>
    </row>
    <row r="30" spans="1:13" ht="24.75" customHeight="1" thickBot="1" x14ac:dyDescent="0.3">
      <c r="A30" s="98" t="s">
        <v>74</v>
      </c>
      <c r="B30" s="99"/>
      <c r="C30" s="48">
        <f>SUM(C26:C29)</f>
        <v>51450</v>
      </c>
      <c r="D30" s="48">
        <f t="shared" ref="D30:L30" si="8">SUM(D26:D29)</f>
        <v>826.25</v>
      </c>
      <c r="E30" s="48">
        <f t="shared" si="8"/>
        <v>10.73</v>
      </c>
      <c r="F30" s="48">
        <f t="shared" si="8"/>
        <v>0</v>
      </c>
      <c r="G30" s="48">
        <f t="shared" si="8"/>
        <v>0</v>
      </c>
      <c r="H30" s="48">
        <f t="shared" si="8"/>
        <v>15486.03</v>
      </c>
      <c r="I30" s="48">
        <f t="shared" si="8"/>
        <v>303.00999999999993</v>
      </c>
      <c r="J30" s="48">
        <f t="shared" si="8"/>
        <v>15789.04</v>
      </c>
      <c r="K30" s="48">
        <f t="shared" si="8"/>
        <v>35660.959999999999</v>
      </c>
      <c r="L30" s="48">
        <f t="shared" si="8"/>
        <v>5837.2177777777761</v>
      </c>
    </row>
    <row r="31" spans="1:13" ht="11.25" customHeight="1" x14ac:dyDescent="0.25">
      <c r="A31" s="47"/>
      <c r="B31" s="46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3" ht="11.25" customHeight="1" thickBot="1" x14ac:dyDescent="0.3">
      <c r="A32" s="44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3" ht="21.6" customHeight="1" x14ac:dyDescent="0.25">
      <c r="A33" s="100" t="s">
        <v>40</v>
      </c>
      <c r="B33" s="100"/>
      <c r="C33" s="41">
        <f>C17+C23+C30+C5</f>
        <v>305717</v>
      </c>
      <c r="D33" s="41">
        <f t="shared" ref="D33:L33" si="9">D17+D23+D30+D5</f>
        <v>10116.959999999999</v>
      </c>
      <c r="E33" s="41">
        <f t="shared" si="9"/>
        <v>131.46</v>
      </c>
      <c r="F33" s="41">
        <f t="shared" si="9"/>
        <v>4237.6000000000004</v>
      </c>
      <c r="G33" s="41">
        <f t="shared" si="9"/>
        <v>305.08999999999997</v>
      </c>
      <c r="H33" s="41">
        <f t="shared" si="9"/>
        <v>101407.64000000001</v>
      </c>
      <c r="I33" s="41">
        <f t="shared" si="9"/>
        <v>2557.5799999999995</v>
      </c>
      <c r="J33" s="41">
        <f t="shared" si="9"/>
        <v>103965.21999999997</v>
      </c>
      <c r="K33" s="41">
        <f t="shared" si="9"/>
        <v>201751.78</v>
      </c>
      <c r="L33" s="41">
        <f t="shared" si="9"/>
        <v>5373.0311111111205</v>
      </c>
    </row>
    <row r="34" spans="1:13" ht="10.9" customHeight="1" x14ac:dyDescent="0.25">
      <c r="A34" s="19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3" ht="11.25" customHeight="1" x14ac:dyDescent="0.25">
      <c r="A35" s="19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3" s="38" customFormat="1" ht="11.25" customHeight="1" x14ac:dyDescent="0.25">
      <c r="A36" s="37" t="s">
        <v>39</v>
      </c>
      <c r="B36" s="15" t="s">
        <v>38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13">
        <f>D36+F36+'10-13-2022'!H36</f>
        <v>0</v>
      </c>
      <c r="I36" s="13">
        <f>E36+G36+'10-13-2022'!I36</f>
        <v>0</v>
      </c>
      <c r="J36" s="13">
        <f t="shared" ref="J36:J55" si="10">H36+I36</f>
        <v>0</v>
      </c>
      <c r="K36" s="13">
        <f t="shared" ref="K36:K55" si="11">C36-J36</f>
        <v>0</v>
      </c>
      <c r="L36" s="13">
        <f t="shared" ref="L36:L55" si="12">C36-((J36/9)*26)</f>
        <v>0</v>
      </c>
      <c r="M36" s="40"/>
    </row>
    <row r="37" spans="1:13" s="38" customFormat="1" ht="11.25" customHeight="1" x14ac:dyDescent="0.25">
      <c r="A37" s="37" t="s">
        <v>37</v>
      </c>
      <c r="B37" s="34" t="s">
        <v>36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13">
        <f>D37+F37+'10-13-2022'!H37</f>
        <v>0</v>
      </c>
      <c r="I37" s="13">
        <f>E37+G37+'10-13-2022'!I37</f>
        <v>0</v>
      </c>
      <c r="J37" s="13">
        <f t="shared" si="10"/>
        <v>0</v>
      </c>
      <c r="K37" s="13">
        <f t="shared" si="11"/>
        <v>0</v>
      </c>
      <c r="L37" s="13">
        <f t="shared" si="12"/>
        <v>0</v>
      </c>
      <c r="M37" s="39"/>
    </row>
    <row r="38" spans="1:13" s="32" customFormat="1" ht="11.25" customHeight="1" x14ac:dyDescent="0.25">
      <c r="A38" s="37" t="s">
        <v>35</v>
      </c>
      <c r="B38" s="15" t="s">
        <v>34</v>
      </c>
      <c r="C38" s="77">
        <v>0</v>
      </c>
      <c r="D38" s="77">
        <v>0</v>
      </c>
      <c r="E38" s="77">
        <v>0</v>
      </c>
      <c r="F38" s="77">
        <v>0</v>
      </c>
      <c r="G38" s="77">
        <v>0</v>
      </c>
      <c r="H38" s="13">
        <f>D38+F38+'10-13-2022'!H38</f>
        <v>0</v>
      </c>
      <c r="I38" s="13">
        <f>E38+G38+'10-13-2022'!I38</f>
        <v>0</v>
      </c>
      <c r="J38" s="13">
        <f t="shared" si="10"/>
        <v>0</v>
      </c>
      <c r="K38" s="13">
        <f t="shared" si="11"/>
        <v>0</v>
      </c>
      <c r="L38" s="13">
        <f t="shared" si="12"/>
        <v>0</v>
      </c>
      <c r="M38" s="35"/>
    </row>
    <row r="39" spans="1:13" s="32" customFormat="1" ht="11.25" customHeight="1" x14ac:dyDescent="0.25">
      <c r="A39" s="27" t="s">
        <v>33</v>
      </c>
      <c r="B39" s="86" t="s">
        <v>32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13">
        <f>D39+F39+'10-13-2022'!H39</f>
        <v>0</v>
      </c>
      <c r="I39" s="13">
        <f>E39+G39+'10-13-2022'!I39</f>
        <v>0</v>
      </c>
      <c r="J39" s="13">
        <f t="shared" si="10"/>
        <v>0</v>
      </c>
      <c r="K39" s="13">
        <f t="shared" si="11"/>
        <v>0</v>
      </c>
      <c r="L39" s="13">
        <f t="shared" si="12"/>
        <v>0</v>
      </c>
      <c r="M39" s="36"/>
    </row>
    <row r="40" spans="1:13" s="32" customFormat="1" ht="11.45" customHeight="1" x14ac:dyDescent="0.25">
      <c r="A40" s="27" t="s">
        <v>31</v>
      </c>
      <c r="B40" s="86" t="s">
        <v>30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13">
        <f>D40+F40+'10-13-2022'!H40</f>
        <v>0</v>
      </c>
      <c r="I40" s="13">
        <f>E40+G40+'10-13-2022'!I40</f>
        <v>0</v>
      </c>
      <c r="J40" s="13">
        <f t="shared" si="10"/>
        <v>0</v>
      </c>
      <c r="K40" s="13">
        <f t="shared" si="11"/>
        <v>0</v>
      </c>
      <c r="L40" s="13">
        <f t="shared" si="12"/>
        <v>0</v>
      </c>
      <c r="M40" s="35"/>
    </row>
    <row r="41" spans="1:13" s="30" customFormat="1" ht="11.45" customHeight="1" x14ac:dyDescent="0.2">
      <c r="A41" s="27" t="s">
        <v>29</v>
      </c>
      <c r="B41" s="86" t="s">
        <v>28</v>
      </c>
      <c r="C41" s="13">
        <f>2500+5000</f>
        <v>7500</v>
      </c>
      <c r="D41" s="14">
        <v>23.2</v>
      </c>
      <c r="E41" s="14">
        <v>0.3</v>
      </c>
      <c r="F41" s="14"/>
      <c r="G41" s="14"/>
      <c r="H41" s="13">
        <f>D41+F41+'10-13-2022'!H41</f>
        <v>1823.62</v>
      </c>
      <c r="I41" s="13">
        <f>E41+G41+'10-13-2022'!I41</f>
        <v>23.650000000000002</v>
      </c>
      <c r="J41" s="13">
        <f t="shared" si="10"/>
        <v>1847.27</v>
      </c>
      <c r="K41" s="13">
        <f t="shared" si="11"/>
        <v>5652.73</v>
      </c>
      <c r="L41" s="13">
        <f t="shared" si="12"/>
        <v>2163.442222222222</v>
      </c>
      <c r="M41" s="24"/>
    </row>
    <row r="42" spans="1:13" s="32" customFormat="1" ht="11.25" customHeight="1" x14ac:dyDescent="0.2">
      <c r="A42" s="27" t="s">
        <v>27</v>
      </c>
      <c r="B42" s="34" t="s">
        <v>26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13">
        <f>D42+F42+'10-13-2022'!H42</f>
        <v>0</v>
      </c>
      <c r="I42" s="13">
        <f>E42+G42+'10-13-2022'!I42</f>
        <v>0</v>
      </c>
      <c r="J42" s="21">
        <f t="shared" si="10"/>
        <v>0</v>
      </c>
      <c r="K42" s="33">
        <f t="shared" si="11"/>
        <v>0</v>
      </c>
      <c r="L42" s="13">
        <f t="shared" si="12"/>
        <v>0</v>
      </c>
      <c r="M42" s="24"/>
    </row>
    <row r="43" spans="1:13" s="32" customFormat="1" ht="11.25" hidden="1" customHeight="1" x14ac:dyDescent="0.2">
      <c r="A43" s="27" t="s">
        <v>25</v>
      </c>
      <c r="B43" s="34">
        <v>55110100</v>
      </c>
      <c r="C43" s="77">
        <v>0</v>
      </c>
      <c r="D43" s="77">
        <v>0</v>
      </c>
      <c r="E43" s="77">
        <v>0</v>
      </c>
      <c r="F43" s="77">
        <v>0</v>
      </c>
      <c r="G43" s="77">
        <v>0</v>
      </c>
      <c r="H43" s="13">
        <f>D43+F43+'10-13-2022'!H43</f>
        <v>0</v>
      </c>
      <c r="I43" s="13">
        <f>E43+G43+'10-13-2022'!I43</f>
        <v>0</v>
      </c>
      <c r="J43" s="21">
        <f t="shared" si="10"/>
        <v>0</v>
      </c>
      <c r="K43" s="33">
        <f t="shared" si="11"/>
        <v>0</v>
      </c>
      <c r="L43" s="13">
        <f t="shared" si="12"/>
        <v>0</v>
      </c>
      <c r="M43" s="24"/>
    </row>
    <row r="44" spans="1:13" s="32" customFormat="1" ht="11.25" customHeight="1" x14ac:dyDescent="0.2">
      <c r="A44" s="27" t="s">
        <v>24</v>
      </c>
      <c r="B44" s="86" t="s">
        <v>23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13">
        <f>D44+F44+'10-13-2022'!H44</f>
        <v>0</v>
      </c>
      <c r="I44" s="13">
        <f>E44+G44+'10-13-2022'!I44</f>
        <v>0</v>
      </c>
      <c r="J44" s="13">
        <f t="shared" si="10"/>
        <v>0</v>
      </c>
      <c r="K44" s="33">
        <f t="shared" si="11"/>
        <v>0</v>
      </c>
      <c r="L44" s="13">
        <f t="shared" si="12"/>
        <v>0</v>
      </c>
      <c r="M44" s="24"/>
    </row>
    <row r="45" spans="1:13" s="30" customFormat="1" ht="11.45" customHeight="1" x14ac:dyDescent="0.25">
      <c r="A45" s="27" t="s">
        <v>22</v>
      </c>
      <c r="B45" s="86" t="s">
        <v>21</v>
      </c>
      <c r="C45" s="13">
        <v>2770.95</v>
      </c>
      <c r="D45" s="14">
        <v>0</v>
      </c>
      <c r="E45" s="14">
        <v>0</v>
      </c>
      <c r="F45" s="14">
        <v>0</v>
      </c>
      <c r="G45" s="14">
        <v>0</v>
      </c>
      <c r="H45" s="13">
        <f>D45+F45+'10-13-2022'!H45</f>
        <v>0</v>
      </c>
      <c r="I45" s="13">
        <f>E45+G45+'10-13-2022'!I45</f>
        <v>0</v>
      </c>
      <c r="J45" s="13">
        <f t="shared" si="10"/>
        <v>0</v>
      </c>
      <c r="K45" s="13">
        <f t="shared" si="11"/>
        <v>2770.95</v>
      </c>
      <c r="L45" s="13">
        <f t="shared" si="12"/>
        <v>2770.95</v>
      </c>
      <c r="M45" s="28"/>
    </row>
    <row r="46" spans="1:13" s="30" customFormat="1" ht="11.45" customHeight="1" x14ac:dyDescent="0.25">
      <c r="A46" s="27" t="s">
        <v>20</v>
      </c>
      <c r="B46" s="86" t="s">
        <v>19</v>
      </c>
      <c r="C46" s="13">
        <v>6021.08</v>
      </c>
      <c r="D46" s="14">
        <v>859.94</v>
      </c>
      <c r="E46" s="14">
        <v>11.17</v>
      </c>
      <c r="F46" s="14">
        <v>0</v>
      </c>
      <c r="G46" s="14">
        <v>0</v>
      </c>
      <c r="H46" s="13">
        <f>D46+F46+'10-13-2022'!H46</f>
        <v>2591.6</v>
      </c>
      <c r="I46" s="13">
        <f>E46+G46+'10-13-2022'!I46</f>
        <v>33.64</v>
      </c>
      <c r="J46" s="13">
        <f t="shared" si="10"/>
        <v>2625.24</v>
      </c>
      <c r="K46" s="13">
        <f t="shared" si="11"/>
        <v>3395.84</v>
      </c>
      <c r="L46" s="13">
        <f t="shared" si="12"/>
        <v>-1562.9466666666667</v>
      </c>
      <c r="M46" s="28"/>
    </row>
    <row r="47" spans="1:13" s="30" customFormat="1" ht="11.45" customHeight="1" x14ac:dyDescent="0.2">
      <c r="A47" s="27" t="s">
        <v>18</v>
      </c>
      <c r="B47" s="31" t="s">
        <v>16</v>
      </c>
      <c r="C47" s="13">
        <v>10000</v>
      </c>
      <c r="D47" s="14">
        <v>0</v>
      </c>
      <c r="E47" s="14">
        <v>0</v>
      </c>
      <c r="F47" s="14">
        <v>0</v>
      </c>
      <c r="G47" s="14">
        <v>0</v>
      </c>
      <c r="H47" s="13">
        <f>D47+F47+'10-13-2022'!H47</f>
        <v>2224.5700000000002</v>
      </c>
      <c r="I47" s="13">
        <f>E47+G47+'10-13-2022'!I47</f>
        <v>28.909999999999997</v>
      </c>
      <c r="J47" s="13">
        <f t="shared" si="10"/>
        <v>2253.48</v>
      </c>
      <c r="K47" s="13">
        <f t="shared" si="11"/>
        <v>7746.52</v>
      </c>
      <c r="L47" s="13">
        <f t="shared" si="12"/>
        <v>3489.9466666666667</v>
      </c>
      <c r="M47" s="24"/>
    </row>
    <row r="48" spans="1:13" s="30" customFormat="1" ht="11.45" customHeight="1" x14ac:dyDescent="0.2">
      <c r="A48" s="27" t="s">
        <v>17</v>
      </c>
      <c r="B48" s="31" t="s">
        <v>16</v>
      </c>
      <c r="C48" s="13">
        <f>294.43+700+700</f>
        <v>1694.43</v>
      </c>
      <c r="D48" s="14">
        <v>0</v>
      </c>
      <c r="E48" s="14">
        <v>0</v>
      </c>
      <c r="F48" s="14">
        <v>0</v>
      </c>
      <c r="G48" s="14">
        <v>0</v>
      </c>
      <c r="H48" s="13">
        <f>D48+F48+'10-13-2022'!H48</f>
        <v>1085.2</v>
      </c>
      <c r="I48" s="13">
        <f>E48+G48+'10-13-2022'!I48</f>
        <v>14.1</v>
      </c>
      <c r="J48" s="13">
        <f t="shared" si="10"/>
        <v>1099.3</v>
      </c>
      <c r="K48" s="13">
        <f t="shared" si="11"/>
        <v>595.13000000000011</v>
      </c>
      <c r="L48" s="13">
        <f t="shared" si="12"/>
        <v>-1481.3255555555554</v>
      </c>
      <c r="M48" s="24"/>
    </row>
    <row r="49" spans="1:13" s="23" customFormat="1" ht="11.25" customHeight="1" x14ac:dyDescent="0.25">
      <c r="A49" s="27" t="s">
        <v>15</v>
      </c>
      <c r="B49" s="86" t="s">
        <v>14</v>
      </c>
      <c r="C49" s="13">
        <v>1686.24</v>
      </c>
      <c r="D49" s="14">
        <v>0</v>
      </c>
      <c r="E49" s="14">
        <v>0</v>
      </c>
      <c r="F49" s="14">
        <v>0</v>
      </c>
      <c r="G49" s="14">
        <v>0</v>
      </c>
      <c r="H49" s="13">
        <f>D49+F49+'10-13-2022'!H49</f>
        <v>1807</v>
      </c>
      <c r="I49" s="13">
        <f>E49+G49+'10-13-2022'!I49</f>
        <v>130.08000000000001</v>
      </c>
      <c r="J49" s="13">
        <f t="shared" si="10"/>
        <v>1937.08</v>
      </c>
      <c r="K49" s="87">
        <f t="shared" si="11"/>
        <v>-250.83999999999992</v>
      </c>
      <c r="L49" s="13">
        <f t="shared" si="12"/>
        <v>-3909.7688888888888</v>
      </c>
      <c r="M49" s="74"/>
    </row>
    <row r="50" spans="1:13" s="23" customFormat="1" ht="11.25" customHeight="1" x14ac:dyDescent="0.25">
      <c r="A50" s="27" t="s">
        <v>13</v>
      </c>
      <c r="B50" s="86" t="s">
        <v>12</v>
      </c>
      <c r="C50" s="13">
        <f>3800+5500</f>
        <v>9300</v>
      </c>
      <c r="D50" s="14">
        <v>653.35</v>
      </c>
      <c r="E50" s="14">
        <v>8.49</v>
      </c>
      <c r="F50" s="14">
        <v>0</v>
      </c>
      <c r="G50" s="14">
        <v>0</v>
      </c>
      <c r="H50" s="13">
        <f>D50+F50+'10-13-2022'!H50</f>
        <v>2824.08</v>
      </c>
      <c r="I50" s="13">
        <f>E50+G50+'10-13-2022'!I50</f>
        <v>36.67</v>
      </c>
      <c r="J50" s="13">
        <f t="shared" si="10"/>
        <v>2860.75</v>
      </c>
      <c r="K50" s="13">
        <f t="shared" si="11"/>
        <v>6439.25</v>
      </c>
      <c r="L50" s="13">
        <f t="shared" si="12"/>
        <v>1035.6111111111113</v>
      </c>
      <c r="M50" s="28"/>
    </row>
    <row r="51" spans="1:13" s="23" customFormat="1" ht="11.25" customHeight="1" x14ac:dyDescent="0.2">
      <c r="A51" s="27" t="s">
        <v>11</v>
      </c>
      <c r="B51" s="86" t="s">
        <v>10</v>
      </c>
      <c r="C51" s="13">
        <v>6800</v>
      </c>
      <c r="D51" s="14">
        <v>0</v>
      </c>
      <c r="E51" s="14">
        <v>0</v>
      </c>
      <c r="F51" s="14">
        <v>0</v>
      </c>
      <c r="G51" s="14">
        <v>0</v>
      </c>
      <c r="H51" s="13">
        <f>D51+F51+'10-13-2022'!H51</f>
        <v>2480</v>
      </c>
      <c r="I51" s="13">
        <f>E51+G51+'10-13-2022'!I51</f>
        <v>32.24</v>
      </c>
      <c r="J51" s="13">
        <f t="shared" si="10"/>
        <v>2512.2399999999998</v>
      </c>
      <c r="K51" s="13">
        <f t="shared" si="11"/>
        <v>4287.76</v>
      </c>
      <c r="L51" s="13">
        <f t="shared" si="12"/>
        <v>-457.58222222222139</v>
      </c>
      <c r="M51" s="24"/>
    </row>
    <row r="52" spans="1:13" s="23" customFormat="1" ht="11.25" customHeight="1" x14ac:dyDescent="0.2">
      <c r="A52" s="27" t="s">
        <v>9</v>
      </c>
      <c r="B52" s="86" t="s">
        <v>8</v>
      </c>
      <c r="C52" s="13">
        <v>1900</v>
      </c>
      <c r="D52" s="14">
        <v>0</v>
      </c>
      <c r="E52" s="14">
        <v>0</v>
      </c>
      <c r="F52" s="14">
        <v>0</v>
      </c>
      <c r="G52" s="14">
        <v>0</v>
      </c>
      <c r="H52" s="13">
        <f>D52+F52+'10-13-2022'!H52</f>
        <v>1574.72</v>
      </c>
      <c r="I52" s="13">
        <f>E52+G52+'10-13-2022'!I52</f>
        <v>113.33</v>
      </c>
      <c r="J52" s="13">
        <f t="shared" si="10"/>
        <v>1688.05</v>
      </c>
      <c r="K52" s="13">
        <f t="shared" si="11"/>
        <v>211.95000000000005</v>
      </c>
      <c r="L52" s="13">
        <f t="shared" si="12"/>
        <v>-2976.5888888888885</v>
      </c>
      <c r="M52" s="24"/>
    </row>
    <row r="53" spans="1:13" s="23" customFormat="1" ht="11.25" customHeight="1" x14ac:dyDescent="0.2">
      <c r="A53" s="27" t="s">
        <v>7</v>
      </c>
      <c r="B53" s="86" t="s">
        <v>6</v>
      </c>
      <c r="C53" s="25">
        <v>303.89999999999998</v>
      </c>
      <c r="D53" s="14">
        <v>0</v>
      </c>
      <c r="E53" s="14">
        <v>0</v>
      </c>
      <c r="F53" s="14">
        <v>0</v>
      </c>
      <c r="G53" s="14">
        <v>0</v>
      </c>
      <c r="H53" s="13">
        <f>D53+F53+'10-13-2022'!H53</f>
        <v>0</v>
      </c>
      <c r="I53" s="13">
        <f>E53+G53+'10-13-2022'!I53</f>
        <v>0</v>
      </c>
      <c r="J53" s="13">
        <f t="shared" si="10"/>
        <v>0</v>
      </c>
      <c r="K53" s="13">
        <f t="shared" si="11"/>
        <v>303.89999999999998</v>
      </c>
      <c r="L53" s="13">
        <f t="shared" si="12"/>
        <v>303.89999999999998</v>
      </c>
      <c r="M53" s="24"/>
    </row>
    <row r="54" spans="1:13" s="23" customFormat="1" ht="11.25" customHeight="1" x14ac:dyDescent="0.2">
      <c r="A54" s="27" t="s">
        <v>82</v>
      </c>
      <c r="B54" s="86" t="s">
        <v>83</v>
      </c>
      <c r="C54" s="25">
        <v>6300</v>
      </c>
      <c r="D54" s="14">
        <v>0</v>
      </c>
      <c r="E54" s="14">
        <v>0</v>
      </c>
      <c r="F54" s="14">
        <v>0</v>
      </c>
      <c r="G54" s="14">
        <v>0</v>
      </c>
      <c r="H54" s="13">
        <f>D54+F54+'10-13-2022'!H54</f>
        <v>0</v>
      </c>
      <c r="I54" s="13">
        <f>E54+G54+'10-13-2022'!I54</f>
        <v>0</v>
      </c>
      <c r="J54" s="13">
        <f t="shared" si="10"/>
        <v>0</v>
      </c>
      <c r="K54" s="13">
        <f t="shared" si="11"/>
        <v>6300</v>
      </c>
      <c r="L54" s="13">
        <f t="shared" si="12"/>
        <v>6300</v>
      </c>
      <c r="M54" s="24"/>
    </row>
    <row r="55" spans="1:13" s="23" customFormat="1" ht="11.25" customHeight="1" x14ac:dyDescent="0.2">
      <c r="A55" s="27" t="s">
        <v>85</v>
      </c>
      <c r="B55" s="86" t="s">
        <v>88</v>
      </c>
      <c r="C55" s="25">
        <v>7467.05</v>
      </c>
      <c r="D55" s="14">
        <v>0</v>
      </c>
      <c r="E55" s="14">
        <v>0</v>
      </c>
      <c r="F55" s="14">
        <v>250</v>
      </c>
      <c r="G55" s="14">
        <v>18</v>
      </c>
      <c r="H55" s="13">
        <f>D55+F55+'10-13-2022'!H55</f>
        <v>812.5</v>
      </c>
      <c r="I55" s="13">
        <f>E55+G55+'10-13-2022'!I55</f>
        <v>58.5</v>
      </c>
      <c r="J55" s="13">
        <f t="shared" si="10"/>
        <v>871</v>
      </c>
      <c r="K55" s="13">
        <f t="shared" si="11"/>
        <v>6596.05</v>
      </c>
      <c r="L55" s="13">
        <f t="shared" si="12"/>
        <v>4950.8277777777785</v>
      </c>
      <c r="M55" s="24"/>
    </row>
    <row r="56" spans="1:13" ht="21.6" customHeight="1" x14ac:dyDescent="0.25">
      <c r="A56" s="94" t="s">
        <v>5</v>
      </c>
      <c r="B56" s="95"/>
      <c r="C56" s="10">
        <f>SUM(C36:C55)</f>
        <v>61743.65</v>
      </c>
      <c r="D56" s="10">
        <f t="shared" ref="D56:K56" si="13">SUM(D36:D55)</f>
        <v>1536.4900000000002</v>
      </c>
      <c r="E56" s="10">
        <f t="shared" si="13"/>
        <v>19.96</v>
      </c>
      <c r="F56" s="10">
        <f t="shared" si="13"/>
        <v>250</v>
      </c>
      <c r="G56" s="10">
        <f t="shared" si="13"/>
        <v>18</v>
      </c>
      <c r="H56" s="10">
        <f t="shared" si="13"/>
        <v>17223.289999999997</v>
      </c>
      <c r="I56" s="10">
        <f t="shared" si="13"/>
        <v>471.12</v>
      </c>
      <c r="J56" s="10">
        <f t="shared" si="13"/>
        <v>17694.41</v>
      </c>
      <c r="K56" s="10">
        <f t="shared" si="13"/>
        <v>44049.240000000005</v>
      </c>
      <c r="L56" s="10">
        <f>SUM(L36:L55)</f>
        <v>10626.465555555558</v>
      </c>
      <c r="M56" s="22"/>
    </row>
    <row r="57" spans="1:13" ht="10.9" customHeight="1" x14ac:dyDescent="0.25">
      <c r="A57" s="19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22"/>
    </row>
    <row r="58" spans="1:13" ht="10.9" customHeight="1" x14ac:dyDescent="0.25">
      <c r="A58" s="19"/>
      <c r="B58" s="18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3" s="11" customFormat="1" ht="10.9" customHeight="1" x14ac:dyDescent="0.25">
      <c r="A59" s="16" t="s">
        <v>4</v>
      </c>
      <c r="B59" s="15" t="s">
        <v>3</v>
      </c>
      <c r="C59" s="13">
        <v>62583</v>
      </c>
      <c r="D59" s="13">
        <v>2452.36</v>
      </c>
      <c r="E59" s="13">
        <v>31.88</v>
      </c>
      <c r="F59" s="13">
        <v>0</v>
      </c>
      <c r="G59" s="13">
        <v>0</v>
      </c>
      <c r="H59" s="13">
        <f>D59+F59+'10-13-2022'!H59</f>
        <v>13898.79</v>
      </c>
      <c r="I59" s="13">
        <f>E59+G59+'10-13-2022'!I59</f>
        <v>180.6</v>
      </c>
      <c r="J59" s="13">
        <f>H59+I59</f>
        <v>14079.390000000001</v>
      </c>
      <c r="K59" s="13">
        <f>C59-J59</f>
        <v>48503.61</v>
      </c>
      <c r="L59" s="13">
        <f t="shared" ref="L59:L60" si="14">C59-((J59/9)*26)</f>
        <v>21909.206666666665</v>
      </c>
      <c r="M59" s="12"/>
    </row>
    <row r="60" spans="1:13" s="11" customFormat="1" ht="10.9" customHeight="1" x14ac:dyDescent="0.25">
      <c r="A60" s="16" t="s">
        <v>76</v>
      </c>
      <c r="B60" s="15" t="s">
        <v>77</v>
      </c>
      <c r="C60" s="13">
        <v>1000</v>
      </c>
      <c r="D60" s="14">
        <v>0</v>
      </c>
      <c r="E60" s="14">
        <v>0</v>
      </c>
      <c r="F60" s="14">
        <v>0</v>
      </c>
      <c r="G60" s="14">
        <v>0</v>
      </c>
      <c r="H60" s="13">
        <f>D60+F60+'10-13-2022'!H60</f>
        <v>0</v>
      </c>
      <c r="I60" s="13">
        <f>E60+G60+'10-13-2022'!I60</f>
        <v>0</v>
      </c>
      <c r="J60" s="13">
        <f>H60+I60</f>
        <v>0</v>
      </c>
      <c r="K60" s="13">
        <f>C60-J60</f>
        <v>1000</v>
      </c>
      <c r="L60" s="13">
        <f t="shared" si="14"/>
        <v>1000</v>
      </c>
      <c r="M60" s="12"/>
    </row>
    <row r="61" spans="1:13" ht="21.6" customHeight="1" x14ac:dyDescent="0.25">
      <c r="A61" s="94" t="s">
        <v>2</v>
      </c>
      <c r="B61" s="95"/>
      <c r="C61" s="20">
        <f>SUM(C59:C60)</f>
        <v>63583</v>
      </c>
      <c r="D61" s="20">
        <f t="shared" ref="D61:L61" si="15">SUM(D59:D60)</f>
        <v>2452.36</v>
      </c>
      <c r="E61" s="20">
        <f t="shared" si="15"/>
        <v>31.88</v>
      </c>
      <c r="F61" s="20">
        <f t="shared" si="15"/>
        <v>0</v>
      </c>
      <c r="G61" s="20">
        <f t="shared" si="15"/>
        <v>0</v>
      </c>
      <c r="H61" s="20">
        <f t="shared" si="15"/>
        <v>13898.79</v>
      </c>
      <c r="I61" s="20">
        <f t="shared" si="15"/>
        <v>180.6</v>
      </c>
      <c r="J61" s="20">
        <f t="shared" si="15"/>
        <v>14079.390000000001</v>
      </c>
      <c r="K61" s="20">
        <f t="shared" si="15"/>
        <v>49503.61</v>
      </c>
      <c r="L61" s="20">
        <f t="shared" si="15"/>
        <v>22909.206666666665</v>
      </c>
    </row>
    <row r="62" spans="1:13" ht="10.9" customHeight="1" x14ac:dyDescent="0.25">
      <c r="A62" s="19"/>
      <c r="B62" s="18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3" ht="10.9" customHeight="1" x14ac:dyDescent="0.25">
      <c r="A63" s="19"/>
      <c r="B63" s="18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3" s="11" customFormat="1" ht="10.9" customHeight="1" x14ac:dyDescent="0.25">
      <c r="A64" s="16" t="s">
        <v>1</v>
      </c>
      <c r="B64" s="15">
        <v>55180000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13">
        <f>D64+F64+'10-13-2022'!H64</f>
        <v>0</v>
      </c>
      <c r="I64" s="13">
        <f>E64+G64+'10-13-2022'!I64</f>
        <v>0</v>
      </c>
      <c r="J64" s="13">
        <f>H64+I64</f>
        <v>0</v>
      </c>
      <c r="K64" s="13">
        <f>C64-J64</f>
        <v>0</v>
      </c>
      <c r="L64" s="13">
        <f>C64-((J64/9)*26)</f>
        <v>0</v>
      </c>
      <c r="M64" s="12"/>
    </row>
    <row r="65" spans="1:18" s="5" customFormat="1" ht="21.6" customHeight="1" x14ac:dyDescent="0.25">
      <c r="A65" s="94" t="s">
        <v>0</v>
      </c>
      <c r="B65" s="95"/>
      <c r="C65" s="10">
        <f t="shared" ref="C65:L65" si="16">SUM(C64)</f>
        <v>0</v>
      </c>
      <c r="D65" s="10">
        <f t="shared" si="16"/>
        <v>0</v>
      </c>
      <c r="E65" s="10">
        <f t="shared" si="16"/>
        <v>0</v>
      </c>
      <c r="F65" s="10">
        <f t="shared" si="16"/>
        <v>0</v>
      </c>
      <c r="G65" s="10">
        <f t="shared" si="16"/>
        <v>0</v>
      </c>
      <c r="H65" s="10">
        <f t="shared" si="16"/>
        <v>0</v>
      </c>
      <c r="I65" s="10">
        <f t="shared" si="16"/>
        <v>0</v>
      </c>
      <c r="J65" s="10">
        <f t="shared" si="16"/>
        <v>0</v>
      </c>
      <c r="K65" s="10">
        <f t="shared" si="16"/>
        <v>0</v>
      </c>
      <c r="L65" s="10">
        <f t="shared" si="16"/>
        <v>0</v>
      </c>
      <c r="M65" s="6"/>
    </row>
    <row r="66" spans="1:18" s="5" customFormat="1" ht="11.25" customHeight="1" x14ac:dyDescent="0.25">
      <c r="A66" s="9"/>
      <c r="B66" s="8"/>
      <c r="C66" s="7"/>
      <c r="D66" s="7"/>
      <c r="E66" s="7"/>
      <c r="F66" s="7"/>
      <c r="G66" s="7"/>
      <c r="H66" s="7"/>
      <c r="I66" s="7"/>
      <c r="J66" s="7"/>
      <c r="K66" s="7"/>
      <c r="L66" s="7"/>
      <c r="M66" s="6"/>
    </row>
    <row r="67" spans="1:18" ht="10.5" customHeight="1" x14ac:dyDescent="0.25">
      <c r="A67" s="101" t="s">
        <v>80</v>
      </c>
      <c r="B67" s="101"/>
      <c r="C67" s="101"/>
      <c r="D67" s="101"/>
      <c r="E67" s="101"/>
      <c r="F67" s="101"/>
      <c r="G67" s="79">
        <v>700</v>
      </c>
      <c r="M67" s="102"/>
      <c r="N67" s="102"/>
      <c r="O67" s="102"/>
      <c r="P67" s="102"/>
      <c r="Q67" s="102"/>
      <c r="R67" s="102"/>
    </row>
    <row r="68" spans="1:18" ht="10.5" customHeight="1" x14ac:dyDescent="0.25">
      <c r="A68" s="101" t="s">
        <v>78</v>
      </c>
      <c r="B68" s="101"/>
      <c r="C68" s="101"/>
      <c r="D68" s="101"/>
      <c r="E68" s="101"/>
      <c r="F68" s="101"/>
      <c r="G68" s="79">
        <v>15000</v>
      </c>
      <c r="M68" s="102"/>
      <c r="N68" s="102"/>
      <c r="O68" s="102"/>
      <c r="P68" s="102"/>
      <c r="Q68" s="102"/>
      <c r="R68" s="102"/>
    </row>
    <row r="69" spans="1:18" ht="10.5" customHeight="1" x14ac:dyDescent="0.25">
      <c r="A69" s="101" t="s">
        <v>79</v>
      </c>
      <c r="B69" s="101"/>
      <c r="C69" s="101"/>
      <c r="D69" s="101"/>
      <c r="E69" s="101"/>
      <c r="F69" s="101"/>
      <c r="G69" s="79">
        <v>3800</v>
      </c>
      <c r="M69" s="102"/>
      <c r="N69" s="102"/>
      <c r="O69" s="102"/>
      <c r="P69" s="102"/>
      <c r="Q69" s="102"/>
      <c r="R69" s="102"/>
    </row>
    <row r="70" spans="1:18" ht="10.5" customHeight="1" x14ac:dyDescent="0.25">
      <c r="A70" s="101" t="s">
        <v>81</v>
      </c>
      <c r="B70" s="101"/>
      <c r="C70" s="101"/>
      <c r="D70" s="101"/>
      <c r="E70" s="101"/>
      <c r="F70" s="101"/>
      <c r="G70" s="79">
        <v>5000</v>
      </c>
      <c r="M70" s="102"/>
      <c r="N70" s="102"/>
      <c r="O70" s="102"/>
      <c r="P70" s="102"/>
      <c r="Q70" s="102"/>
      <c r="R70" s="102"/>
    </row>
    <row r="71" spans="1:18" ht="10.5" customHeight="1" x14ac:dyDescent="0.25">
      <c r="A71" s="101" t="s">
        <v>84</v>
      </c>
      <c r="B71" s="101"/>
      <c r="C71" s="101"/>
      <c r="D71" s="101"/>
      <c r="E71" s="101"/>
      <c r="F71" s="101"/>
      <c r="G71" s="79">
        <v>6300</v>
      </c>
      <c r="M71" s="102"/>
      <c r="N71" s="102"/>
      <c r="O71" s="102"/>
      <c r="P71" s="102"/>
      <c r="Q71" s="102"/>
      <c r="R71" s="102"/>
    </row>
    <row r="72" spans="1:18" ht="10.5" customHeight="1" x14ac:dyDescent="0.25">
      <c r="A72" s="101" t="s">
        <v>87</v>
      </c>
      <c r="B72" s="101"/>
      <c r="C72" s="101"/>
      <c r="D72" s="101"/>
      <c r="E72" s="101"/>
      <c r="F72" s="101"/>
      <c r="G72" s="79">
        <v>7467.05</v>
      </c>
      <c r="M72" s="102"/>
      <c r="N72" s="102"/>
      <c r="O72" s="102"/>
      <c r="P72" s="102"/>
      <c r="Q72" s="102"/>
      <c r="R72" s="102"/>
    </row>
    <row r="73" spans="1:18" ht="10.5" customHeight="1" x14ac:dyDescent="0.25">
      <c r="A73" s="101" t="s">
        <v>89</v>
      </c>
      <c r="B73" s="101"/>
      <c r="C73" s="101"/>
      <c r="D73" s="101"/>
      <c r="E73" s="101"/>
      <c r="F73" s="101"/>
      <c r="G73" s="79">
        <v>5500</v>
      </c>
      <c r="M73" s="102"/>
      <c r="N73" s="102"/>
      <c r="O73" s="102"/>
      <c r="P73" s="102"/>
      <c r="Q73" s="102"/>
      <c r="R73" s="102"/>
    </row>
    <row r="127" spans="13:13" x14ac:dyDescent="0.25">
      <c r="M127" s="2">
        <f>SUM(M34:M125)</f>
        <v>0</v>
      </c>
    </row>
  </sheetData>
  <mergeCells count="22">
    <mergeCell ref="A72:F72"/>
    <mergeCell ref="M72:R72"/>
    <mergeCell ref="A73:F73"/>
    <mergeCell ref="M73:R73"/>
    <mergeCell ref="A69:F69"/>
    <mergeCell ref="M69:R69"/>
    <mergeCell ref="A70:F70"/>
    <mergeCell ref="M70:R70"/>
    <mergeCell ref="A71:F71"/>
    <mergeCell ref="M71:R71"/>
    <mergeCell ref="A61:B61"/>
    <mergeCell ref="A65:B65"/>
    <mergeCell ref="A67:F67"/>
    <mergeCell ref="M67:R67"/>
    <mergeCell ref="A68:F68"/>
    <mergeCell ref="M68:R68"/>
    <mergeCell ref="A56:B56"/>
    <mergeCell ref="A5:B5"/>
    <mergeCell ref="A17:B17"/>
    <mergeCell ref="A23:B23"/>
    <mergeCell ref="A30:B30"/>
    <mergeCell ref="A33:B33"/>
  </mergeCells>
  <pageMargins left="0.25" right="0" top="0.4" bottom="0" header="0.3" footer="0"/>
  <pageSetup scale="6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07-07-2022</vt:lpstr>
      <vt:lpstr>07-21-2022</vt:lpstr>
      <vt:lpstr>08-04-2022</vt:lpstr>
      <vt:lpstr>08-18-2022</vt:lpstr>
      <vt:lpstr>09-01-2022</vt:lpstr>
      <vt:lpstr>09-15-2022</vt:lpstr>
      <vt:lpstr>09-29-2022</vt:lpstr>
      <vt:lpstr>10-13-2022</vt:lpstr>
      <vt:lpstr>10-27-2022</vt:lpstr>
      <vt:lpstr>11-10-2022</vt:lpstr>
      <vt:lpstr>11-24-2022</vt:lpstr>
      <vt:lpstr>12-08-2022</vt:lpstr>
      <vt:lpstr>12-22-2022</vt:lpstr>
      <vt:lpstr>01-05-2023</vt:lpstr>
      <vt:lpstr>01-19-2023</vt:lpstr>
      <vt:lpstr>02-02-2023</vt:lpstr>
      <vt:lpstr>02-16-2023</vt:lpstr>
      <vt:lpstr>03-02-2023</vt:lpstr>
      <vt:lpstr>'01-05-2023'!Print_Area</vt:lpstr>
      <vt:lpstr>'01-19-2023'!Print_Area</vt:lpstr>
      <vt:lpstr>'02-02-2023'!Print_Area</vt:lpstr>
      <vt:lpstr>'02-16-2023'!Print_Area</vt:lpstr>
      <vt:lpstr>'03-02-2023'!Print_Area</vt:lpstr>
      <vt:lpstr>'07-07-2022'!Print_Area</vt:lpstr>
      <vt:lpstr>'07-21-2022'!Print_Area</vt:lpstr>
      <vt:lpstr>'08-04-2022'!Print_Area</vt:lpstr>
      <vt:lpstr>'08-18-2022'!Print_Area</vt:lpstr>
      <vt:lpstr>'09-01-2022'!Print_Area</vt:lpstr>
      <vt:lpstr>'09-15-2022'!Print_Area</vt:lpstr>
      <vt:lpstr>'09-29-2022'!Print_Area</vt:lpstr>
      <vt:lpstr>'10-13-2022'!Print_Area</vt:lpstr>
      <vt:lpstr>'10-27-2022'!Print_Area</vt:lpstr>
      <vt:lpstr>'11-10-2022'!Print_Area</vt:lpstr>
      <vt:lpstr>'11-24-2022'!Print_Area</vt:lpstr>
      <vt:lpstr>'12-08-2022'!Print_Area</vt:lpstr>
      <vt:lpstr>'12-22-2022'!Print_Area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Krueger, Greg</dc:creator>
  <cp:lastModifiedBy>Krueger, Greg</cp:lastModifiedBy>
  <cp:lastPrinted>2023-01-29T14:45:12Z</cp:lastPrinted>
  <dcterms:created xsi:type="dcterms:W3CDTF">2022-07-13T20:15:24Z</dcterms:created>
  <dcterms:modified xsi:type="dcterms:W3CDTF">2023-03-08T20:50:06Z</dcterms:modified>
</cp:coreProperties>
</file>